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3645" windowWidth="14805" windowHeight="4470" tabRatio="852" firstSheet="6" activeTab="14"/>
  </bookViews>
  <sheets>
    <sheet name="прил.1 (админ.)" sheetId="1" r:id="rId1"/>
    <sheet name="прил. 2 (поступл.21)" sheetId="5" r:id="rId2"/>
    <sheet name="прил. 3 (поступл. 22-23)" sheetId="15" r:id="rId3"/>
    <sheet name="прил.4 (пост.безв.21)" sheetId="2" r:id="rId4"/>
    <sheet name="прил.5 (пост.безв.22-23)" sheetId="16" r:id="rId5"/>
    <sheet name="прил.6 (безв.от пос.21) (2)" sheetId="27" r:id="rId6"/>
    <sheet name="прил.7 (норм.доходов)" sheetId="26" r:id="rId7"/>
    <sheet name="прил 8 (Рз,ПР 21)" sheetId="6" r:id="rId8"/>
    <sheet name="прил 9 (Рз,ПР 22-23)" sheetId="17" r:id="rId9"/>
    <sheet name="прил 10 (ЦС,ВР 21)" sheetId="7" r:id="rId10"/>
    <sheet name="прил 11 (ЦС,ВР 22-23)" sheetId="18" r:id="rId11"/>
    <sheet name="прил12(ведом 21)" sheetId="3" r:id="rId12"/>
    <sheet name="прил13(ведом 22-23)" sheetId="19" r:id="rId13"/>
    <sheet name="прил.14 (Источники 21)" sheetId="8" r:id="rId14"/>
    <sheet name="прил.15 (Источники 22-23)" sheetId="20" r:id="rId15"/>
    <sheet name="прил.16(безв.всего 21)" sheetId="9" r:id="rId16"/>
    <sheet name="прил.17(безв.всего 22-23)" sheetId="21" r:id="rId17"/>
    <sheet name="прил.18(дотация 21)" sheetId="11" r:id="rId18"/>
    <sheet name="прил.19(дотация 22-23)" sheetId="22" r:id="rId19"/>
    <sheet name="прил.20мун.внутр.заим.21-23)" sheetId="12" r:id="rId20"/>
    <sheet name="прил.21(гар. 21-23)" sheetId="13" r:id="rId21"/>
    <sheet name="прил.22мун.внеш.заим.21-23" sheetId="28" r:id="rId22"/>
    <sheet name="прил.23(гар.в ин.в.21-23)" sheetId="29" r:id="rId23"/>
  </sheets>
  <definedNames>
    <definedName name="_xlnm._FilterDatabase" localSheetId="9" hidden="1">'прил 10 (ЦС,ВР 21)'!$A$4:$J$566</definedName>
    <definedName name="_xlnm._FilterDatabase" localSheetId="10" hidden="1">'прил 11 (ЦС,ВР 22-23)'!$A$4:$L$430</definedName>
    <definedName name="_xlnm._FilterDatabase" localSheetId="7" hidden="1">'прил 8 (Рз,ПР 21)'!$A$12:$AI$54</definedName>
    <definedName name="_xlnm._FilterDatabase" localSheetId="8" hidden="1">'прил 9 (Рз,ПР 22-23)'!$A$13:$AJ$56</definedName>
    <definedName name="_xlnm._FilterDatabase" localSheetId="0" hidden="1">'прил.1 (админ.)'!$A$12:$H$218</definedName>
    <definedName name="_xlnm._FilterDatabase" localSheetId="3" hidden="1">'прил.4 (пост.безв.21)'!$A$4:$D$78</definedName>
    <definedName name="_xlnm._FilterDatabase" localSheetId="4" hidden="1">'прил.5 (пост.безв.22-23)'!$A$12:$J$74</definedName>
    <definedName name="_xlnm._FilterDatabase" localSheetId="11" hidden="1">'прил12(ведом 21)'!$A$4:$Y$842</definedName>
    <definedName name="_xlnm._FilterDatabase" localSheetId="12" hidden="1">'прил13(ведом 22-23)'!$A$4:$P$634</definedName>
    <definedName name="Z_168CADD9_CFDC_4445_BFE6_DAD4B9423C72_.wvu.FilterData" localSheetId="9" hidden="1">'прил 10 (ЦС,ВР 21)'!#REF!</definedName>
    <definedName name="Z_168CADD9_CFDC_4445_BFE6_DAD4B9423C72_.wvu.FilterData" localSheetId="10" hidden="1">'прил 11 (ЦС,ВР 22-23)'!#REF!</definedName>
    <definedName name="Z_1F25B6A1_C9F7_11D8_A2FD_006098EF8B30_.wvu.FilterData" localSheetId="9" hidden="1">'прил 10 (ЦС,ВР 21)'!#REF!</definedName>
    <definedName name="Z_1F25B6A1_C9F7_11D8_A2FD_006098EF8B30_.wvu.FilterData" localSheetId="10" hidden="1">'прил 11 (ЦС,ВР 22-23)'!#REF!</definedName>
    <definedName name="Z_29D950F2_21ED_48E6_BFC6_87DD89E0125A_.wvu.FilterData" localSheetId="9" hidden="1">'прил 10 (ЦС,ВР 21)'!#REF!</definedName>
    <definedName name="Z_29D950F2_21ED_48E6_BFC6_87DD89E0125A_.wvu.FilterData" localSheetId="10" hidden="1">'прил 11 (ЦС,ВР 22-23)'!#REF!</definedName>
    <definedName name="Z_2CA7FCD5_27A5_4474_9D49_7A7E23BD2FF9_.wvu.FilterData" localSheetId="9" hidden="1">'прил 10 (ЦС,ВР 21)'!#REF!</definedName>
    <definedName name="Z_2CA7FCD5_27A5_4474_9D49_7A7E23BD2FF9_.wvu.FilterData" localSheetId="10" hidden="1">'прил 11 (ЦС,ВР 22-23)'!#REF!</definedName>
    <definedName name="Z_48E28AC5_4E0A_4FBA_AE6D_340F9E8D4B3C_.wvu.FilterData" localSheetId="9" hidden="1">'прил 10 (ЦС,ВР 21)'!#REF!</definedName>
    <definedName name="Z_48E28AC5_4E0A_4FBA_AE6D_340F9E8D4B3C_.wvu.FilterData" localSheetId="10" hidden="1">'прил 11 (ЦС,ВР 22-23)'!#REF!</definedName>
    <definedName name="Z_6398E0F2_3205_40F4_BF0A_C9F4D0DA9A75_.wvu.FilterData" localSheetId="9" hidden="1">'прил 10 (ЦС,ВР 21)'!#REF!</definedName>
    <definedName name="Z_6398E0F2_3205_40F4_BF0A_C9F4D0DA9A75_.wvu.FilterData" localSheetId="10" hidden="1">'прил 11 (ЦС,ВР 22-23)'!#REF!</definedName>
    <definedName name="Z_64DF1B77_0EDD_4B56_A91C_5E003BE599EF_.wvu.FilterData" localSheetId="9" hidden="1">'прил 10 (ЦС,ВР 21)'!#REF!</definedName>
    <definedName name="Z_64DF1B77_0EDD_4B56_A91C_5E003BE599EF_.wvu.FilterData" localSheetId="10" hidden="1">'прил 11 (ЦС,ВР 22-23)'!#REF!</definedName>
    <definedName name="Z_6786C020_BCF1_463A_B3E9_7DE69D46EAB3_.wvu.FilterData" localSheetId="9" hidden="1">'прил 10 (ЦС,ВР 21)'!#REF!</definedName>
    <definedName name="Z_6786C020_BCF1_463A_B3E9_7DE69D46EAB3_.wvu.FilterData" localSheetId="10" hidden="1">'прил 11 (ЦС,ВР 22-23)'!#REF!</definedName>
    <definedName name="Z_8E2E7D81_C767_11D8_A2FD_006098EF8B30_.wvu.FilterData" localSheetId="9" hidden="1">'прил 10 (ЦС,ВР 21)'!#REF!</definedName>
    <definedName name="Z_8E2E7D81_C767_11D8_A2FD_006098EF8B30_.wvu.FilterData" localSheetId="10" hidden="1">'прил 11 (ЦС,ВР 22-23)'!#REF!</definedName>
    <definedName name="Z_97D0CDFA_8A34_4B3C_BA32_D4F0E3218B75_.wvu.FilterData" localSheetId="9" hidden="1">'прил 10 (ЦС,ВР 21)'!#REF!</definedName>
    <definedName name="Z_97D0CDFA_8A34_4B3C_BA32_D4F0E3218B75_.wvu.FilterData" localSheetId="10" hidden="1">'прил 11 (ЦС,ВР 22-23)'!#REF!</definedName>
    <definedName name="Z_B246FE0E_E986_4211_B02A_04E4565C0FED_.wvu.Cols" localSheetId="9" hidden="1">'прил 10 (ЦС,ВР 21)'!$A:$A,'прил 10 (ЦС,ВР 21)'!#REF!</definedName>
    <definedName name="Z_B246FE0E_E986_4211_B02A_04E4565C0FED_.wvu.Cols" localSheetId="10" hidden="1">'прил 11 (ЦС,ВР 22-23)'!$A:$A,'прил 11 (ЦС,ВР 22-23)'!#REF!</definedName>
    <definedName name="Z_B246FE0E_E986_4211_B02A_04E4565C0FED_.wvu.FilterData" localSheetId="9" hidden="1">'прил 10 (ЦС,ВР 21)'!#REF!</definedName>
    <definedName name="Z_B246FE0E_E986_4211_B02A_04E4565C0FED_.wvu.FilterData" localSheetId="10" hidden="1">'прил 11 (ЦС,ВР 22-23)'!#REF!</definedName>
    <definedName name="Z_B246FE0E_E986_4211_B02A_04E4565C0FED_.wvu.PrintArea" localSheetId="9" hidden="1">'прил 10 (ЦС,ВР 21)'!#REF!</definedName>
    <definedName name="Z_B246FE0E_E986_4211_B02A_04E4565C0FED_.wvu.PrintArea" localSheetId="10" hidden="1">'прил 11 (ЦС,ВР 22-23)'!#REF!</definedName>
    <definedName name="Z_B246FE0E_E986_4211_B02A_04E4565C0FED_.wvu.PrintTitles" localSheetId="9" hidden="1">'прил 10 (ЦС,ВР 21)'!#REF!</definedName>
    <definedName name="Z_B246FE0E_E986_4211_B02A_04E4565C0FED_.wvu.PrintTitles" localSheetId="10" hidden="1">'прил 11 (ЦС,ВР 22-23)'!#REF!</definedName>
    <definedName name="Z_C54CDF8B_FA5C_4A02_B343_3FEFD9721392_.wvu.FilterData" localSheetId="9" hidden="1">'прил 10 (ЦС,ВР 21)'!#REF!</definedName>
    <definedName name="Z_C54CDF8B_FA5C_4A02_B343_3FEFD9721392_.wvu.FilterData" localSheetId="10" hidden="1">'прил 11 (ЦС,ВР 22-23)'!#REF!</definedName>
    <definedName name="Z_D7174C22_B878_4584_A218_37ED88979064_.wvu.FilterData" localSheetId="9" hidden="1">'прил 10 (ЦС,ВР 21)'!#REF!</definedName>
    <definedName name="Z_D7174C22_B878_4584_A218_37ED88979064_.wvu.FilterData" localSheetId="10" hidden="1">'прил 11 (ЦС,ВР 22-23)'!#REF!</definedName>
    <definedName name="Z_DD7538FB_7299_4DEE_90D5_2739132A1616_.wvu.FilterData" localSheetId="9" hidden="1">'прил 10 (ЦС,ВР 21)'!#REF!</definedName>
    <definedName name="Z_DD7538FB_7299_4DEE_90D5_2739132A1616_.wvu.FilterData" localSheetId="10" hidden="1">'прил 11 (ЦС,ВР 22-23)'!#REF!</definedName>
    <definedName name="Z_E4B436A8_4A5B_422F_8C0E_9267F763D19D_.wvu.FilterData" localSheetId="9" hidden="1">'прил 10 (ЦС,ВР 21)'!#REF!</definedName>
    <definedName name="Z_E4B436A8_4A5B_422F_8C0E_9267F763D19D_.wvu.FilterData" localSheetId="10" hidden="1">'прил 11 (ЦС,ВР 22-23)'!#REF!</definedName>
    <definedName name="Z_E6BB4361_1D58_11D9_A2FD_006098EF8B30_.wvu.FilterData" localSheetId="9" hidden="1">'прил 10 (ЦС,ВР 21)'!#REF!</definedName>
    <definedName name="Z_E6BB4361_1D58_11D9_A2FD_006098EF8B30_.wvu.FilterData" localSheetId="10" hidden="1">'прил 11 (ЦС,ВР 22-23)'!#REF!</definedName>
    <definedName name="Z_EF486DA3_1DF3_11D9_A2FD_006098EF8B30_.wvu.FilterData" localSheetId="9" hidden="1">'прил 10 (ЦС,ВР 21)'!#REF!</definedName>
    <definedName name="Z_EF486DA3_1DF3_11D9_A2FD_006098EF8B30_.wvu.FilterData" localSheetId="10" hidden="1">'прил 11 (ЦС,ВР 22-23)'!#REF!</definedName>
    <definedName name="Z_EF486DA8_1DF3_11D9_A2FD_006098EF8B30_.wvu.FilterData" localSheetId="9" hidden="1">'прил 10 (ЦС,ВР 21)'!#REF!</definedName>
    <definedName name="Z_EF486DA8_1DF3_11D9_A2FD_006098EF8B30_.wvu.FilterData" localSheetId="10" hidden="1">'прил 11 (ЦС,ВР 22-23)'!#REF!</definedName>
    <definedName name="Z_EF486DAA_1DF3_11D9_A2FD_006098EF8B30_.wvu.FilterData" localSheetId="9" hidden="1">'прил 10 (ЦС,ВР 21)'!#REF!</definedName>
    <definedName name="Z_EF486DAA_1DF3_11D9_A2FD_006098EF8B30_.wvu.FilterData" localSheetId="10" hidden="1">'прил 11 (ЦС,ВР 22-23)'!#REF!</definedName>
    <definedName name="Z_EF486DAC_1DF3_11D9_A2FD_006098EF8B30_.wvu.FilterData" localSheetId="9" hidden="1">'прил 10 (ЦС,ВР 21)'!#REF!</definedName>
    <definedName name="Z_EF486DAC_1DF3_11D9_A2FD_006098EF8B30_.wvu.FilterData" localSheetId="10" hidden="1">'прил 11 (ЦС,ВР 22-23)'!#REF!</definedName>
    <definedName name="Z_EF5A4981_C8E4_11D8_A2FC_006098EF8BA8_.wvu.Cols" localSheetId="9" hidden="1">'прил 10 (ЦС,ВР 21)'!$A:$A,'прил 10 (ЦС,ВР 21)'!#REF!,'прил 10 (ЦС,ВР 21)'!#REF!</definedName>
    <definedName name="Z_EF5A4981_C8E4_11D8_A2FC_006098EF8BA8_.wvu.Cols" localSheetId="10" hidden="1">'прил 11 (ЦС,ВР 22-23)'!$A:$A,'прил 11 (ЦС,ВР 22-23)'!#REF!,'прил 11 (ЦС,ВР 22-23)'!#REF!</definedName>
    <definedName name="Z_EF5A4981_C8E4_11D8_A2FC_006098EF8BA8_.wvu.FilterData" localSheetId="9" hidden="1">'прил 10 (ЦС,ВР 21)'!#REF!</definedName>
    <definedName name="Z_EF5A4981_C8E4_11D8_A2FC_006098EF8BA8_.wvu.FilterData" localSheetId="10" hidden="1">'прил 11 (ЦС,ВР 22-23)'!#REF!</definedName>
    <definedName name="Z_EF5A4981_C8E4_11D8_A2FC_006098EF8BA8_.wvu.PrintArea" localSheetId="9" hidden="1">'прил 10 (ЦС,ВР 21)'!#REF!</definedName>
    <definedName name="Z_EF5A4981_C8E4_11D8_A2FC_006098EF8BA8_.wvu.PrintArea" localSheetId="10" hidden="1">'прил 11 (ЦС,ВР 22-23)'!#REF!</definedName>
    <definedName name="Z_EF5A4981_C8E4_11D8_A2FC_006098EF8BA8_.wvu.PrintTitles" localSheetId="9" hidden="1">'прил 10 (ЦС,ВР 21)'!#REF!</definedName>
    <definedName name="Z_EF5A4981_C8E4_11D8_A2FC_006098EF8BA8_.wvu.PrintTitles" localSheetId="10" hidden="1">'прил 11 (ЦС,ВР 22-23)'!#REF!</definedName>
    <definedName name="_xlnm.Print_Titles" localSheetId="9">'прил 10 (ЦС,ВР 21)'!$12:$12</definedName>
    <definedName name="_xlnm.Print_Titles" localSheetId="10">'прил 11 (ЦС,ВР 22-23)'!$13:$13</definedName>
    <definedName name="_xlnm.Print_Titles" localSheetId="7">'прил 8 (Рз,ПР 21)'!$13:$13</definedName>
    <definedName name="_xlnm.Print_Titles" localSheetId="8">'прил 9 (Рз,ПР 22-23)'!$14:$14</definedName>
    <definedName name="_xlnm.Print_Titles" localSheetId="1">'прил. 2 (поступл.21)'!$12:$12</definedName>
    <definedName name="_xlnm.Print_Titles" localSheetId="2">'прил. 3 (поступл. 22-23)'!$13:$13</definedName>
    <definedName name="_xlnm.Print_Titles" localSheetId="0">'прил.1 (админ.)'!$12:$12</definedName>
    <definedName name="_xlnm.Print_Titles" localSheetId="13">'прил.14 (Источники 21)'!$12:$12</definedName>
    <definedName name="_xlnm.Print_Titles" localSheetId="14">'прил.15 (Источники 22-23)'!$12:$12</definedName>
    <definedName name="_xlnm.Print_Titles" localSheetId="19">'прил.20мун.внутр.заим.21-23)'!#REF!</definedName>
    <definedName name="_xlnm.Print_Titles" localSheetId="3">'прил.4 (пост.безв.21)'!$12:$12</definedName>
    <definedName name="_xlnm.Print_Titles" localSheetId="4">'прил.5 (пост.безв.22-23)'!$12:$12</definedName>
    <definedName name="_xlnm.Print_Titles" localSheetId="5">'прил.6 (безв.от пос.21) (2)'!$12:$12</definedName>
    <definedName name="_xlnm.Print_Titles" localSheetId="6">'прил.7 (норм.доходов)'!$13:$13</definedName>
    <definedName name="_xlnm.Print_Titles" localSheetId="11">'прил12(ведом 21)'!$13:$13</definedName>
    <definedName name="_xlnm.Print_Titles" localSheetId="12">'прил13(ведом 22-23)'!$14:$14</definedName>
    <definedName name="_xlnm.Print_Area" localSheetId="9">'прил 10 (ЦС,ВР 21)'!$A$1:$H$555</definedName>
    <definedName name="_xlnm.Print_Area" localSheetId="10">'прил 11 (ЦС,ВР 22-23)'!$A$1:$I$416</definedName>
    <definedName name="_xlnm.Print_Area" localSheetId="7">'прил 8 (Рз,ПР 21)'!$A$1:$D$60</definedName>
    <definedName name="_xlnm.Print_Area" localSheetId="8">'прил 9 (Рз,ПР 22-23)'!$A$1:$E$61</definedName>
    <definedName name="_xlnm.Print_Area" localSheetId="1">'прил. 2 (поступл.21)'!$A$1:$C$46</definedName>
    <definedName name="_xlnm.Print_Area" localSheetId="2">'прил. 3 (поступл. 22-23)'!$A$1:$D$46</definedName>
    <definedName name="_xlnm.Print_Area" localSheetId="0">'прил.1 (админ.)'!$A$1:$C$225</definedName>
    <definedName name="_xlnm.Print_Area" localSheetId="13">'прил.14 (Источники 21)'!$A$1:$C$31</definedName>
    <definedName name="_xlnm.Print_Area" localSheetId="15">'прил.16(безв.всего 21)'!$A$1:$B$20</definedName>
    <definedName name="_xlnm.Print_Area" localSheetId="17">'прил.18(дотация 21)'!$A$1:$F$25</definedName>
    <definedName name="_xlnm.Print_Area" localSheetId="18">'прил.19(дотация 22-23)'!$A$1:$G$26</definedName>
    <definedName name="_xlnm.Print_Area" localSheetId="3">'прил.4 (пост.безв.21)'!$A$1:$C$78</definedName>
    <definedName name="_xlnm.Print_Area" localSheetId="4">'прил.5 (пост.безв.22-23)'!$A$1:$D$79</definedName>
    <definedName name="_xlnm.Print_Area" localSheetId="5">'прил.6 (безв.от пос.21) (2)'!$A$4:$C$56</definedName>
    <definedName name="_xlnm.Print_Area" localSheetId="6">'прил.7 (норм.доходов)'!$A$1:$E$70</definedName>
    <definedName name="_xlnm.Print_Area" localSheetId="11">'прил12(ведом 21)'!$A$1:$M$731</definedName>
    <definedName name="_xlnm.Print_Area" localSheetId="12">'прил13(ведом 22-23)'!$A$1:$N$571</definedName>
  </definedNames>
  <calcPr calcId="124519"/>
</workbook>
</file>

<file path=xl/calcChain.xml><?xml version="1.0" encoding="utf-8"?>
<calcChain xmlns="http://schemas.openxmlformats.org/spreadsheetml/2006/main">
  <c r="M439" i="3"/>
  <c r="M438"/>
  <c r="H23" i="7" l="1"/>
  <c r="M589" i="3" l="1"/>
  <c r="M568"/>
  <c r="M263" l="1"/>
  <c r="M475"/>
  <c r="H87" i="7"/>
  <c r="H86" s="1"/>
  <c r="M469" i="3"/>
  <c r="L470"/>
  <c r="L469" s="1"/>
  <c r="M428" l="1"/>
  <c r="M545" l="1"/>
  <c r="M306" l="1"/>
  <c r="M421" l="1"/>
  <c r="M420"/>
  <c r="M187" l="1"/>
  <c r="M622" l="1"/>
  <c r="H25" i="7" l="1"/>
  <c r="M287" i="3"/>
  <c r="M566" i="19"/>
  <c r="M262"/>
  <c r="M352" i="3"/>
  <c r="M354"/>
  <c r="H37" i="18"/>
  <c r="M267" i="19"/>
  <c r="M266" s="1"/>
  <c r="M265" s="1"/>
  <c r="M264" s="1"/>
  <c r="M263" s="1"/>
  <c r="L268"/>
  <c r="L267" s="1"/>
  <c r="L266" s="1"/>
  <c r="L265" s="1"/>
  <c r="L264" s="1"/>
  <c r="L263" s="1"/>
  <c r="M330" i="3"/>
  <c r="M70"/>
  <c r="M621" l="1"/>
  <c r="M29"/>
  <c r="H321" i="7"/>
  <c r="M336" i="3"/>
  <c r="M335" s="1"/>
  <c r="M334" s="1"/>
  <c r="M333" s="1"/>
  <c r="L337" l="1"/>
  <c r="L336" s="1"/>
  <c r="L335" s="1"/>
  <c r="L334" s="1"/>
  <c r="L333" s="1"/>
  <c r="H345" i="7"/>
  <c r="L311" i="3"/>
  <c r="M310"/>
  <c r="M309" s="1"/>
  <c r="M473"/>
  <c r="C20" i="16"/>
  <c r="I28" i="18"/>
  <c r="I27" s="1"/>
  <c r="H28"/>
  <c r="H27" s="1"/>
  <c r="H36" i="7"/>
  <c r="H35" s="1"/>
  <c r="N261" i="19" l="1"/>
  <c r="N260" s="1"/>
  <c r="N259" s="1"/>
  <c r="N258" s="1"/>
  <c r="N257" s="1"/>
  <c r="N256" s="1"/>
  <c r="M261"/>
  <c r="M260" s="1"/>
  <c r="M259" s="1"/>
  <c r="M258" s="1"/>
  <c r="M257" s="1"/>
  <c r="M256" s="1"/>
  <c r="M254"/>
  <c r="L262"/>
  <c r="L261" s="1"/>
  <c r="L260" s="1"/>
  <c r="L259" s="1"/>
  <c r="L258" s="1"/>
  <c r="L257" s="1"/>
  <c r="L256" s="1"/>
  <c r="M353" i="3"/>
  <c r="L354"/>
  <c r="L353" s="1"/>
  <c r="D20" i="16"/>
  <c r="C20" i="2"/>
  <c r="M284" i="3" l="1"/>
  <c r="M424"/>
  <c r="M45"/>
  <c r="M28"/>
  <c r="H545" i="7"/>
  <c r="H544" s="1"/>
  <c r="H543" s="1"/>
  <c r="M322" i="3"/>
  <c r="M321" s="1"/>
  <c r="H542" i="7"/>
  <c r="H541" s="1"/>
  <c r="H540" s="1"/>
  <c r="H446"/>
  <c r="H445" s="1"/>
  <c r="H169"/>
  <c r="H168" s="1"/>
  <c r="H158"/>
  <c r="H157" s="1"/>
  <c r="M223" i="19"/>
  <c r="K565"/>
  <c r="K562"/>
  <c r="K559"/>
  <c r="K556"/>
  <c r="K549"/>
  <c r="K546"/>
  <c r="K543"/>
  <c r="K540"/>
  <c r="K533"/>
  <c r="K532" s="1"/>
  <c r="K531" s="1"/>
  <c r="K530" s="1"/>
  <c r="K529" s="1"/>
  <c r="K528" s="1"/>
  <c r="K522"/>
  <c r="K521" s="1"/>
  <c r="K520" s="1"/>
  <c r="K519" s="1"/>
  <c r="K518" s="1"/>
  <c r="K514"/>
  <c r="K513" s="1"/>
  <c r="K512" s="1"/>
  <c r="K511" s="1"/>
  <c r="K510" s="1"/>
  <c r="K507"/>
  <c r="K506" s="1"/>
  <c r="K504"/>
  <c r="K503" s="1"/>
  <c r="K501"/>
  <c r="K500" s="1"/>
  <c r="K490"/>
  <c r="K489" s="1"/>
  <c r="K488" s="1"/>
  <c r="K487" s="1"/>
  <c r="K486" s="1"/>
  <c r="K484"/>
  <c r="K483" s="1"/>
  <c r="K482" s="1"/>
  <c r="K481" s="1"/>
  <c r="K480" s="1"/>
  <c r="K478"/>
  <c r="K476"/>
  <c r="K472"/>
  <c r="K468"/>
  <c r="K467" s="1"/>
  <c r="K466" s="1"/>
  <c r="K461"/>
  <c r="K460" s="1"/>
  <c r="K459" s="1"/>
  <c r="K458" s="1"/>
  <c r="K457" s="1"/>
  <c r="K456" s="1"/>
  <c r="K450"/>
  <c r="K446"/>
  <c r="K440"/>
  <c r="K438"/>
  <c r="K432"/>
  <c r="K431" s="1"/>
  <c r="K429"/>
  <c r="K427"/>
  <c r="K421"/>
  <c r="K420" s="1"/>
  <c r="K419" s="1"/>
  <c r="K418" s="1"/>
  <c r="K417" s="1"/>
  <c r="K416" s="1"/>
  <c r="K414"/>
  <c r="K412"/>
  <c r="K405"/>
  <c r="K404" s="1"/>
  <c r="K403" s="1"/>
  <c r="K402" s="1"/>
  <c r="K401" s="1"/>
  <c r="K396"/>
  <c r="K395" s="1"/>
  <c r="K394" s="1"/>
  <c r="K393" s="1"/>
  <c r="K392" s="1"/>
  <c r="K391" s="1"/>
  <c r="K388"/>
  <c r="K383"/>
  <c r="K379"/>
  <c r="K373"/>
  <c r="K372" s="1"/>
  <c r="K371" s="1"/>
  <c r="K370" s="1"/>
  <c r="K369" s="1"/>
  <c r="K367"/>
  <c r="K366" s="1"/>
  <c r="K365" s="1"/>
  <c r="K364" s="1"/>
  <c r="K362"/>
  <c r="K360"/>
  <c r="K358"/>
  <c r="K357"/>
  <c r="K356"/>
  <c r="K355"/>
  <c r="K354"/>
  <c r="K346"/>
  <c r="K345" s="1"/>
  <c r="K344" s="1"/>
  <c r="K343" s="1"/>
  <c r="K340"/>
  <c r="K339" s="1"/>
  <c r="K338" s="1"/>
  <c r="K335"/>
  <c r="K332"/>
  <c r="K328"/>
  <c r="K324"/>
  <c r="K321"/>
  <c r="K318"/>
  <c r="K316"/>
  <c r="K313" s="1"/>
  <c r="K307"/>
  <c r="K306" s="1"/>
  <c r="K305" s="1"/>
  <c r="K304" s="1"/>
  <c r="K302"/>
  <c r="K300"/>
  <c r="K298"/>
  <c r="K291"/>
  <c r="K290" s="1"/>
  <c r="K288"/>
  <c r="K287" s="1"/>
  <c r="K285"/>
  <c r="K284" s="1"/>
  <c r="K276"/>
  <c r="K274"/>
  <c r="K254"/>
  <c r="K253" s="1"/>
  <c r="K252" s="1"/>
  <c r="K251" s="1"/>
  <c r="K250" s="1"/>
  <c r="K249" s="1"/>
  <c r="K245"/>
  <c r="K244" s="1"/>
  <c r="K243" s="1"/>
  <c r="K242" s="1"/>
  <c r="K240"/>
  <c r="K239" s="1"/>
  <c r="K237"/>
  <c r="K236" s="1"/>
  <c r="K234"/>
  <c r="K230"/>
  <c r="K226"/>
  <c r="K222"/>
  <c r="K220"/>
  <c r="K209"/>
  <c r="K208" s="1"/>
  <c r="K207" s="1"/>
  <c r="K206" s="1"/>
  <c r="K205" s="1"/>
  <c r="K204" s="1"/>
  <c r="K201"/>
  <c r="K200" s="1"/>
  <c r="K199" s="1"/>
  <c r="K198" s="1"/>
  <c r="K197" s="1"/>
  <c r="K196" s="1"/>
  <c r="K194"/>
  <c r="K193" s="1"/>
  <c r="K191"/>
  <c r="K190" s="1"/>
  <c r="K183"/>
  <c r="K182" s="1"/>
  <c r="K181" s="1"/>
  <c r="K180" s="1"/>
  <c r="K179" s="1"/>
  <c r="K174"/>
  <c r="K173" s="1"/>
  <c r="K172" s="1"/>
  <c r="K171" s="1"/>
  <c r="K170" s="1"/>
  <c r="K169" s="1"/>
  <c r="K167"/>
  <c r="K166" s="1"/>
  <c r="K165" s="1"/>
  <c r="K164" s="1"/>
  <c r="K163" s="1"/>
  <c r="K161"/>
  <c r="K160" s="1"/>
  <c r="K159" s="1"/>
  <c r="K158" s="1"/>
  <c r="K157" s="1"/>
  <c r="K154"/>
  <c r="K152"/>
  <c r="K144"/>
  <c r="K143" s="1"/>
  <c r="K142" s="1"/>
  <c r="K141" s="1"/>
  <c r="K139"/>
  <c r="K137"/>
  <c r="K132"/>
  <c r="K131" s="1"/>
  <c r="K130" s="1"/>
  <c r="K128"/>
  <c r="K127" s="1"/>
  <c r="K126" s="1"/>
  <c r="K122"/>
  <c r="K121" s="1"/>
  <c r="K120" s="1"/>
  <c r="K119" s="1"/>
  <c r="K118" s="1"/>
  <c r="K116"/>
  <c r="K115" s="1"/>
  <c r="K113"/>
  <c r="K112" s="1"/>
  <c r="K104"/>
  <c r="K103" s="1"/>
  <c r="K102" s="1"/>
  <c r="K100"/>
  <c r="K99" s="1"/>
  <c r="K97"/>
  <c r="K96" s="1"/>
  <c r="K91"/>
  <c r="K89"/>
  <c r="K87"/>
  <c r="K80"/>
  <c r="K79" s="1"/>
  <c r="K77"/>
  <c r="K76" s="1"/>
  <c r="K74"/>
  <c r="K72"/>
  <c r="K68"/>
  <c r="K67" s="1"/>
  <c r="K63"/>
  <c r="K62" s="1"/>
  <c r="K61" s="1"/>
  <c r="K60" s="1"/>
  <c r="K57"/>
  <c r="K56" s="1"/>
  <c r="K55" s="1"/>
  <c r="K54" s="1"/>
  <c r="K52"/>
  <c r="K51" s="1"/>
  <c r="K50" s="1"/>
  <c r="K49" s="1"/>
  <c r="K48" s="1"/>
  <c r="K46"/>
  <c r="K45" s="1"/>
  <c r="K43"/>
  <c r="K40"/>
  <c r="K37"/>
  <c r="K35"/>
  <c r="K33"/>
  <c r="K29"/>
  <c r="K23"/>
  <c r="K22" s="1"/>
  <c r="K21" s="1"/>
  <c r="K20" s="1"/>
  <c r="K19" s="1"/>
  <c r="K426" l="1"/>
  <c r="K425" s="1"/>
  <c r="K424" s="1"/>
  <c r="K423" s="1"/>
  <c r="K378"/>
  <c r="K377" s="1"/>
  <c r="K376" s="1"/>
  <c r="K375" s="1"/>
  <c r="K136"/>
  <c r="K135" s="1"/>
  <c r="K134" s="1"/>
  <c r="K353"/>
  <c r="K352" s="1"/>
  <c r="K351" s="1"/>
  <c r="K350" s="1"/>
  <c r="K349" s="1"/>
  <c r="K445"/>
  <c r="K444" s="1"/>
  <c r="K443" s="1"/>
  <c r="K442" s="1"/>
  <c r="K71"/>
  <c r="K66" s="1"/>
  <c r="K65" s="1"/>
  <c r="K59" s="1"/>
  <c r="K297"/>
  <c r="K296" s="1"/>
  <c r="K295" s="1"/>
  <c r="K294" s="1"/>
  <c r="K312"/>
  <c r="K311" s="1"/>
  <c r="K310" s="1"/>
  <c r="K309" s="1"/>
  <c r="K539"/>
  <c r="K538" s="1"/>
  <c r="K537" s="1"/>
  <c r="K536" s="1"/>
  <c r="K411"/>
  <c r="K410" s="1"/>
  <c r="K28"/>
  <c r="K27" s="1"/>
  <c r="K26" s="1"/>
  <c r="K25" s="1"/>
  <c r="K151"/>
  <c r="K149" s="1"/>
  <c r="K148" s="1"/>
  <c r="K147" s="1"/>
  <c r="K273"/>
  <c r="K272" s="1"/>
  <c r="K271" s="1"/>
  <c r="K270" s="1"/>
  <c r="K269" s="1"/>
  <c r="K555"/>
  <c r="K554" s="1"/>
  <c r="K553" s="1"/>
  <c r="K552" s="1"/>
  <c r="K499"/>
  <c r="K498" s="1"/>
  <c r="K497" s="1"/>
  <c r="K496" s="1"/>
  <c r="K86"/>
  <c r="K85" s="1"/>
  <c r="K84" s="1"/>
  <c r="K83" s="1"/>
  <c r="K111"/>
  <c r="K110" s="1"/>
  <c r="K109" s="1"/>
  <c r="K156"/>
  <c r="K225"/>
  <c r="K224" s="1"/>
  <c r="K437"/>
  <c r="K436" s="1"/>
  <c r="K471"/>
  <c r="K470" s="1"/>
  <c r="K465" s="1"/>
  <c r="K464" s="1"/>
  <c r="K463" s="1"/>
  <c r="K455" s="1"/>
  <c r="K219"/>
  <c r="K218" s="1"/>
  <c r="K95"/>
  <c r="K94" s="1"/>
  <c r="K93" s="1"/>
  <c r="K125"/>
  <c r="K189"/>
  <c r="K188" s="1"/>
  <c r="K187" s="1"/>
  <c r="K178" s="1"/>
  <c r="K177" s="1"/>
  <c r="K283"/>
  <c r="K282" s="1"/>
  <c r="K281" s="1"/>
  <c r="K280" s="1"/>
  <c r="K509"/>
  <c r="M564" i="3"/>
  <c r="M627"/>
  <c r="M641"/>
  <c r="K82" i="19" l="1"/>
  <c r="K495"/>
  <c r="K409"/>
  <c r="K408" s="1"/>
  <c r="K407" s="1"/>
  <c r="K124"/>
  <c r="K108" s="1"/>
  <c r="K535"/>
  <c r="K527" s="1"/>
  <c r="K422"/>
  <c r="K293"/>
  <c r="K279" s="1"/>
  <c r="K18"/>
  <c r="K217"/>
  <c r="K216" s="1"/>
  <c r="K215" s="1"/>
  <c r="K214" s="1"/>
  <c r="M635" i="3"/>
  <c r="M342"/>
  <c r="H387" i="7" s="1"/>
  <c r="M343" i="3"/>
  <c r="M82"/>
  <c r="M85"/>
  <c r="M247"/>
  <c r="M601"/>
  <c r="M541"/>
  <c r="M597"/>
  <c r="L566"/>
  <c r="L565" s="1"/>
  <c r="M565"/>
  <c r="K565"/>
  <c r="M574"/>
  <c r="M543"/>
  <c r="M576"/>
  <c r="K576"/>
  <c r="L577"/>
  <c r="L576" s="1"/>
  <c r="M417"/>
  <c r="M389"/>
  <c r="M427"/>
  <c r="M426"/>
  <c r="M429"/>
  <c r="M467"/>
  <c r="M466"/>
  <c r="M416"/>
  <c r="M468"/>
  <c r="M418"/>
  <c r="M507"/>
  <c r="M391"/>
  <c r="M394"/>
  <c r="L395"/>
  <c r="L394" s="1"/>
  <c r="K394"/>
  <c r="M360"/>
  <c r="M56"/>
  <c r="M116"/>
  <c r="M66"/>
  <c r="M65" s="1"/>
  <c r="L67"/>
  <c r="L66" s="1"/>
  <c r="L65" s="1"/>
  <c r="K66"/>
  <c r="K65" s="1"/>
  <c r="M117"/>
  <c r="M62"/>
  <c r="M88"/>
  <c r="K17" i="19" l="1"/>
  <c r="L342" i="3"/>
  <c r="K400" i="19"/>
  <c r="M341" i="3"/>
  <c r="M491"/>
  <c r="M423"/>
  <c r="M393"/>
  <c r="M642"/>
  <c r="M320"/>
  <c r="M319" s="1"/>
  <c r="K321"/>
  <c r="K320" s="1"/>
  <c r="K319" s="1"/>
  <c r="L323"/>
  <c r="L227"/>
  <c r="L226" s="1"/>
  <c r="L225" s="1"/>
  <c r="K226"/>
  <c r="K225" s="1"/>
  <c r="M224"/>
  <c r="M221"/>
  <c r="K15" i="19" l="1"/>
  <c r="L322" i="3"/>
  <c r="L321" s="1"/>
  <c r="L320" s="1"/>
  <c r="L319" s="1"/>
  <c r="M226"/>
  <c r="M225" s="1"/>
  <c r="M135" l="1"/>
  <c r="C52" i="2"/>
  <c r="C26" l="1"/>
  <c r="M451" i="3"/>
  <c r="L451" s="1"/>
  <c r="L450" s="1"/>
  <c r="K450"/>
  <c r="M450" l="1"/>
  <c r="H75" i="7"/>
  <c r="H74" s="1"/>
  <c r="M376" i="3"/>
  <c r="M504" l="1"/>
  <c r="M209"/>
  <c r="B15" i="9" s="1"/>
  <c r="K726" i="3" l="1"/>
  <c r="K724" s="1"/>
  <c r="K723"/>
  <c r="K721" s="1"/>
  <c r="K718"/>
  <c r="K712"/>
  <c r="K711" s="1"/>
  <c r="K710"/>
  <c r="K708" s="1"/>
  <c r="K707"/>
  <c r="K705" s="1"/>
  <c r="K702"/>
  <c r="K699"/>
  <c r="K692"/>
  <c r="K691" s="1"/>
  <c r="K690" s="1"/>
  <c r="K689" s="1"/>
  <c r="K688" s="1"/>
  <c r="K687" s="1"/>
  <c r="K683"/>
  <c r="K682"/>
  <c r="K676"/>
  <c r="K675" s="1"/>
  <c r="K674"/>
  <c r="K673"/>
  <c r="K672"/>
  <c r="K664"/>
  <c r="K663" s="1"/>
  <c r="K661"/>
  <c r="K660" s="1"/>
  <c r="K658"/>
  <c r="K657" s="1"/>
  <c r="K647"/>
  <c r="K646" s="1"/>
  <c r="K645" s="1"/>
  <c r="K644" s="1"/>
  <c r="K643" s="1"/>
  <c r="K640"/>
  <c r="K639" s="1"/>
  <c r="K638" s="1"/>
  <c r="K637" s="1"/>
  <c r="K636" s="1"/>
  <c r="K635"/>
  <c r="K634" s="1"/>
  <c r="K633" s="1"/>
  <c r="K632" s="1"/>
  <c r="K630"/>
  <c r="K628"/>
  <c r="K626"/>
  <c r="K624"/>
  <c r="K622"/>
  <c r="K621"/>
  <c r="K616"/>
  <c r="K615" s="1"/>
  <c r="K614" s="1"/>
  <c r="K609"/>
  <c r="K608" s="1"/>
  <c r="K607" s="1"/>
  <c r="K606" s="1"/>
  <c r="K605" s="1"/>
  <c r="K604" s="1"/>
  <c r="K600"/>
  <c r="K598"/>
  <c r="K596" s="1"/>
  <c r="K594"/>
  <c r="K593"/>
  <c r="K589"/>
  <c r="K588" s="1"/>
  <c r="K587" s="1"/>
  <c r="K586" s="1"/>
  <c r="K582"/>
  <c r="K580"/>
  <c r="K575"/>
  <c r="K574"/>
  <c r="K569"/>
  <c r="K568"/>
  <c r="K567" s="1"/>
  <c r="K564"/>
  <c r="K563" s="1"/>
  <c r="K557"/>
  <c r="K556" s="1"/>
  <c r="K555" s="1"/>
  <c r="K554" s="1"/>
  <c r="K553" s="1"/>
  <c r="K552" s="1"/>
  <c r="K550"/>
  <c r="K549" s="1"/>
  <c r="K548" s="1"/>
  <c r="K547" s="1"/>
  <c r="K546" s="1"/>
  <c r="K544"/>
  <c r="K542"/>
  <c r="K541"/>
  <c r="K540" s="1"/>
  <c r="K534"/>
  <c r="K533" s="1"/>
  <c r="K532" s="1"/>
  <c r="K531" s="1"/>
  <c r="K523"/>
  <c r="K522" s="1"/>
  <c r="K521" s="1"/>
  <c r="K520" s="1"/>
  <c r="K519" s="1"/>
  <c r="K518" s="1"/>
  <c r="K515"/>
  <c r="K513"/>
  <c r="K511"/>
  <c r="K508"/>
  <c r="K506" s="1"/>
  <c r="K505"/>
  <c r="K504"/>
  <c r="K498"/>
  <c r="K497" s="1"/>
  <c r="K496" s="1"/>
  <c r="K492"/>
  <c r="K490"/>
  <c r="K484"/>
  <c r="K483" s="1"/>
  <c r="K481"/>
  <c r="K479"/>
  <c r="K478"/>
  <c r="K477" s="1"/>
  <c r="K474"/>
  <c r="K473"/>
  <c r="K472"/>
  <c r="K468"/>
  <c r="K467"/>
  <c r="K466"/>
  <c r="K465"/>
  <c r="K457"/>
  <c r="K456" s="1"/>
  <c r="K455" s="1"/>
  <c r="K453"/>
  <c r="K452" s="1"/>
  <c r="K447"/>
  <c r="K444"/>
  <c r="K441"/>
  <c r="K437"/>
  <c r="K433"/>
  <c r="K430"/>
  <c r="K429"/>
  <c r="K427"/>
  <c r="K426"/>
  <c r="K422"/>
  <c r="K421"/>
  <c r="K419" s="1"/>
  <c r="K418"/>
  <c r="K417"/>
  <c r="K416"/>
  <c r="K408"/>
  <c r="K407" s="1"/>
  <c r="K406" s="1"/>
  <c r="K405" s="1"/>
  <c r="K403"/>
  <c r="K402" s="1"/>
  <c r="K400"/>
  <c r="K398"/>
  <c r="K396"/>
  <c r="K392"/>
  <c r="K391"/>
  <c r="K390" s="1"/>
  <c r="K388"/>
  <c r="K381"/>
  <c r="K380" s="1"/>
  <c r="K378"/>
  <c r="K377" s="1"/>
  <c r="K376"/>
  <c r="K375" s="1"/>
  <c r="K374" s="1"/>
  <c r="K367"/>
  <c r="K366" s="1"/>
  <c r="K360"/>
  <c r="K359" s="1"/>
  <c r="K358" s="1"/>
  <c r="K357" s="1"/>
  <c r="K356" s="1"/>
  <c r="K355" s="1"/>
  <c r="K352"/>
  <c r="K351" s="1"/>
  <c r="K350" s="1"/>
  <c r="K349" s="1"/>
  <c r="K348" s="1"/>
  <c r="K347" s="1"/>
  <c r="K344"/>
  <c r="K343"/>
  <c r="K341" s="1"/>
  <c r="K330"/>
  <c r="K329" s="1"/>
  <c r="K328" s="1"/>
  <c r="K327" s="1"/>
  <c r="K326" s="1"/>
  <c r="K325" s="1"/>
  <c r="K324" s="1"/>
  <c r="K315"/>
  <c r="K314" s="1"/>
  <c r="K313" s="1"/>
  <c r="K312" s="1"/>
  <c r="K309"/>
  <c r="K308" s="1"/>
  <c r="K307" s="1"/>
  <c r="K305"/>
  <c r="K304" s="1"/>
  <c r="K302"/>
  <c r="K301" s="1"/>
  <c r="K299"/>
  <c r="K297"/>
  <c r="K296"/>
  <c r="K291"/>
  <c r="K288"/>
  <c r="K287"/>
  <c r="K283"/>
  <c r="K282" s="1"/>
  <c r="K274"/>
  <c r="K270"/>
  <c r="K263"/>
  <c r="K262" s="1"/>
  <c r="K261" s="1"/>
  <c r="K260" s="1"/>
  <c r="K259" s="1"/>
  <c r="K258" s="1"/>
  <c r="K256"/>
  <c r="K255" s="1"/>
  <c r="K254" s="1"/>
  <c r="K253" s="1"/>
  <c r="K252" s="1"/>
  <c r="K249"/>
  <c r="K248" s="1"/>
  <c r="K247"/>
  <c r="K246" s="1"/>
  <c r="K245" s="1"/>
  <c r="K240"/>
  <c r="K239" s="1"/>
  <c r="K237"/>
  <c r="K236"/>
  <c r="K223"/>
  <c r="K222" s="1"/>
  <c r="K220"/>
  <c r="K219" s="1"/>
  <c r="K217"/>
  <c r="K216" s="1"/>
  <c r="K214"/>
  <c r="K213" s="1"/>
  <c r="K211"/>
  <c r="K210" s="1"/>
  <c r="K208"/>
  <c r="K207" s="1"/>
  <c r="K201"/>
  <c r="K200" s="1"/>
  <c r="K199" s="1"/>
  <c r="K198" s="1"/>
  <c r="K197" s="1"/>
  <c r="K196" s="1"/>
  <c r="K194"/>
  <c r="K193" s="1"/>
  <c r="K192" s="1"/>
  <c r="K191" s="1"/>
  <c r="K190" s="1"/>
  <c r="K188"/>
  <c r="K187"/>
  <c r="K185"/>
  <c r="K179"/>
  <c r="K178" s="1"/>
  <c r="K177" s="1"/>
  <c r="K176" s="1"/>
  <c r="K175" s="1"/>
  <c r="K172"/>
  <c r="K171" s="1"/>
  <c r="K170" s="1"/>
  <c r="K169" s="1"/>
  <c r="K168" s="1"/>
  <c r="K167" s="1"/>
  <c r="K165"/>
  <c r="K162"/>
  <c r="K157"/>
  <c r="K155"/>
  <c r="K150"/>
  <c r="K149" s="1"/>
  <c r="K148" s="1"/>
  <c r="K146"/>
  <c r="K145" s="1"/>
  <c r="K144" s="1"/>
  <c r="K141"/>
  <c r="K140" s="1"/>
  <c r="K139" s="1"/>
  <c r="K138" s="1"/>
  <c r="K137" s="1"/>
  <c r="K136" s="1"/>
  <c r="K134"/>
  <c r="K133" s="1"/>
  <c r="K131"/>
  <c r="K130" s="1"/>
  <c r="K124"/>
  <c r="K123" s="1"/>
  <c r="K122" s="1"/>
  <c r="K120"/>
  <c r="K119" s="1"/>
  <c r="K117"/>
  <c r="K116"/>
  <c r="K111"/>
  <c r="K110" s="1"/>
  <c r="K108"/>
  <c r="K106"/>
  <c r="K100"/>
  <c r="K98"/>
  <c r="K96"/>
  <c r="K95"/>
  <c r="K94" s="1"/>
  <c r="K87"/>
  <c r="K86" s="1"/>
  <c r="K84"/>
  <c r="K83" s="1"/>
  <c r="K81"/>
  <c r="K80" s="1"/>
  <c r="K78"/>
  <c r="K77" s="1"/>
  <c r="K76"/>
  <c r="K75" s="1"/>
  <c r="K74"/>
  <c r="K73" s="1"/>
  <c r="K69"/>
  <c r="K68" s="1"/>
  <c r="K62"/>
  <c r="K61" s="1"/>
  <c r="K60" s="1"/>
  <c r="K59" s="1"/>
  <c r="K58" s="1"/>
  <c r="K56"/>
  <c r="K55" s="1"/>
  <c r="K54" s="1"/>
  <c r="K53" s="1"/>
  <c r="K52" s="1"/>
  <c r="K50"/>
  <c r="K49" s="1"/>
  <c r="K48" s="1"/>
  <c r="K47" s="1"/>
  <c r="K46" s="1"/>
  <c r="K44"/>
  <c r="K43" s="1"/>
  <c r="K41"/>
  <c r="K38"/>
  <c r="K35"/>
  <c r="K33"/>
  <c r="K31"/>
  <c r="K29"/>
  <c r="K27" s="1"/>
  <c r="K21"/>
  <c r="K20" s="1"/>
  <c r="K19" s="1"/>
  <c r="K18" s="1"/>
  <c r="K17" s="1"/>
  <c r="K592" l="1"/>
  <c r="K286"/>
  <c r="K285" s="1"/>
  <c r="K281" s="1"/>
  <c r="K562"/>
  <c r="K295"/>
  <c r="K290" s="1"/>
  <c r="K289" s="1"/>
  <c r="K671"/>
  <c r="K670" s="1"/>
  <c r="K669" s="1"/>
  <c r="K668" s="1"/>
  <c r="K667" s="1"/>
  <c r="K681"/>
  <c r="K680" s="1"/>
  <c r="K679" s="1"/>
  <c r="K678" s="1"/>
  <c r="K677" s="1"/>
  <c r="K471"/>
  <c r="K414"/>
  <c r="K425"/>
  <c r="K464"/>
  <c r="K115"/>
  <c r="K114" s="1"/>
  <c r="K113" s="1"/>
  <c r="K235"/>
  <c r="K234" s="1"/>
  <c r="K233" s="1"/>
  <c r="K232" s="1"/>
  <c r="K231" s="1"/>
  <c r="K502"/>
  <c r="K501" s="1"/>
  <c r="K500" s="1"/>
  <c r="K495" s="1"/>
  <c r="K494" s="1"/>
  <c r="K572"/>
  <c r="K571" s="1"/>
  <c r="K387"/>
  <c r="K386" s="1"/>
  <c r="K385" s="1"/>
  <c r="K384" s="1"/>
  <c r="K206"/>
  <c r="K205" s="1"/>
  <c r="K204" s="1"/>
  <c r="K203" s="1"/>
  <c r="K620"/>
  <c r="K619" s="1"/>
  <c r="K618" s="1"/>
  <c r="K613" s="1"/>
  <c r="K612" s="1"/>
  <c r="K611" s="1"/>
  <c r="K603" s="1"/>
  <c r="K244"/>
  <c r="K243" s="1"/>
  <c r="K242" s="1"/>
  <c r="K489"/>
  <c r="K488" s="1"/>
  <c r="K487" s="1"/>
  <c r="K486" s="1"/>
  <c r="K161"/>
  <c r="K160" s="1"/>
  <c r="K159" s="1"/>
  <c r="K154"/>
  <c r="K153" s="1"/>
  <c r="K152" s="1"/>
  <c r="K340"/>
  <c r="K339" s="1"/>
  <c r="K338" s="1"/>
  <c r="K332" s="1"/>
  <c r="K331" s="1"/>
  <c r="K579"/>
  <c r="K578" s="1"/>
  <c r="K93"/>
  <c r="K92" s="1"/>
  <c r="K91" s="1"/>
  <c r="K90" s="1"/>
  <c r="K105"/>
  <c r="K104" s="1"/>
  <c r="K269"/>
  <c r="K268" s="1"/>
  <c r="K267" s="1"/>
  <c r="K266" s="1"/>
  <c r="K265" s="1"/>
  <c r="K184"/>
  <c r="K183" s="1"/>
  <c r="K182" s="1"/>
  <c r="K181" s="1"/>
  <c r="K174" s="1"/>
  <c r="K143"/>
  <c r="K346"/>
  <c r="K373"/>
  <c r="K372" s="1"/>
  <c r="K371" s="1"/>
  <c r="K370" s="1"/>
  <c r="K539"/>
  <c r="K538" s="1"/>
  <c r="K537" s="1"/>
  <c r="K536" s="1"/>
  <c r="K535" s="1"/>
  <c r="K698"/>
  <c r="K697" s="1"/>
  <c r="K696" s="1"/>
  <c r="K695" s="1"/>
  <c r="K717"/>
  <c r="K716" s="1"/>
  <c r="K715" s="1"/>
  <c r="K714" s="1"/>
  <c r="K72"/>
  <c r="K26"/>
  <c r="K25" s="1"/>
  <c r="K24" s="1"/>
  <c r="K23" s="1"/>
  <c r="K251"/>
  <c r="K530"/>
  <c r="K529"/>
  <c r="K528" s="1"/>
  <c r="K129"/>
  <c r="K128" s="1"/>
  <c r="K127" s="1"/>
  <c r="K365"/>
  <c r="K364" s="1"/>
  <c r="K363" s="1"/>
  <c r="K362" s="1"/>
  <c r="K361" s="1"/>
  <c r="K591"/>
  <c r="K590" s="1"/>
  <c r="K585" s="1"/>
  <c r="K584" s="1"/>
  <c r="K656"/>
  <c r="K655" s="1"/>
  <c r="K654" s="1"/>
  <c r="K653" s="1"/>
  <c r="K666" l="1"/>
  <c r="K652" s="1"/>
  <c r="K463"/>
  <c r="K462" s="1"/>
  <c r="K461" s="1"/>
  <c r="K460" s="1"/>
  <c r="K413"/>
  <c r="K412" s="1"/>
  <c r="K411" s="1"/>
  <c r="K410" s="1"/>
  <c r="K561"/>
  <c r="K560" s="1"/>
  <c r="K559" s="1"/>
  <c r="K558" s="1"/>
  <c r="K527" s="1"/>
  <c r="K64"/>
  <c r="K63" s="1"/>
  <c r="K57" s="1"/>
  <c r="K16" s="1"/>
  <c r="K230"/>
  <c r="K229" s="1"/>
  <c r="K142"/>
  <c r="K126" s="1"/>
  <c r="K103"/>
  <c r="K102" s="1"/>
  <c r="K89" s="1"/>
  <c r="K280"/>
  <c r="K694"/>
  <c r="K686" s="1"/>
  <c r="K383" l="1"/>
  <c r="K369" s="1"/>
  <c r="K279"/>
  <c r="K278" s="1"/>
  <c r="K277" s="1"/>
  <c r="K15"/>
  <c r="K14" l="1"/>
  <c r="M699" l="1"/>
  <c r="H34" i="7" l="1"/>
  <c r="L401" i="3"/>
  <c r="L400" s="1"/>
  <c r="M400"/>
  <c r="H344" i="7" l="1"/>
  <c r="M308" i="3"/>
  <c r="M307" s="1"/>
  <c r="L310"/>
  <c r="L309" l="1"/>
  <c r="L308" s="1"/>
  <c r="L307" s="1"/>
  <c r="H343" i="7"/>
  <c r="H342" s="1"/>
  <c r="H341" s="1"/>
  <c r="H70"/>
  <c r="H69"/>
  <c r="M444" i="3"/>
  <c r="L446"/>
  <c r="L445"/>
  <c r="H33" i="7"/>
  <c r="H68" l="1"/>
  <c r="L444" i="3"/>
  <c r="C72" i="2" l="1"/>
  <c r="M288" i="3" l="1"/>
  <c r="M76"/>
  <c r="H520" i="7" l="1"/>
  <c r="H527"/>
  <c r="H539" l="1"/>
  <c r="H538" s="1"/>
  <c r="H537" s="1"/>
  <c r="H536"/>
  <c r="H535" s="1"/>
  <c r="H534" s="1"/>
  <c r="M220" i="3"/>
  <c r="M219" s="1"/>
  <c r="M223"/>
  <c r="M222" s="1"/>
  <c r="L224"/>
  <c r="L223" s="1"/>
  <c r="L222" s="1"/>
  <c r="L221"/>
  <c r="L220" s="1"/>
  <c r="L219" s="1"/>
  <c r="M676"/>
  <c r="N360" i="19" l="1"/>
  <c r="M360"/>
  <c r="M478" i="3" l="1"/>
  <c r="D54" i="16"/>
  <c r="N275" i="19"/>
  <c r="C36" i="2"/>
  <c r="M367" i="3"/>
  <c r="C50" i="2"/>
  <c r="M74" i="3" l="1"/>
  <c r="M672" l="1"/>
  <c r="M683"/>
  <c r="M593"/>
  <c r="M575"/>
  <c r="M594"/>
  <c r="M598"/>
  <c r="M296" l="1"/>
  <c r="M95"/>
  <c r="M237" l="1"/>
  <c r="M490"/>
  <c r="M479"/>
  <c r="M712" l="1"/>
  <c r="L713"/>
  <c r="L712" l="1"/>
  <c r="H366" i="7"/>
  <c r="H365" s="1"/>
  <c r="M711" i="3"/>
  <c r="L711" s="1"/>
  <c r="H519" i="7" l="1"/>
  <c r="H518" s="1"/>
  <c r="H517"/>
  <c r="H516" s="1"/>
  <c r="H515" s="1"/>
  <c r="M185" i="3"/>
  <c r="M188"/>
  <c r="L188" s="1"/>
  <c r="L186"/>
  <c r="L189"/>
  <c r="L187" s="1"/>
  <c r="L185" l="1"/>
  <c r="L184" s="1"/>
  <c r="M184"/>
  <c r="M682"/>
  <c r="M674"/>
  <c r="M673"/>
  <c r="H497" i="7" l="1"/>
  <c r="H496" s="1"/>
  <c r="H495" s="1"/>
  <c r="L88" i="3"/>
  <c r="L87" s="1"/>
  <c r="L86" s="1"/>
  <c r="M87"/>
  <c r="M86" s="1"/>
  <c r="M27"/>
  <c r="H533" i="7" l="1"/>
  <c r="H532" s="1"/>
  <c r="H531" s="1"/>
  <c r="H530"/>
  <c r="H529" s="1"/>
  <c r="H528" s="1"/>
  <c r="M217" i="3"/>
  <c r="M216" s="1"/>
  <c r="L218"/>
  <c r="L217" s="1"/>
  <c r="L216" s="1"/>
  <c r="M214"/>
  <c r="M213" s="1"/>
  <c r="L215"/>
  <c r="L214" s="1"/>
  <c r="L213" s="1"/>
  <c r="L263" l="1"/>
  <c r="L262" s="1"/>
  <c r="L261" s="1"/>
  <c r="L260" s="1"/>
  <c r="L259" s="1"/>
  <c r="L258" s="1"/>
  <c r="H301" i="7"/>
  <c r="M262" i="3"/>
  <c r="M261" s="1"/>
  <c r="M260" s="1"/>
  <c r="M259" s="1"/>
  <c r="M258" s="1"/>
  <c r="M505" l="1"/>
  <c r="M316" i="19" l="1"/>
  <c r="H24" i="7" l="1"/>
  <c r="M381" i="3"/>
  <c r="M315"/>
  <c r="M291"/>
  <c r="M286"/>
  <c r="M270"/>
  <c r="M162"/>
  <c r="M69"/>
  <c r="M50"/>
  <c r="M44"/>
  <c r="M35"/>
  <c r="M21"/>
  <c r="M425" l="1"/>
  <c r="L428" l="1"/>
  <c r="H51" i="7" l="1"/>
  <c r="H118"/>
  <c r="H117" s="1"/>
  <c r="L512" i="3"/>
  <c r="L511" s="1"/>
  <c r="M511"/>
  <c r="L183" l="1"/>
  <c r="L182" s="1"/>
  <c r="L181" s="1"/>
  <c r="M183"/>
  <c r="M182" s="1"/>
  <c r="M181" s="1"/>
  <c r="H514" i="7"/>
  <c r="M771" i="3" l="1"/>
  <c r="D44" i="6" s="1"/>
  <c r="M55" i="3" l="1"/>
  <c r="M54" s="1"/>
  <c r="M61" l="1"/>
  <c r="H526" i="7" l="1"/>
  <c r="H525" s="1"/>
  <c r="L212" i="3"/>
  <c r="M211"/>
  <c r="M210" s="1"/>
  <c r="L211" l="1"/>
  <c r="L210" s="1"/>
  <c r="M141" l="1"/>
  <c r="H394" i="7" l="1"/>
  <c r="H393" s="1"/>
  <c r="H392" s="1"/>
  <c r="H391" s="1"/>
  <c r="N479" i="19" l="1"/>
  <c r="H52" i="7"/>
  <c r="M297" i="3"/>
  <c r="M295" s="1"/>
  <c r="M115"/>
  <c r="L173"/>
  <c r="L172" s="1"/>
  <c r="L171" s="1"/>
  <c r="L170" s="1"/>
  <c r="L169" s="1"/>
  <c r="L168" s="1"/>
  <c r="L167" s="1"/>
  <c r="M172"/>
  <c r="M171" s="1"/>
  <c r="M170" s="1"/>
  <c r="M169" s="1"/>
  <c r="M168" s="1"/>
  <c r="M755" s="1"/>
  <c r="D32" i="6" s="1"/>
  <c r="M167" i="3" l="1"/>
  <c r="L427"/>
  <c r="H524" i="7" l="1"/>
  <c r="H523" s="1"/>
  <c r="H522" s="1"/>
  <c r="H521" s="1"/>
  <c r="M208" i="3"/>
  <c r="M207" s="1"/>
  <c r="M206" s="1"/>
  <c r="H513" i="7" l="1"/>
  <c r="M205" i="3"/>
  <c r="M204" l="1"/>
  <c r="M786" l="1"/>
  <c r="M203"/>
  <c r="L203" s="1"/>
  <c r="L204"/>
  <c r="L205"/>
  <c r="L207"/>
  <c r="L206" s="1"/>
  <c r="L208"/>
  <c r="L209"/>
  <c r="N354" i="19" l="1"/>
  <c r="M354"/>
  <c r="N355"/>
  <c r="M355"/>
  <c r="N356"/>
  <c r="M356"/>
  <c r="N357"/>
  <c r="M357"/>
  <c r="I66" i="18"/>
  <c r="I65" s="1"/>
  <c r="H66"/>
  <c r="H65" s="1"/>
  <c r="L361" i="19"/>
  <c r="L360" s="1"/>
  <c r="M508" i="3" l="1"/>
  <c r="H97" i="7"/>
  <c r="H96" s="1"/>
  <c r="L480" i="3"/>
  <c r="L479" s="1"/>
  <c r="H129" i="7"/>
  <c r="H128" s="1"/>
  <c r="L491" i="3"/>
  <c r="L490" s="1"/>
  <c r="M465"/>
  <c r="M464" s="1"/>
  <c r="M472"/>
  <c r="L566" i="19" l="1"/>
  <c r="L565" s="1"/>
  <c r="L564"/>
  <c r="L563"/>
  <c r="L561"/>
  <c r="L560"/>
  <c r="L558"/>
  <c r="L557"/>
  <c r="L551"/>
  <c r="L550"/>
  <c r="L548"/>
  <c r="L547"/>
  <c r="L545"/>
  <c r="L544"/>
  <c r="L542"/>
  <c r="L541"/>
  <c r="L525"/>
  <c r="L534"/>
  <c r="L533" s="1"/>
  <c r="L532" s="1"/>
  <c r="L531" s="1"/>
  <c r="L530" s="1"/>
  <c r="L529" s="1"/>
  <c r="L528" s="1"/>
  <c r="L524"/>
  <c r="L516"/>
  <c r="L523"/>
  <c r="L517"/>
  <c r="L515"/>
  <c r="L508"/>
  <c r="L507" s="1"/>
  <c r="L506" s="1"/>
  <c r="L505"/>
  <c r="L504" s="1"/>
  <c r="L503" s="1"/>
  <c r="L502"/>
  <c r="L501" s="1"/>
  <c r="L500" s="1"/>
  <c r="L493"/>
  <c r="L492"/>
  <c r="L491"/>
  <c r="L485"/>
  <c r="L484" s="1"/>
  <c r="L483" s="1"/>
  <c r="L482" s="1"/>
  <c r="L481" s="1"/>
  <c r="L480" s="1"/>
  <c r="L479"/>
  <c r="L478" s="1"/>
  <c r="L477"/>
  <c r="L476" s="1"/>
  <c r="L475"/>
  <c r="L474"/>
  <c r="L473"/>
  <c r="L469"/>
  <c r="L468" s="1"/>
  <c r="L467" s="1"/>
  <c r="L466" s="1"/>
  <c r="L462"/>
  <c r="L461" s="1"/>
  <c r="L460" s="1"/>
  <c r="L459" s="1"/>
  <c r="L458" s="1"/>
  <c r="L457" s="1"/>
  <c r="L456" s="1"/>
  <c r="L453"/>
  <c r="L452"/>
  <c r="L451"/>
  <c r="L449"/>
  <c r="L448"/>
  <c r="L447"/>
  <c r="L441"/>
  <c r="L440" s="1"/>
  <c r="L439"/>
  <c r="L438" s="1"/>
  <c r="L435"/>
  <c r="L434"/>
  <c r="L433"/>
  <c r="L430"/>
  <c r="L429" s="1"/>
  <c r="L428"/>
  <c r="L427" s="1"/>
  <c r="L415"/>
  <c r="L414" s="1"/>
  <c r="L413"/>
  <c r="L412" s="1"/>
  <c r="L406"/>
  <c r="L405" s="1"/>
  <c r="L404" s="1"/>
  <c r="L403" s="1"/>
  <c r="L402" s="1"/>
  <c r="L401" s="1"/>
  <c r="L398"/>
  <c r="L389"/>
  <c r="L397"/>
  <c r="L390"/>
  <c r="L387"/>
  <c r="L386"/>
  <c r="L385"/>
  <c r="L384"/>
  <c r="L382"/>
  <c r="L381"/>
  <c r="L380"/>
  <c r="L374"/>
  <c r="L373" s="1"/>
  <c r="L372" s="1"/>
  <c r="L371" s="1"/>
  <c r="L370" s="1"/>
  <c r="L369" s="1"/>
  <c r="L368"/>
  <c r="L367" s="1"/>
  <c r="L366" s="1"/>
  <c r="L365" s="1"/>
  <c r="L364" s="1"/>
  <c r="L363"/>
  <c r="L362" s="1"/>
  <c r="L359"/>
  <c r="L358" s="1"/>
  <c r="L357"/>
  <c r="L356"/>
  <c r="L355"/>
  <c r="L354"/>
  <c r="L348"/>
  <c r="L347"/>
  <c r="L342"/>
  <c r="L341"/>
  <c r="L337"/>
  <c r="L336"/>
  <c r="L334"/>
  <c r="L333"/>
  <c r="L331"/>
  <c r="L330"/>
  <c r="L329"/>
  <c r="L327"/>
  <c r="L326"/>
  <c r="L325"/>
  <c r="L323"/>
  <c r="L322"/>
  <c r="L320"/>
  <c r="L319"/>
  <c r="L317"/>
  <c r="L316"/>
  <c r="L315"/>
  <c r="L314"/>
  <c r="L308"/>
  <c r="L307" s="1"/>
  <c r="L306" s="1"/>
  <c r="L305" s="1"/>
  <c r="L304" s="1"/>
  <c r="L303"/>
  <c r="L302" s="1"/>
  <c r="L301"/>
  <c r="L300" s="1"/>
  <c r="L299"/>
  <c r="L298" s="1"/>
  <c r="L292"/>
  <c r="L291" s="1"/>
  <c r="L290" s="1"/>
  <c r="L289"/>
  <c r="L288" s="1"/>
  <c r="L287" s="1"/>
  <c r="L286"/>
  <c r="L285" s="1"/>
  <c r="L284" s="1"/>
  <c r="L277"/>
  <c r="L276" s="1"/>
  <c r="L275"/>
  <c r="L274" s="1"/>
  <c r="L255"/>
  <c r="L254" s="1"/>
  <c r="L253" s="1"/>
  <c r="L252" s="1"/>
  <c r="L251" s="1"/>
  <c r="L250" s="1"/>
  <c r="L249" s="1"/>
  <c r="L248"/>
  <c r="L247"/>
  <c r="L246"/>
  <c r="L241"/>
  <c r="L240" s="1"/>
  <c r="L239" s="1"/>
  <c r="L238"/>
  <c r="L237" s="1"/>
  <c r="L236" s="1"/>
  <c r="L235"/>
  <c r="L234" s="1"/>
  <c r="L233"/>
  <c r="L232"/>
  <c r="L231"/>
  <c r="L229"/>
  <c r="L228"/>
  <c r="L227"/>
  <c r="L223"/>
  <c r="L222" s="1"/>
  <c r="L221"/>
  <c r="L220" s="1"/>
  <c r="L211"/>
  <c r="L212"/>
  <c r="L210"/>
  <c r="L195"/>
  <c r="L194" s="1"/>
  <c r="L193" s="1"/>
  <c r="L202"/>
  <c r="L201" s="1"/>
  <c r="L200" s="1"/>
  <c r="L199" s="1"/>
  <c r="L198" s="1"/>
  <c r="L197" s="1"/>
  <c r="L196" s="1"/>
  <c r="L192"/>
  <c r="L191" s="1"/>
  <c r="L190" s="1"/>
  <c r="L186"/>
  <c r="L185"/>
  <c r="L184"/>
  <c r="L175"/>
  <c r="L174" s="1"/>
  <c r="L173" s="1"/>
  <c r="L172" s="1"/>
  <c r="L171" s="1"/>
  <c r="L170" s="1"/>
  <c r="L169" s="1"/>
  <c r="L168"/>
  <c r="L167" s="1"/>
  <c r="L166" s="1"/>
  <c r="L165" s="1"/>
  <c r="L164" s="1"/>
  <c r="L163" s="1"/>
  <c r="L162"/>
  <c r="L161" s="1"/>
  <c r="L160" s="1"/>
  <c r="L159" s="1"/>
  <c r="L158" s="1"/>
  <c r="L157" s="1"/>
  <c r="L155"/>
  <c r="L154" s="1"/>
  <c r="L153"/>
  <c r="L152" s="1"/>
  <c r="L146"/>
  <c r="L145"/>
  <c r="L140"/>
  <c r="L139" s="1"/>
  <c r="L138"/>
  <c r="L137" s="1"/>
  <c r="L133"/>
  <c r="L132" s="1"/>
  <c r="L131" s="1"/>
  <c r="L130" s="1"/>
  <c r="L129"/>
  <c r="L128" s="1"/>
  <c r="L127" s="1"/>
  <c r="L126" s="1"/>
  <c r="L123"/>
  <c r="L122" s="1"/>
  <c r="L121" s="1"/>
  <c r="L120" s="1"/>
  <c r="L119" s="1"/>
  <c r="L118" s="1"/>
  <c r="L117"/>
  <c r="L116" s="1"/>
  <c r="L115" s="1"/>
  <c r="L114"/>
  <c r="L113" s="1"/>
  <c r="L112" s="1"/>
  <c r="L107"/>
  <c r="L106"/>
  <c r="L105"/>
  <c r="L101"/>
  <c r="L100" s="1"/>
  <c r="L99" s="1"/>
  <c r="L98"/>
  <c r="L97" s="1"/>
  <c r="L96" s="1"/>
  <c r="L92"/>
  <c r="L91" s="1"/>
  <c r="L90"/>
  <c r="L89" s="1"/>
  <c r="L88"/>
  <c r="L87" s="1"/>
  <c r="L73"/>
  <c r="L72" s="1"/>
  <c r="L81"/>
  <c r="L80" s="1"/>
  <c r="L79" s="1"/>
  <c r="L78"/>
  <c r="L77" s="1"/>
  <c r="L76" s="1"/>
  <c r="L75"/>
  <c r="L74" s="1"/>
  <c r="L70"/>
  <c r="L69"/>
  <c r="L53"/>
  <c r="L52" s="1"/>
  <c r="L51" s="1"/>
  <c r="L50" s="1"/>
  <c r="L49" s="1"/>
  <c r="L48" s="1"/>
  <c r="L64"/>
  <c r="L63" s="1"/>
  <c r="L62" s="1"/>
  <c r="L61" s="1"/>
  <c r="L60" s="1"/>
  <c r="L58"/>
  <c r="L57" s="1"/>
  <c r="L56" s="1"/>
  <c r="L55" s="1"/>
  <c r="L54" s="1"/>
  <c r="L47"/>
  <c r="L46" s="1"/>
  <c r="L45" s="1"/>
  <c r="L44"/>
  <c r="L43" s="1"/>
  <c r="L42"/>
  <c r="L41"/>
  <c r="L39"/>
  <c r="L38"/>
  <c r="L36"/>
  <c r="L35" s="1"/>
  <c r="L34"/>
  <c r="L33" s="1"/>
  <c r="L32"/>
  <c r="L31"/>
  <c r="L30"/>
  <c r="L24"/>
  <c r="L23" s="1"/>
  <c r="L22" s="1"/>
  <c r="L21" s="1"/>
  <c r="L20" s="1"/>
  <c r="L19" s="1"/>
  <c r="L725" i="3"/>
  <c r="L722"/>
  <c r="L720"/>
  <c r="L719"/>
  <c r="L709"/>
  <c r="L706"/>
  <c r="L704"/>
  <c r="L703"/>
  <c r="L701"/>
  <c r="L700"/>
  <c r="L693"/>
  <c r="L692" s="1"/>
  <c r="L691" s="1"/>
  <c r="L690" s="1"/>
  <c r="L689" s="1"/>
  <c r="L688" s="1"/>
  <c r="L687" s="1"/>
  <c r="L684"/>
  <c r="L683"/>
  <c r="L682"/>
  <c r="L676"/>
  <c r="L675" s="1"/>
  <c r="L674"/>
  <c r="L673"/>
  <c r="L672"/>
  <c r="L665"/>
  <c r="L664" s="1"/>
  <c r="L663" s="1"/>
  <c r="L662"/>
  <c r="L661" s="1"/>
  <c r="L660" s="1"/>
  <c r="L659"/>
  <c r="L658" s="1"/>
  <c r="L657" s="1"/>
  <c r="L650"/>
  <c r="L649"/>
  <c r="L648"/>
  <c r="L642"/>
  <c r="L641"/>
  <c r="L635"/>
  <c r="L634" s="1"/>
  <c r="L633" s="1"/>
  <c r="L632" s="1"/>
  <c r="L631"/>
  <c r="L630" s="1"/>
  <c r="L629"/>
  <c r="L628" s="1"/>
  <c r="L627"/>
  <c r="L626" s="1"/>
  <c r="L625"/>
  <c r="L624" s="1"/>
  <c r="L623"/>
  <c r="L617"/>
  <c r="L616" s="1"/>
  <c r="L615" s="1"/>
  <c r="L614" s="1"/>
  <c r="L610"/>
  <c r="L609" s="1"/>
  <c r="L608" s="1"/>
  <c r="L607" s="1"/>
  <c r="L606" s="1"/>
  <c r="L605" s="1"/>
  <c r="L604" s="1"/>
  <c r="L601"/>
  <c r="L600" s="1"/>
  <c r="L599"/>
  <c r="L597"/>
  <c r="L595"/>
  <c r="L594"/>
  <c r="L593"/>
  <c r="L589"/>
  <c r="L588" s="1"/>
  <c r="L587" s="1"/>
  <c r="L586" s="1"/>
  <c r="L583"/>
  <c r="L582" s="1"/>
  <c r="L581"/>
  <c r="L580" s="1"/>
  <c r="L575"/>
  <c r="L573"/>
  <c r="L570"/>
  <c r="L569" s="1"/>
  <c r="L568"/>
  <c r="L567" s="1"/>
  <c r="L551"/>
  <c r="L550" s="1"/>
  <c r="L549" s="1"/>
  <c r="L548" s="1"/>
  <c r="L547" s="1"/>
  <c r="L546" s="1"/>
  <c r="L545"/>
  <c r="L544" s="1"/>
  <c r="L543"/>
  <c r="L542" s="1"/>
  <c r="L541"/>
  <c r="L540" s="1"/>
  <c r="L525"/>
  <c r="L524"/>
  <c r="L517"/>
  <c r="L516"/>
  <c r="L514"/>
  <c r="L513" s="1"/>
  <c r="L510"/>
  <c r="L509"/>
  <c r="L508"/>
  <c r="L507"/>
  <c r="L505"/>
  <c r="L503"/>
  <c r="L499"/>
  <c r="L498" s="1"/>
  <c r="L497" s="1"/>
  <c r="L496" s="1"/>
  <c r="L493"/>
  <c r="L492" s="1"/>
  <c r="L485"/>
  <c r="L484" s="1"/>
  <c r="L483" s="1"/>
  <c r="L482"/>
  <c r="L481" s="1"/>
  <c r="L478"/>
  <c r="L477" s="1"/>
  <c r="L476"/>
  <c r="L475"/>
  <c r="L473"/>
  <c r="L472"/>
  <c r="L468"/>
  <c r="L467"/>
  <c r="L459"/>
  <c r="L458"/>
  <c r="L454"/>
  <c r="L453" s="1"/>
  <c r="L452" s="1"/>
  <c r="L449"/>
  <c r="L448"/>
  <c r="L443"/>
  <c r="L442"/>
  <c r="L440"/>
  <c r="L439"/>
  <c r="L438"/>
  <c r="L436"/>
  <c r="L435"/>
  <c r="L434"/>
  <c r="L432"/>
  <c r="L431"/>
  <c r="L424"/>
  <c r="L423"/>
  <c r="L420"/>
  <c r="L418"/>
  <c r="L415"/>
  <c r="L409"/>
  <c r="L408" s="1"/>
  <c r="L407" s="1"/>
  <c r="L404"/>
  <c r="L403" s="1"/>
  <c r="L402" s="1"/>
  <c r="L399"/>
  <c r="L398" s="1"/>
  <c r="L397"/>
  <c r="L396" s="1"/>
  <c r="L393"/>
  <c r="L392" s="1"/>
  <c r="L389"/>
  <c r="L388" s="1"/>
  <c r="L382"/>
  <c r="L381" s="1"/>
  <c r="L380" s="1"/>
  <c r="L379"/>
  <c r="L378" s="1"/>
  <c r="L377" s="1"/>
  <c r="L367"/>
  <c r="L366" s="1"/>
  <c r="L365" s="1"/>
  <c r="L360"/>
  <c r="L359" s="1"/>
  <c r="L358" s="1"/>
  <c r="L357" s="1"/>
  <c r="L356" s="1"/>
  <c r="L355" s="1"/>
  <c r="L352"/>
  <c r="L345"/>
  <c r="L344" s="1"/>
  <c r="L343"/>
  <c r="L341" s="1"/>
  <c r="L330"/>
  <c r="L329" s="1"/>
  <c r="L328" s="1"/>
  <c r="L327" s="1"/>
  <c r="L326" s="1"/>
  <c r="L325" s="1"/>
  <c r="L324" s="1"/>
  <c r="L318"/>
  <c r="L317"/>
  <c r="L316"/>
  <c r="L306"/>
  <c r="L305" s="1"/>
  <c r="L304" s="1"/>
  <c r="L303"/>
  <c r="L302" s="1"/>
  <c r="L301" s="1"/>
  <c r="L300"/>
  <c r="L299" s="1"/>
  <c r="L298"/>
  <c r="L297"/>
  <c r="L296"/>
  <c r="L294"/>
  <c r="L293"/>
  <c r="L292"/>
  <c r="L288"/>
  <c r="L287"/>
  <c r="L284"/>
  <c r="L283" s="1"/>
  <c r="L282" s="1"/>
  <c r="L275"/>
  <c r="L274" s="1"/>
  <c r="L273"/>
  <c r="L272"/>
  <c r="L271"/>
  <c r="L257"/>
  <c r="L256" s="1"/>
  <c r="L255" s="1"/>
  <c r="L254" s="1"/>
  <c r="L253" s="1"/>
  <c r="L252" s="1"/>
  <c r="L251" s="1"/>
  <c r="L250"/>
  <c r="L249" s="1"/>
  <c r="L248" s="1"/>
  <c r="L247"/>
  <c r="L246" s="1"/>
  <c r="L245" s="1"/>
  <c r="L241"/>
  <c r="L240" s="1"/>
  <c r="L239" s="1"/>
  <c r="L238"/>
  <c r="L237"/>
  <c r="L202"/>
  <c r="L201" s="1"/>
  <c r="L200" s="1"/>
  <c r="L199" s="1"/>
  <c r="L198" s="1"/>
  <c r="L197" s="1"/>
  <c r="L196" s="1"/>
  <c r="L195"/>
  <c r="L194" s="1"/>
  <c r="L193" s="1"/>
  <c r="L192" s="1"/>
  <c r="L191" s="1"/>
  <c r="L190" s="1"/>
  <c r="L180"/>
  <c r="L179" s="1"/>
  <c r="L178" s="1"/>
  <c r="L177" s="1"/>
  <c r="L176" s="1"/>
  <c r="L175" s="1"/>
  <c r="L166"/>
  <c r="L165" s="1"/>
  <c r="L164"/>
  <c r="L163"/>
  <c r="L158"/>
  <c r="L157" s="1"/>
  <c r="L156"/>
  <c r="L155" s="1"/>
  <c r="L151"/>
  <c r="L150" s="1"/>
  <c r="L149" s="1"/>
  <c r="L148" s="1"/>
  <c r="L147"/>
  <c r="L146" s="1"/>
  <c r="L145" s="1"/>
  <c r="L144" s="1"/>
  <c r="L141"/>
  <c r="L140" s="1"/>
  <c r="L139" s="1"/>
  <c r="L138" s="1"/>
  <c r="L137" s="1"/>
  <c r="L136" s="1"/>
  <c r="L135"/>
  <c r="L134" s="1"/>
  <c r="L133" s="1"/>
  <c r="L132"/>
  <c r="L131" s="1"/>
  <c r="L130" s="1"/>
  <c r="L125"/>
  <c r="L124" s="1"/>
  <c r="L123" s="1"/>
  <c r="L122" s="1"/>
  <c r="L121"/>
  <c r="L120" s="1"/>
  <c r="L119" s="1"/>
  <c r="L118"/>
  <c r="L116"/>
  <c r="L112"/>
  <c r="L111" s="1"/>
  <c r="L110" s="1"/>
  <c r="L109"/>
  <c r="L108" s="1"/>
  <c r="L107"/>
  <c r="L106" s="1"/>
  <c r="L101"/>
  <c r="L100" s="1"/>
  <c r="L99"/>
  <c r="L98" s="1"/>
  <c r="L97"/>
  <c r="L96" s="1"/>
  <c r="L95"/>
  <c r="L94" s="1"/>
  <c r="L85"/>
  <c r="L84" s="1"/>
  <c r="L83" s="1"/>
  <c r="L82"/>
  <c r="L81" s="1"/>
  <c r="L80" s="1"/>
  <c r="L79"/>
  <c r="L78" s="1"/>
  <c r="L77" s="1"/>
  <c r="L76"/>
  <c r="L75" s="1"/>
  <c r="L74"/>
  <c r="L73" s="1"/>
  <c r="L71"/>
  <c r="L70"/>
  <c r="L62"/>
  <c r="L61" s="1"/>
  <c r="L60" s="1"/>
  <c r="L59" s="1"/>
  <c r="L58" s="1"/>
  <c r="L56"/>
  <c r="L55" s="1"/>
  <c r="L54" s="1"/>
  <c r="L53" s="1"/>
  <c r="L52" s="1"/>
  <c r="L51"/>
  <c r="L50" s="1"/>
  <c r="L49" s="1"/>
  <c r="L48" s="1"/>
  <c r="L47" s="1"/>
  <c r="L46" s="1"/>
  <c r="L45"/>
  <c r="L44" s="1"/>
  <c r="L43" s="1"/>
  <c r="L42"/>
  <c r="L41" s="1"/>
  <c r="L40"/>
  <c r="L39"/>
  <c r="L37"/>
  <c r="L36"/>
  <c r="L34"/>
  <c r="L33" s="1"/>
  <c r="L32"/>
  <c r="L31" s="1"/>
  <c r="L30"/>
  <c r="L29"/>
  <c r="L28"/>
  <c r="L466"/>
  <c r="L22"/>
  <c r="L21" s="1"/>
  <c r="L20" s="1"/>
  <c r="L19" s="1"/>
  <c r="L18" s="1"/>
  <c r="L17" s="1"/>
  <c r="L351" l="1"/>
  <c r="L406"/>
  <c r="L405" s="1"/>
  <c r="L174"/>
  <c r="L35"/>
  <c r="L27"/>
  <c r="L546" i="19"/>
  <c r="L699" i="3"/>
  <c r="L38"/>
  <c r="L543" i="19"/>
  <c r="L321"/>
  <c r="L562"/>
  <c r="L718" i="3"/>
  <c r="L515"/>
  <c r="L465"/>
  <c r="L464" s="1"/>
  <c r="L154"/>
  <c r="L153" s="1"/>
  <c r="L152" s="1"/>
  <c r="L286"/>
  <c r="L285" s="1"/>
  <c r="L281" s="1"/>
  <c r="L270"/>
  <c r="L269" s="1"/>
  <c r="L268" s="1"/>
  <c r="L267" s="1"/>
  <c r="L266" s="1"/>
  <c r="L265" s="1"/>
  <c r="L433"/>
  <c r="L640"/>
  <c r="L639" s="1"/>
  <c r="L638" s="1"/>
  <c r="L637" s="1"/>
  <c r="L636" s="1"/>
  <c r="L69"/>
  <c r="L68" s="1"/>
  <c r="L447"/>
  <c r="L315"/>
  <c r="L314" s="1"/>
  <c r="L313" s="1"/>
  <c r="L312" s="1"/>
  <c r="L592"/>
  <c r="L450" i="19"/>
  <c r="L559"/>
  <c r="L37"/>
  <c r="L346"/>
  <c r="L345" s="1"/>
  <c r="L344" s="1"/>
  <c r="L343" s="1"/>
  <c r="L68"/>
  <c r="L67" s="1"/>
  <c r="L104"/>
  <c r="L103" s="1"/>
  <c r="L102" s="1"/>
  <c r="L226"/>
  <c r="L324"/>
  <c r="L332"/>
  <c r="L388"/>
  <c r="L490"/>
  <c r="L489" s="1"/>
  <c r="L488" s="1"/>
  <c r="L487" s="1"/>
  <c r="L486" s="1"/>
  <c r="L549"/>
  <c r="L29"/>
  <c r="L183"/>
  <c r="L182" s="1"/>
  <c r="L181" s="1"/>
  <c r="L180" s="1"/>
  <c r="L179" s="1"/>
  <c r="L396"/>
  <c r="L395" s="1"/>
  <c r="L394" s="1"/>
  <c r="L393" s="1"/>
  <c r="L392" s="1"/>
  <c r="L391" s="1"/>
  <c r="L318"/>
  <c r="L328"/>
  <c r="L209"/>
  <c r="L208" s="1"/>
  <c r="L207" s="1"/>
  <c r="L206" s="1"/>
  <c r="L205" s="1"/>
  <c r="L204" s="1"/>
  <c r="L230"/>
  <c r="L245"/>
  <c r="L244" s="1"/>
  <c r="L243" s="1"/>
  <c r="L242" s="1"/>
  <c r="L335"/>
  <c r="L432"/>
  <c r="L431" s="1"/>
  <c r="L472"/>
  <c r="L471" s="1"/>
  <c r="L470" s="1"/>
  <c r="L465" s="1"/>
  <c r="L464" s="1"/>
  <c r="L522"/>
  <c r="L521" s="1"/>
  <c r="L520" s="1"/>
  <c r="L519" s="1"/>
  <c r="L518" s="1"/>
  <c r="L40"/>
  <c r="L144"/>
  <c r="L143" s="1"/>
  <c r="L142" s="1"/>
  <c r="L141" s="1"/>
  <c r="L340"/>
  <c r="L339" s="1"/>
  <c r="L338" s="1"/>
  <c r="L379"/>
  <c r="L540"/>
  <c r="L556"/>
  <c r="L514"/>
  <c r="L513" s="1"/>
  <c r="L512" s="1"/>
  <c r="L511" s="1"/>
  <c r="L510" s="1"/>
  <c r="L446"/>
  <c r="L383"/>
  <c r="L353"/>
  <c r="L313"/>
  <c r="L219"/>
  <c r="L218" s="1"/>
  <c r="L71"/>
  <c r="L95"/>
  <c r="L411"/>
  <c r="L410" s="1"/>
  <c r="L189"/>
  <c r="L188" s="1"/>
  <c r="L187" s="1"/>
  <c r="L273"/>
  <c r="L272" s="1"/>
  <c r="L271" s="1"/>
  <c r="L270" s="1"/>
  <c r="L269" s="1"/>
  <c r="L426"/>
  <c r="L111"/>
  <c r="L110" s="1"/>
  <c r="L109" s="1"/>
  <c r="L156"/>
  <c r="L86"/>
  <c r="L85" s="1"/>
  <c r="L84" s="1"/>
  <c r="L83" s="1"/>
  <c r="L125"/>
  <c r="L297"/>
  <c r="L296" s="1"/>
  <c r="L295" s="1"/>
  <c r="L294" s="1"/>
  <c r="L283"/>
  <c r="L282" s="1"/>
  <c r="L281" s="1"/>
  <c r="L280" s="1"/>
  <c r="L151"/>
  <c r="L437"/>
  <c r="L436" s="1"/>
  <c r="L136"/>
  <c r="L135" s="1"/>
  <c r="L134" s="1"/>
  <c r="L499"/>
  <c r="L498" s="1"/>
  <c r="L497" s="1"/>
  <c r="L496" s="1"/>
  <c r="L671" i="3"/>
  <c r="L670" s="1"/>
  <c r="L669" s="1"/>
  <c r="L668" s="1"/>
  <c r="L667" s="1"/>
  <c r="L681"/>
  <c r="L680" s="1"/>
  <c r="L679" s="1"/>
  <c r="L678" s="1"/>
  <c r="L677" s="1"/>
  <c r="L72"/>
  <c r="L422"/>
  <c r="L430"/>
  <c r="L441"/>
  <c r="L364"/>
  <c r="L363" s="1"/>
  <c r="L362" s="1"/>
  <c r="L361" s="1"/>
  <c r="L162"/>
  <c r="L161" s="1"/>
  <c r="L160" s="1"/>
  <c r="L159" s="1"/>
  <c r="L291"/>
  <c r="L437"/>
  <c r="L457"/>
  <c r="L456" s="1"/>
  <c r="L455" s="1"/>
  <c r="L474"/>
  <c r="L523"/>
  <c r="L522" s="1"/>
  <c r="L521" s="1"/>
  <c r="L520" s="1"/>
  <c r="L519" s="1"/>
  <c r="L518" s="1"/>
  <c r="L647"/>
  <c r="L646" s="1"/>
  <c r="L645" s="1"/>
  <c r="L644" s="1"/>
  <c r="L643" s="1"/>
  <c r="L702"/>
  <c r="L506"/>
  <c r="L295"/>
  <c r="L471"/>
  <c r="L340"/>
  <c r="L339" s="1"/>
  <c r="L338" s="1"/>
  <c r="L579"/>
  <c r="L578" s="1"/>
  <c r="L489"/>
  <c r="L488" s="1"/>
  <c r="L487" s="1"/>
  <c r="L486" s="1"/>
  <c r="L93"/>
  <c r="L92" s="1"/>
  <c r="L91" s="1"/>
  <c r="L90" s="1"/>
  <c r="L539"/>
  <c r="L538" s="1"/>
  <c r="L537" s="1"/>
  <c r="L536" s="1"/>
  <c r="L656"/>
  <c r="L655" s="1"/>
  <c r="L654" s="1"/>
  <c r="L653" s="1"/>
  <c r="L244"/>
  <c r="L243" s="1"/>
  <c r="L242" s="1"/>
  <c r="L143"/>
  <c r="L129"/>
  <c r="L128" s="1"/>
  <c r="L127" s="1"/>
  <c r="L105"/>
  <c r="L104" s="1"/>
  <c r="L149" i="19" l="1"/>
  <c r="L148" s="1"/>
  <c r="L147" s="1"/>
  <c r="L150"/>
  <c r="L463" i="3"/>
  <c r="L332"/>
  <c r="L331" s="1"/>
  <c r="L350"/>
  <c r="L349" s="1"/>
  <c r="L348" s="1"/>
  <c r="L347" s="1"/>
  <c r="L346" s="1"/>
  <c r="L64"/>
  <c r="L63" s="1"/>
  <c r="L57" s="1"/>
  <c r="L509" i="19"/>
  <c r="L495" s="1"/>
  <c r="L445"/>
  <c r="L444" s="1"/>
  <c r="L443" s="1"/>
  <c r="L442" s="1"/>
  <c r="L26" i="3"/>
  <c r="L25" s="1"/>
  <c r="L24" s="1"/>
  <c r="L23" s="1"/>
  <c r="L312" i="19"/>
  <c r="L178"/>
  <c r="L177" s="1"/>
  <c r="L352"/>
  <c r="L351" s="1"/>
  <c r="L350" s="1"/>
  <c r="L349" s="1"/>
  <c r="L555"/>
  <c r="L554" s="1"/>
  <c r="L553" s="1"/>
  <c r="L552" s="1"/>
  <c r="L94"/>
  <c r="L93" s="1"/>
  <c r="L82" s="1"/>
  <c r="L378"/>
  <c r="L377" s="1"/>
  <c r="L376" s="1"/>
  <c r="L375" s="1"/>
  <c r="L463"/>
  <c r="L455" s="1"/>
  <c r="L225"/>
  <c r="L224" s="1"/>
  <c r="L217" s="1"/>
  <c r="L216" s="1"/>
  <c r="L215" s="1"/>
  <c r="L214" s="1"/>
  <c r="L66"/>
  <c r="L65" s="1"/>
  <c r="L59" s="1"/>
  <c r="L539"/>
  <c r="L538" s="1"/>
  <c r="L537" s="1"/>
  <c r="L536" s="1"/>
  <c r="L28"/>
  <c r="L27" s="1"/>
  <c r="L26" s="1"/>
  <c r="L25" s="1"/>
  <c r="L425"/>
  <c r="L424" s="1"/>
  <c r="L423" s="1"/>
  <c r="L409"/>
  <c r="L408" s="1"/>
  <c r="L124"/>
  <c r="L108" s="1"/>
  <c r="L666" i="3"/>
  <c r="L652" s="1"/>
  <c r="L462"/>
  <c r="L461" s="1"/>
  <c r="L460" s="1"/>
  <c r="L290"/>
  <c r="L289" s="1"/>
  <c r="L142"/>
  <c r="L126" s="1"/>
  <c r="L280" l="1"/>
  <c r="L311" i="19"/>
  <c r="L310" s="1"/>
  <c r="L309" s="1"/>
  <c r="L293" s="1"/>
  <c r="L279" s="1"/>
  <c r="L16" i="3"/>
  <c r="L422" i="19"/>
  <c r="L18"/>
  <c r="L17" s="1"/>
  <c r="L535"/>
  <c r="L527" s="1"/>
  <c r="L279" i="3" l="1"/>
  <c r="L278" s="1"/>
  <c r="L277" s="1"/>
  <c r="D24" i="15"/>
  <c r="D14" s="1"/>
  <c r="C24"/>
  <c r="C14" s="1"/>
  <c r="C23" i="5"/>
  <c r="C13" s="1"/>
  <c r="L416" i="3" l="1"/>
  <c r="L622" l="1"/>
  <c r="L598"/>
  <c r="L596" s="1"/>
  <c r="L591" s="1"/>
  <c r="L590" s="1"/>
  <c r="L585" s="1"/>
  <c r="L584" s="1"/>
  <c r="L574"/>
  <c r="L572" s="1"/>
  <c r="L571" s="1"/>
  <c r="L564"/>
  <c r="L563" s="1"/>
  <c r="L562" s="1"/>
  <c r="M557"/>
  <c r="L557" s="1"/>
  <c r="L556" s="1"/>
  <c r="L555" s="1"/>
  <c r="L554" s="1"/>
  <c r="L553" s="1"/>
  <c r="L552" s="1"/>
  <c r="L535" s="1"/>
  <c r="M534"/>
  <c r="L534" s="1"/>
  <c r="L533" s="1"/>
  <c r="L532" s="1"/>
  <c r="L531" s="1"/>
  <c r="L426"/>
  <c r="L429"/>
  <c r="L391"/>
  <c r="L390" s="1"/>
  <c r="L387" s="1"/>
  <c r="L504"/>
  <c r="L502" s="1"/>
  <c r="N316" i="19"/>
  <c r="H488" i="7"/>
  <c r="H487" s="1"/>
  <c r="M165" i="3"/>
  <c r="H288" i="7"/>
  <c r="H287" s="1"/>
  <c r="H286" s="1"/>
  <c r="H285" s="1"/>
  <c r="M124" i="3"/>
  <c r="M123" s="1"/>
  <c r="M122" s="1"/>
  <c r="L117"/>
  <c r="L115" s="1"/>
  <c r="L114" s="1"/>
  <c r="L113" s="1"/>
  <c r="L103" s="1"/>
  <c r="L102" s="1"/>
  <c r="H146" i="18"/>
  <c r="H145" s="1"/>
  <c r="H144" s="1"/>
  <c r="L386" i="3" l="1"/>
  <c r="L385" s="1"/>
  <c r="L384" s="1"/>
  <c r="L376"/>
  <c r="L375" s="1"/>
  <c r="L374" s="1"/>
  <c r="L373" s="1"/>
  <c r="L372" s="1"/>
  <c r="L371" s="1"/>
  <c r="L370" s="1"/>
  <c r="M375"/>
  <c r="L89"/>
  <c r="L15" s="1"/>
  <c r="L425"/>
  <c r="L529"/>
  <c r="L528" s="1"/>
  <c r="L530"/>
  <c r="L501"/>
  <c r="L500" s="1"/>
  <c r="L495" s="1"/>
  <c r="L494" s="1"/>
  <c r="L561"/>
  <c r="L560" s="1"/>
  <c r="L559" s="1"/>
  <c r="L558" s="1"/>
  <c r="L621"/>
  <c r="L620" s="1"/>
  <c r="L619" s="1"/>
  <c r="L618" s="1"/>
  <c r="L613" s="1"/>
  <c r="L612" s="1"/>
  <c r="N492" i="19"/>
  <c r="N485"/>
  <c r="I146" i="18" s="1"/>
  <c r="I145" s="1"/>
  <c r="I144" s="1"/>
  <c r="H482" i="7"/>
  <c r="H481" s="1"/>
  <c r="H480" s="1"/>
  <c r="M78" i="3"/>
  <c r="M77" s="1"/>
  <c r="L611" l="1"/>
  <c r="L603" s="1"/>
  <c r="L527"/>
  <c r="N484" i="19"/>
  <c r="N483" s="1"/>
  <c r="N482" s="1"/>
  <c r="N481" s="1"/>
  <c r="N480" s="1"/>
  <c r="N615" s="1"/>
  <c r="E49" i="17" s="1"/>
  <c r="M484" i="19"/>
  <c r="M483" s="1"/>
  <c r="M482" s="1"/>
  <c r="M481" s="1"/>
  <c r="M480" s="1"/>
  <c r="M615" s="1"/>
  <c r="D49" i="17" s="1"/>
  <c r="H55" i="7"/>
  <c r="H56"/>
  <c r="H40" i="18"/>
  <c r="I40"/>
  <c r="I41"/>
  <c r="H41"/>
  <c r="H39" l="1"/>
  <c r="I39"/>
  <c r="H54" i="7"/>
  <c r="C67" i="2"/>
  <c r="M236" i="3"/>
  <c r="M726"/>
  <c r="L726" s="1"/>
  <c r="L724" s="1"/>
  <c r="M723"/>
  <c r="L723" s="1"/>
  <c r="L721" s="1"/>
  <c r="M710"/>
  <c r="L710" s="1"/>
  <c r="L708" s="1"/>
  <c r="M707"/>
  <c r="L707" s="1"/>
  <c r="L705" s="1"/>
  <c r="L236" l="1"/>
  <c r="L235" s="1"/>
  <c r="L234" s="1"/>
  <c r="L233" s="1"/>
  <c r="L232" s="1"/>
  <c r="L231" s="1"/>
  <c r="M235"/>
  <c r="L698"/>
  <c r="L717"/>
  <c r="L716" s="1"/>
  <c r="L715" s="1"/>
  <c r="L714" s="1"/>
  <c r="N321" i="19"/>
  <c r="M321"/>
  <c r="M430" i="3"/>
  <c r="D27" i="16"/>
  <c r="C27"/>
  <c r="L230" i="3" l="1"/>
  <c r="L229" s="1"/>
  <c r="L697"/>
  <c r="L696" s="1"/>
  <c r="L695" s="1"/>
  <c r="L694" s="1"/>
  <c r="L686" s="1"/>
  <c r="C70" i="2"/>
  <c r="C69" s="1"/>
  <c r="D73" i="16"/>
  <c r="D72" s="1"/>
  <c r="D39" i="15" s="1"/>
  <c r="C73" i="16"/>
  <c r="C72" s="1"/>
  <c r="C39" i="15" s="1"/>
  <c r="C40" i="2" l="1"/>
  <c r="D42" i="16"/>
  <c r="C38" i="2"/>
  <c r="C37"/>
  <c r="L421" i="3" l="1"/>
  <c r="L419" s="1"/>
  <c r="I300" i="18" l="1"/>
  <c r="I299" s="1"/>
  <c r="H300"/>
  <c r="H299" s="1"/>
  <c r="I302"/>
  <c r="I301" s="1"/>
  <c r="H302"/>
  <c r="H301" s="1"/>
  <c r="H298" l="1"/>
  <c r="H297" s="1"/>
  <c r="I298"/>
  <c r="I297" s="1"/>
  <c r="C16" i="8" l="1"/>
  <c r="C15" s="1"/>
  <c r="C14" s="1"/>
  <c r="L417" i="3" l="1"/>
  <c r="L414" s="1"/>
  <c r="L413" s="1"/>
  <c r="L412" l="1"/>
  <c r="L411" s="1"/>
  <c r="L410" s="1"/>
  <c r="L383" s="1"/>
  <c r="L369" s="1"/>
  <c r="L14" s="1"/>
  <c r="N152" i="19"/>
  <c r="N154"/>
  <c r="M152"/>
  <c r="M154"/>
  <c r="M151" l="1"/>
  <c r="N151"/>
  <c r="N150" s="1"/>
  <c r="N149" s="1"/>
  <c r="N148" s="1"/>
  <c r="N147" s="1"/>
  <c r="M149" l="1"/>
  <c r="M148" s="1"/>
  <c r="M592" s="1"/>
  <c r="D32" i="17" s="1"/>
  <c r="M150" i="19"/>
  <c r="M147"/>
  <c r="N592"/>
  <c r="E32" i="17" s="1"/>
  <c r="I91" i="18"/>
  <c r="I90" s="1"/>
  <c r="I89" s="1"/>
  <c r="H91"/>
  <c r="H90" s="1"/>
  <c r="H89" s="1"/>
  <c r="I94"/>
  <c r="I93" s="1"/>
  <c r="I92" s="1"/>
  <c r="H94"/>
  <c r="H93" s="1"/>
  <c r="H92" s="1"/>
  <c r="I97"/>
  <c r="I96" s="1"/>
  <c r="I95" s="1"/>
  <c r="H97"/>
  <c r="H96" s="1"/>
  <c r="H95" s="1"/>
  <c r="I203"/>
  <c r="H203"/>
  <c r="N367" i="19"/>
  <c r="N366" s="1"/>
  <c r="N365" s="1"/>
  <c r="N364" s="1"/>
  <c r="M367"/>
  <c r="M366" s="1"/>
  <c r="M365" s="1"/>
  <c r="M364" s="1"/>
  <c r="H68" i="18"/>
  <c r="I68"/>
  <c r="H54"/>
  <c r="I54"/>
  <c r="I55"/>
  <c r="H55"/>
  <c r="N335" i="19"/>
  <c r="M335"/>
  <c r="H36" i="18"/>
  <c r="I36"/>
  <c r="I38"/>
  <c r="H38"/>
  <c r="N318" i="19"/>
  <c r="M318"/>
  <c r="N285"/>
  <c r="N284" s="1"/>
  <c r="M285"/>
  <c r="M284" s="1"/>
  <c r="N288"/>
  <c r="N287" s="1"/>
  <c r="M288"/>
  <c r="M287" s="1"/>
  <c r="N291"/>
  <c r="N290" s="1"/>
  <c r="M291"/>
  <c r="M290" s="1"/>
  <c r="I35" i="18" l="1"/>
  <c r="H35"/>
  <c r="H53"/>
  <c r="I53"/>
  <c r="N283" i="19"/>
  <c r="N282" s="1"/>
  <c r="N281" s="1"/>
  <c r="N280" s="1"/>
  <c r="M283"/>
  <c r="M282" s="1"/>
  <c r="M281" s="1"/>
  <c r="M280" s="1"/>
  <c r="H134" i="7" l="1"/>
  <c r="H133" s="1"/>
  <c r="H132" s="1"/>
  <c r="H137"/>
  <c r="H136" s="1"/>
  <c r="H135" s="1"/>
  <c r="H140"/>
  <c r="H139" s="1"/>
  <c r="H138" s="1"/>
  <c r="M374" i="3"/>
  <c r="M378"/>
  <c r="M377" s="1"/>
  <c r="M380"/>
  <c r="H120" i="7"/>
  <c r="H119" s="1"/>
  <c r="M513" i="3"/>
  <c r="H131" i="7"/>
  <c r="H130" s="1"/>
  <c r="H127" l="1"/>
  <c r="M373" i="3"/>
  <c r="M372" s="1"/>
  <c r="M371" s="1"/>
  <c r="M370" s="1"/>
  <c r="M492"/>
  <c r="H105" i="7"/>
  <c r="H104" s="1"/>
  <c r="H103" s="1"/>
  <c r="M484" i="3"/>
  <c r="M483" s="1"/>
  <c r="H78" i="7"/>
  <c r="H77" s="1"/>
  <c r="H76" s="1"/>
  <c r="M453" i="3"/>
  <c r="M452" s="1"/>
  <c r="M403"/>
  <c r="M402" s="1"/>
  <c r="M489" l="1"/>
  <c r="M488" s="1"/>
  <c r="M487" s="1"/>
  <c r="M486" s="1"/>
  <c r="I164" i="18"/>
  <c r="I163" s="1"/>
  <c r="I162" s="1"/>
  <c r="H164"/>
  <c r="H163" s="1"/>
  <c r="H162" s="1"/>
  <c r="I161"/>
  <c r="I160" s="1"/>
  <c r="H161"/>
  <c r="H160" s="1"/>
  <c r="N478" i="19"/>
  <c r="M478"/>
  <c r="N476"/>
  <c r="M476"/>
  <c r="N461"/>
  <c r="N460" s="1"/>
  <c r="N459" s="1"/>
  <c r="N458" s="1"/>
  <c r="N457" s="1"/>
  <c r="N456" s="1"/>
  <c r="M461"/>
  <c r="M460" s="1"/>
  <c r="M459" s="1"/>
  <c r="M458" s="1"/>
  <c r="M457" s="1"/>
  <c r="M456" s="1"/>
  <c r="H230" i="7"/>
  <c r="H229" s="1"/>
  <c r="H228" s="1"/>
  <c r="H227" s="1"/>
  <c r="H226"/>
  <c r="H225" s="1"/>
  <c r="H224" s="1"/>
  <c r="I122" i="18" l="1"/>
  <c r="I121" s="1"/>
  <c r="H122"/>
  <c r="H121" s="1"/>
  <c r="N438" i="19"/>
  <c r="M438"/>
  <c r="I118" i="18"/>
  <c r="N420" i="19"/>
  <c r="I117" i="18" s="1"/>
  <c r="M421" i="19"/>
  <c r="I105" i="18"/>
  <c r="H105"/>
  <c r="N414" i="19"/>
  <c r="I104" i="18" s="1"/>
  <c r="M414" i="19"/>
  <c r="H104" i="18" s="1"/>
  <c r="I137"/>
  <c r="I136" s="1"/>
  <c r="I135" s="1"/>
  <c r="H137"/>
  <c r="H136" s="1"/>
  <c r="H135" s="1"/>
  <c r="N405" i="19"/>
  <c r="N404" s="1"/>
  <c r="N403" s="1"/>
  <c r="N402" s="1"/>
  <c r="N401" s="1"/>
  <c r="M405"/>
  <c r="M404" s="1"/>
  <c r="M403" s="1"/>
  <c r="M402" s="1"/>
  <c r="M401" s="1"/>
  <c r="I341" i="18"/>
  <c r="H341"/>
  <c r="N167" i="19"/>
  <c r="N166" s="1"/>
  <c r="N165" s="1"/>
  <c r="N164" s="1"/>
  <c r="N163" s="1"/>
  <c r="M167"/>
  <c r="M166" s="1"/>
  <c r="M165" s="1"/>
  <c r="M164" s="1"/>
  <c r="M163" s="1"/>
  <c r="I333" i="18"/>
  <c r="I332" s="1"/>
  <c r="H333"/>
  <c r="H332" s="1"/>
  <c r="N137" i="19"/>
  <c r="M137"/>
  <c r="I323" i="18"/>
  <c r="I322" s="1"/>
  <c r="I321" s="1"/>
  <c r="I320" s="1"/>
  <c r="H323"/>
  <c r="H322" s="1"/>
  <c r="H321" s="1"/>
  <c r="H320" s="1"/>
  <c r="N128" i="19"/>
  <c r="N127" s="1"/>
  <c r="N126" s="1"/>
  <c r="M128"/>
  <c r="M127" s="1"/>
  <c r="M126" s="1"/>
  <c r="I207" i="18"/>
  <c r="I206" s="1"/>
  <c r="I205" s="1"/>
  <c r="H207"/>
  <c r="H206" s="1"/>
  <c r="H205" s="1"/>
  <c r="I201"/>
  <c r="I200" s="1"/>
  <c r="H201"/>
  <c r="H200" s="1"/>
  <c r="N100" i="19"/>
  <c r="N99" s="1"/>
  <c r="M100"/>
  <c r="M99" s="1"/>
  <c r="N97"/>
  <c r="N96" s="1"/>
  <c r="M97"/>
  <c r="M96" s="1"/>
  <c r="I392" i="18"/>
  <c r="I391" s="1"/>
  <c r="I390" s="1"/>
  <c r="H392"/>
  <c r="H391" s="1"/>
  <c r="H390" s="1"/>
  <c r="I395"/>
  <c r="I394" s="1"/>
  <c r="I393" s="1"/>
  <c r="H395"/>
  <c r="H394" s="1"/>
  <c r="H393" s="1"/>
  <c r="I377"/>
  <c r="H377"/>
  <c r="H371"/>
  <c r="I371"/>
  <c r="I372"/>
  <c r="H372"/>
  <c r="I375"/>
  <c r="I374" s="1"/>
  <c r="H375"/>
  <c r="H374" s="1"/>
  <c r="I340"/>
  <c r="I339" s="1"/>
  <c r="I338" s="1"/>
  <c r="I337" s="1"/>
  <c r="H340"/>
  <c r="H339" s="1"/>
  <c r="H338" s="1"/>
  <c r="H337" s="1"/>
  <c r="N80" i="19"/>
  <c r="N79" s="1"/>
  <c r="M80"/>
  <c r="M79" s="1"/>
  <c r="N77"/>
  <c r="N76" s="1"/>
  <c r="M77"/>
  <c r="M76" s="1"/>
  <c r="N74"/>
  <c r="I376" i="18" s="1"/>
  <c r="M74" i="19"/>
  <c r="M72"/>
  <c r="N72"/>
  <c r="N68"/>
  <c r="N67" s="1"/>
  <c r="M68"/>
  <c r="M67" s="1"/>
  <c r="N63"/>
  <c r="N62" s="1"/>
  <c r="N61" s="1"/>
  <c r="N60" s="1"/>
  <c r="M63"/>
  <c r="M62" s="1"/>
  <c r="M61" s="1"/>
  <c r="M60" s="1"/>
  <c r="I364" i="18"/>
  <c r="H364"/>
  <c r="N40" i="19"/>
  <c r="M40"/>
  <c r="H118" i="18" l="1"/>
  <c r="L421" i="19"/>
  <c r="L420" s="1"/>
  <c r="L419" s="1"/>
  <c r="L418" s="1"/>
  <c r="L417" s="1"/>
  <c r="L416" s="1"/>
  <c r="L407" s="1"/>
  <c r="L400" s="1"/>
  <c r="L15" s="1"/>
  <c r="M420"/>
  <c r="H117" i="18" s="1"/>
  <c r="N419" i="19"/>
  <c r="N418" s="1"/>
  <c r="N417" s="1"/>
  <c r="N416" s="1"/>
  <c r="N95"/>
  <c r="M95"/>
  <c r="N71"/>
  <c r="N66" s="1"/>
  <c r="N65" s="1"/>
  <c r="N59" s="1"/>
  <c r="M71"/>
  <c r="M66" s="1"/>
  <c r="M65" s="1"/>
  <c r="M59" s="1"/>
  <c r="I373" i="18"/>
  <c r="H376"/>
  <c r="H373" s="1"/>
  <c r="H370"/>
  <c r="I370"/>
  <c r="M620" i="3"/>
  <c r="M609"/>
  <c r="M608" s="1"/>
  <c r="M607" s="1"/>
  <c r="M606" s="1"/>
  <c r="M605" s="1"/>
  <c r="M604" s="1"/>
  <c r="M419" i="19" l="1"/>
  <c r="M418" s="1"/>
  <c r="M417" s="1"/>
  <c r="M416" s="1"/>
  <c r="I116" i="18"/>
  <c r="H284" i="7"/>
  <c r="H283" s="1"/>
  <c r="H282" s="1"/>
  <c r="H491"/>
  <c r="H490" s="1"/>
  <c r="H489" s="1"/>
  <c r="H494"/>
  <c r="H493" s="1"/>
  <c r="H492" s="1"/>
  <c r="M81" i="3"/>
  <c r="M80" s="1"/>
  <c r="M84"/>
  <c r="M83" s="1"/>
  <c r="H466" i="7"/>
  <c r="H116" i="18" l="1"/>
  <c r="I248"/>
  <c r="I247" s="1"/>
  <c r="H248"/>
  <c r="H247" s="1"/>
  <c r="I251"/>
  <c r="I250" s="1"/>
  <c r="I249" s="1"/>
  <c r="H251"/>
  <c r="H250" s="1"/>
  <c r="H249" s="1"/>
  <c r="I254"/>
  <c r="I253" s="1"/>
  <c r="I252" s="1"/>
  <c r="H254"/>
  <c r="H253" s="1"/>
  <c r="H252" s="1"/>
  <c r="I382"/>
  <c r="H382"/>
  <c r="N245" i="19"/>
  <c r="M245"/>
  <c r="N240"/>
  <c r="N239" s="1"/>
  <c r="M240"/>
  <c r="M239" s="1"/>
  <c r="N237"/>
  <c r="N236" s="1"/>
  <c r="M237"/>
  <c r="M236" s="1"/>
  <c r="N234"/>
  <c r="M234"/>
  <c r="M305" i="3"/>
  <c r="H176" i="7" l="1"/>
  <c r="H148"/>
  <c r="H147" s="1"/>
  <c r="M542" i="3"/>
  <c r="M580" l="1"/>
  <c r="H191" i="7"/>
  <c r="H190" s="1"/>
  <c r="H172"/>
  <c r="H171" s="1"/>
  <c r="H170" s="1"/>
  <c r="I172" i="18"/>
  <c r="H172"/>
  <c r="H194" i="7"/>
  <c r="H193" s="1"/>
  <c r="H192" s="1"/>
  <c r="I181" i="18"/>
  <c r="I180" s="1"/>
  <c r="I179" s="1"/>
  <c r="H181"/>
  <c r="H180" s="1"/>
  <c r="H179" s="1"/>
  <c r="I184"/>
  <c r="I183" s="1"/>
  <c r="I182" s="1"/>
  <c r="H184"/>
  <c r="H183" s="1"/>
  <c r="H182" s="1"/>
  <c r="I187"/>
  <c r="I186" s="1"/>
  <c r="I185" s="1"/>
  <c r="H187"/>
  <c r="H186" s="1"/>
  <c r="H185" s="1"/>
  <c r="H248" i="7"/>
  <c r="H247" s="1"/>
  <c r="H246" s="1"/>
  <c r="H251"/>
  <c r="H250" s="1"/>
  <c r="H249" s="1"/>
  <c r="H254"/>
  <c r="H253" s="1"/>
  <c r="H252" s="1"/>
  <c r="N514" i="19" l="1"/>
  <c r="M514"/>
  <c r="N507"/>
  <c r="N506" s="1"/>
  <c r="M507"/>
  <c r="M506" s="1"/>
  <c r="N504"/>
  <c r="N503" s="1"/>
  <c r="M504"/>
  <c r="M503" s="1"/>
  <c r="N501"/>
  <c r="N500" s="1"/>
  <c r="M501"/>
  <c r="M500" s="1"/>
  <c r="M664" i="3"/>
  <c r="M663" s="1"/>
  <c r="M661"/>
  <c r="M660" s="1"/>
  <c r="M658"/>
  <c r="M657" s="1"/>
  <c r="N499" i="19" l="1"/>
  <c r="N498" s="1"/>
  <c r="N497" s="1"/>
  <c r="N496" s="1"/>
  <c r="M499"/>
  <c r="M498" s="1"/>
  <c r="M497" s="1"/>
  <c r="M496" s="1"/>
  <c r="M656" i="3"/>
  <c r="M655" s="1"/>
  <c r="M654" s="1"/>
  <c r="M653" s="1"/>
  <c r="N209" i="19"/>
  <c r="N208" s="1"/>
  <c r="M209"/>
  <c r="M208" s="1"/>
  <c r="M600" i="3"/>
  <c r="M550" l="1"/>
  <c r="M549" s="1"/>
  <c r="M548" s="1"/>
  <c r="M547" s="1"/>
  <c r="M546" s="1"/>
  <c r="M533"/>
  <c r="M532" s="1"/>
  <c r="M531" s="1"/>
  <c r="M529" l="1"/>
  <c r="M528" s="1"/>
  <c r="M530"/>
  <c r="C25" i="16"/>
  <c r="D25"/>
  <c r="H300" i="7" l="1"/>
  <c r="D55" i="6" l="1"/>
  <c r="I230" i="18" l="1"/>
  <c r="I229" s="1"/>
  <c r="I228" s="1"/>
  <c r="H230"/>
  <c r="H229" s="1"/>
  <c r="H228" s="1"/>
  <c r="I227"/>
  <c r="I226" s="1"/>
  <c r="I225" s="1"/>
  <c r="H227"/>
  <c r="H226" s="1"/>
  <c r="H225" s="1"/>
  <c r="N194" i="19"/>
  <c r="N193" s="1"/>
  <c r="M194"/>
  <c r="M193" s="1"/>
  <c r="H310" i="7"/>
  <c r="H309" s="1"/>
  <c r="H308" s="1"/>
  <c r="M249" i="3"/>
  <c r="M248" s="1"/>
  <c r="N191" i="19" l="1"/>
  <c r="N190" s="1"/>
  <c r="N189" s="1"/>
  <c r="N188" s="1"/>
  <c r="N187" s="1"/>
  <c r="M191"/>
  <c r="M190" s="1"/>
  <c r="M189" s="1"/>
  <c r="M188" l="1"/>
  <c r="M187" s="1"/>
  <c r="M556" i="3" l="1"/>
  <c r="M555" s="1"/>
  <c r="M554" s="1"/>
  <c r="M553" s="1"/>
  <c r="M552" s="1"/>
  <c r="M559" i="19" l="1"/>
  <c r="D23" i="16" l="1"/>
  <c r="C23"/>
  <c r="D29"/>
  <c r="C29"/>
  <c r="D32"/>
  <c r="C32"/>
  <c r="M20" i="3" l="1"/>
  <c r="M19" s="1"/>
  <c r="M18" s="1"/>
  <c r="M17" s="1"/>
  <c r="M735" s="1"/>
  <c r="M31"/>
  <c r="M33"/>
  <c r="M41"/>
  <c r="M43"/>
  <c r="M49"/>
  <c r="M48" s="1"/>
  <c r="M47" s="1"/>
  <c r="M46" s="1"/>
  <c r="M737" s="1"/>
  <c r="M53"/>
  <c r="M52" s="1"/>
  <c r="M60"/>
  <c r="M59" s="1"/>
  <c r="M58" s="1"/>
  <c r="M68"/>
  <c r="M73"/>
  <c r="M75"/>
  <c r="M94"/>
  <c r="M96"/>
  <c r="M98"/>
  <c r="M100"/>
  <c r="M106"/>
  <c r="M108"/>
  <c r="M111"/>
  <c r="M110" s="1"/>
  <c r="M131"/>
  <c r="M130" s="1"/>
  <c r="M134"/>
  <c r="M133" s="1"/>
  <c r="M140"/>
  <c r="M139" s="1"/>
  <c r="M138" s="1"/>
  <c r="M137" s="1"/>
  <c r="M136" s="1"/>
  <c r="M748" s="1"/>
  <c r="M146"/>
  <c r="M145" s="1"/>
  <c r="M144" s="1"/>
  <c r="M150"/>
  <c r="M149" s="1"/>
  <c r="M148" s="1"/>
  <c r="M155"/>
  <c r="M157"/>
  <c r="M179"/>
  <c r="M178" s="1"/>
  <c r="M177" s="1"/>
  <c r="M176" s="1"/>
  <c r="M175" s="1"/>
  <c r="M194"/>
  <c r="M193" s="1"/>
  <c r="M192" s="1"/>
  <c r="M191" s="1"/>
  <c r="M190" s="1"/>
  <c r="M234"/>
  <c r="M240"/>
  <c r="M239" s="1"/>
  <c r="M246"/>
  <c r="M245" s="1"/>
  <c r="M244" s="1"/>
  <c r="M256"/>
  <c r="M255" s="1"/>
  <c r="M254" s="1"/>
  <c r="M253" s="1"/>
  <c r="M252" s="1"/>
  <c r="M251" s="1"/>
  <c r="M274"/>
  <c r="M269" s="1"/>
  <c r="M283"/>
  <c r="M282" s="1"/>
  <c r="M299"/>
  <c r="M302"/>
  <c r="M301" s="1"/>
  <c r="M314"/>
  <c r="M313" s="1"/>
  <c r="M312" s="1"/>
  <c r="M329"/>
  <c r="M328" s="1"/>
  <c r="M327" s="1"/>
  <c r="M326" s="1"/>
  <c r="M325" s="1"/>
  <c r="M324" s="1"/>
  <c r="M344"/>
  <c r="M351"/>
  <c r="M359"/>
  <c r="M358" s="1"/>
  <c r="M357" s="1"/>
  <c r="M356" s="1"/>
  <c r="M355" s="1"/>
  <c r="M366"/>
  <c r="M365" s="1"/>
  <c r="M388"/>
  <c r="M390"/>
  <c r="M392"/>
  <c r="M396"/>
  <c r="M398"/>
  <c r="M408"/>
  <c r="M407" s="1"/>
  <c r="M433"/>
  <c r="M471"/>
  <c r="M474"/>
  <c r="M477"/>
  <c r="M481"/>
  <c r="M515"/>
  <c r="M540"/>
  <c r="M544"/>
  <c r="M563"/>
  <c r="M567"/>
  <c r="M569"/>
  <c r="M624"/>
  <c r="M626"/>
  <c r="M628"/>
  <c r="M630"/>
  <c r="M634"/>
  <c r="M633" s="1"/>
  <c r="M632" s="1"/>
  <c r="M640"/>
  <c r="M639" s="1"/>
  <c r="M638" s="1"/>
  <c r="M637" s="1"/>
  <c r="M647"/>
  <c r="M646" s="1"/>
  <c r="M645" s="1"/>
  <c r="M644" s="1"/>
  <c r="M643" s="1"/>
  <c r="M778" s="1"/>
  <c r="M681"/>
  <c r="M680" s="1"/>
  <c r="M679" s="1"/>
  <c r="M678" s="1"/>
  <c r="M677" s="1"/>
  <c r="M692"/>
  <c r="M691" s="1"/>
  <c r="M690" s="1"/>
  <c r="M689" s="1"/>
  <c r="M688" s="1"/>
  <c r="M687" s="1"/>
  <c r="M702"/>
  <c r="M705"/>
  <c r="M708"/>
  <c r="M718"/>
  <c r="M721"/>
  <c r="M724"/>
  <c r="M23" i="19"/>
  <c r="M22" s="1"/>
  <c r="M21" s="1"/>
  <c r="M20" s="1"/>
  <c r="M19" s="1"/>
  <c r="M29"/>
  <c r="M33"/>
  <c r="M35"/>
  <c r="M37"/>
  <c r="M43"/>
  <c r="M46"/>
  <c r="M45" s="1"/>
  <c r="M52"/>
  <c r="M51" s="1"/>
  <c r="M50" s="1"/>
  <c r="M49" s="1"/>
  <c r="M48" s="1"/>
  <c r="M577" s="1"/>
  <c r="M87"/>
  <c r="M89"/>
  <c r="M91"/>
  <c r="M113"/>
  <c r="M112" s="1"/>
  <c r="M116"/>
  <c r="M115" s="1"/>
  <c r="M122"/>
  <c r="M121" s="1"/>
  <c r="M120" s="1"/>
  <c r="M119" s="1"/>
  <c r="M118" s="1"/>
  <c r="M588" s="1"/>
  <c r="M132"/>
  <c r="M131" s="1"/>
  <c r="M130" s="1"/>
  <c r="M125" s="1"/>
  <c r="M139"/>
  <c r="M161"/>
  <c r="M160" s="1"/>
  <c r="M159" s="1"/>
  <c r="M158" s="1"/>
  <c r="M157" s="1"/>
  <c r="M156" s="1"/>
  <c r="M174"/>
  <c r="M173" s="1"/>
  <c r="M172" s="1"/>
  <c r="M171" s="1"/>
  <c r="M170" s="1"/>
  <c r="M169" s="1"/>
  <c r="M183"/>
  <c r="M182" s="1"/>
  <c r="M181" s="1"/>
  <c r="M180" s="1"/>
  <c r="M179" s="1"/>
  <c r="M178" s="1"/>
  <c r="M201"/>
  <c r="M200" s="1"/>
  <c r="M199" s="1"/>
  <c r="M198" s="1"/>
  <c r="M197" s="1"/>
  <c r="M220"/>
  <c r="M222"/>
  <c r="M226"/>
  <c r="M230"/>
  <c r="M244"/>
  <c r="M243" s="1"/>
  <c r="M242" s="1"/>
  <c r="M274"/>
  <c r="M276"/>
  <c r="M298"/>
  <c r="M300"/>
  <c r="M302"/>
  <c r="M307"/>
  <c r="M306" s="1"/>
  <c r="M305" s="1"/>
  <c r="M304" s="1"/>
  <c r="M313"/>
  <c r="M324"/>
  <c r="M328"/>
  <c r="M332"/>
  <c r="M340"/>
  <c r="M339" s="1"/>
  <c r="M338" s="1"/>
  <c r="M346"/>
  <c r="M345" s="1"/>
  <c r="M344" s="1"/>
  <c r="M343" s="1"/>
  <c r="M358"/>
  <c r="M362"/>
  <c r="M373"/>
  <c r="M372" s="1"/>
  <c r="M371" s="1"/>
  <c r="M370" s="1"/>
  <c r="M369" s="1"/>
  <c r="M379"/>
  <c r="M388"/>
  <c r="M396"/>
  <c r="M395" s="1"/>
  <c r="M394" s="1"/>
  <c r="M393" s="1"/>
  <c r="M392" s="1"/>
  <c r="M391" s="1"/>
  <c r="M412"/>
  <c r="M427"/>
  <c r="M429"/>
  <c r="M432"/>
  <c r="M431" s="1"/>
  <c r="M440"/>
  <c r="M446"/>
  <c r="M450"/>
  <c r="M468"/>
  <c r="M467" s="1"/>
  <c r="M466" s="1"/>
  <c r="M472"/>
  <c r="M471" s="1"/>
  <c r="M490"/>
  <c r="M489" s="1"/>
  <c r="M488" s="1"/>
  <c r="M487" s="1"/>
  <c r="M486" s="1"/>
  <c r="M513"/>
  <c r="M512" s="1"/>
  <c r="M511" s="1"/>
  <c r="M510" s="1"/>
  <c r="M522"/>
  <c r="M521" s="1"/>
  <c r="M520" s="1"/>
  <c r="M519" s="1"/>
  <c r="M518" s="1"/>
  <c r="M533"/>
  <c r="M532" s="1"/>
  <c r="M531" s="1"/>
  <c r="M530" s="1"/>
  <c r="M529" s="1"/>
  <c r="M528" s="1"/>
  <c r="M540"/>
  <c r="M543"/>
  <c r="M546"/>
  <c r="M549"/>
  <c r="M556"/>
  <c r="M562"/>
  <c r="M565"/>
  <c r="M625" s="1"/>
  <c r="M463" i="3" l="1"/>
  <c r="M350"/>
  <c r="M349" s="1"/>
  <c r="M348" s="1"/>
  <c r="M347" s="1"/>
  <c r="M346" s="1"/>
  <c r="M562"/>
  <c r="M387"/>
  <c r="M386" s="1"/>
  <c r="M385" s="1"/>
  <c r="M406"/>
  <c r="M405" s="1"/>
  <c r="M174"/>
  <c r="M161"/>
  <c r="M160" s="1"/>
  <c r="M159" s="1"/>
  <c r="M312" i="19"/>
  <c r="M616"/>
  <c r="M437"/>
  <c r="M436" s="1"/>
  <c r="M601"/>
  <c r="M411"/>
  <c r="M410" s="1"/>
  <c r="M136"/>
  <c r="M135" s="1"/>
  <c r="M134" s="1"/>
  <c r="M225"/>
  <c r="M224" s="1"/>
  <c r="M770" i="3"/>
  <c r="M739"/>
  <c r="M539"/>
  <c r="M619" i="19"/>
  <c r="M620" s="1"/>
  <c r="M243" i="3"/>
  <c r="M242" s="1"/>
  <c r="M470" i="19"/>
  <c r="M465" s="1"/>
  <c r="M464" s="1"/>
  <c r="M426"/>
  <c r="M425" s="1"/>
  <c r="M424" s="1"/>
  <c r="M423" s="1"/>
  <c r="M605" s="1"/>
  <c r="M784" i="3"/>
  <c r="M93"/>
  <c r="M92" s="1"/>
  <c r="M91" s="1"/>
  <c r="M90" s="1"/>
  <c r="M555" i="19"/>
  <c r="M554" s="1"/>
  <c r="M553" s="1"/>
  <c r="M552" s="1"/>
  <c r="M611" s="1"/>
  <c r="M539"/>
  <c r="M538" s="1"/>
  <c r="M537" s="1"/>
  <c r="M536" s="1"/>
  <c r="M86"/>
  <c r="M85" s="1"/>
  <c r="M84" s="1"/>
  <c r="M83" s="1"/>
  <c r="M583" s="1"/>
  <c r="M273"/>
  <c r="M272" s="1"/>
  <c r="M271" s="1"/>
  <c r="M270" s="1"/>
  <c r="M269" s="1"/>
  <c r="M219"/>
  <c r="M218" s="1"/>
  <c r="M207"/>
  <c r="M206" s="1"/>
  <c r="M205" s="1"/>
  <c r="M204" s="1"/>
  <c r="M364" i="3"/>
  <c r="M363" s="1"/>
  <c r="M362" s="1"/>
  <c r="M361" s="1"/>
  <c r="M304"/>
  <c r="M698"/>
  <c r="M697" s="1"/>
  <c r="M717"/>
  <c r="M716" s="1"/>
  <c r="M715" s="1"/>
  <c r="M714" s="1"/>
  <c r="M523"/>
  <c r="M522" s="1"/>
  <c r="M521" s="1"/>
  <c r="M520" s="1"/>
  <c r="M519" s="1"/>
  <c r="M518" s="1"/>
  <c r="M268"/>
  <c r="M267" s="1"/>
  <c r="M266" s="1"/>
  <c r="M265" s="1"/>
  <c r="M154"/>
  <c r="M153" s="1"/>
  <c r="M152" s="1"/>
  <c r="M129"/>
  <c r="M128" s="1"/>
  <c r="M127" s="1"/>
  <c r="M747" s="1"/>
  <c r="M105"/>
  <c r="M104" s="1"/>
  <c r="M675"/>
  <c r="M671"/>
  <c r="M572"/>
  <c r="M571" s="1"/>
  <c r="M419"/>
  <c r="M285"/>
  <c r="M281" s="1"/>
  <c r="M636"/>
  <c r="M777" s="1"/>
  <c r="M619"/>
  <c r="M618" s="1"/>
  <c r="M616"/>
  <c r="M615" s="1"/>
  <c r="M614" s="1"/>
  <c r="M596"/>
  <c r="M592"/>
  <c r="M588"/>
  <c r="M587" s="1"/>
  <c r="M586" s="1"/>
  <c r="M582"/>
  <c r="M506"/>
  <c r="M502"/>
  <c r="M498"/>
  <c r="M497" s="1"/>
  <c r="M496" s="1"/>
  <c r="M457"/>
  <c r="M456" s="1"/>
  <c r="M455" s="1"/>
  <c r="M447"/>
  <c r="M441"/>
  <c r="M437"/>
  <c r="M422"/>
  <c r="M414"/>
  <c r="M340"/>
  <c r="M339" s="1"/>
  <c r="M338" s="1"/>
  <c r="M332" s="1"/>
  <c r="M233"/>
  <c r="M232" s="1"/>
  <c r="M231" s="1"/>
  <c r="M201"/>
  <c r="M200" s="1"/>
  <c r="M199" s="1"/>
  <c r="M198" s="1"/>
  <c r="M197" s="1"/>
  <c r="M120"/>
  <c r="M119" s="1"/>
  <c r="M143"/>
  <c r="M114"/>
  <c r="M72"/>
  <c r="M64" s="1"/>
  <c r="M38"/>
  <c r="M26" s="1"/>
  <c r="M196" i="19"/>
  <c r="M177" s="1"/>
  <c r="M622"/>
  <c r="M623" s="1"/>
  <c r="M609"/>
  <c r="M509"/>
  <c r="M495" s="1"/>
  <c r="M575"/>
  <c r="M144"/>
  <c r="M143" s="1"/>
  <c r="M142" s="1"/>
  <c r="M141" s="1"/>
  <c r="M445"/>
  <c r="M444" s="1"/>
  <c r="M443" s="1"/>
  <c r="M442" s="1"/>
  <c r="M606" s="1"/>
  <c r="M383"/>
  <c r="M378" s="1"/>
  <c r="M377" s="1"/>
  <c r="M376" s="1"/>
  <c r="M375" s="1"/>
  <c r="M602" s="1"/>
  <c r="M353"/>
  <c r="M352" s="1"/>
  <c r="M297"/>
  <c r="M253"/>
  <c r="M252" s="1"/>
  <c r="M251" s="1"/>
  <c r="M250" s="1"/>
  <c r="M57"/>
  <c r="M56" s="1"/>
  <c r="M55" s="1"/>
  <c r="M54" s="1"/>
  <c r="M579" s="1"/>
  <c r="M111"/>
  <c r="M110" s="1"/>
  <c r="M109" s="1"/>
  <c r="M104"/>
  <c r="M103" s="1"/>
  <c r="M102" s="1"/>
  <c r="M28"/>
  <c r="M27" s="1"/>
  <c r="M26" s="1"/>
  <c r="M25" s="1"/>
  <c r="M576" s="1"/>
  <c r="M413" i="3" l="1"/>
  <c r="M412" s="1"/>
  <c r="M411" s="1"/>
  <c r="M384"/>
  <c r="M758" s="1"/>
  <c r="M311" i="19"/>
  <c r="M310" s="1"/>
  <c r="M309" s="1"/>
  <c r="M598" s="1"/>
  <c r="M501" i="3"/>
  <c r="M500" s="1"/>
  <c r="M495" s="1"/>
  <c r="M494" s="1"/>
  <c r="M463" i="19"/>
  <c r="M455" s="1"/>
  <c r="M696" i="3"/>
  <c r="M695" s="1"/>
  <c r="M113"/>
  <c r="M103" s="1"/>
  <c r="M351" i="19"/>
  <c r="M350" s="1"/>
  <c r="M349" s="1"/>
  <c r="M296"/>
  <c r="M295" s="1"/>
  <c r="M294" s="1"/>
  <c r="M597" s="1"/>
  <c r="M409"/>
  <c r="M408" s="1"/>
  <c r="M407" s="1"/>
  <c r="M124"/>
  <c r="M589" s="1"/>
  <c r="M94"/>
  <c r="M93" s="1"/>
  <c r="M18"/>
  <c r="M538" i="3"/>
  <c r="M537" s="1"/>
  <c r="M536" s="1"/>
  <c r="M535" s="1"/>
  <c r="M561"/>
  <c r="M591"/>
  <c r="M590" s="1"/>
  <c r="M585" s="1"/>
  <c r="M584" s="1"/>
  <c r="M767" s="1"/>
  <c r="M217" i="19"/>
  <c r="M216" s="1"/>
  <c r="M580" s="1"/>
  <c r="M610"/>
  <c r="M612" s="1"/>
  <c r="M787" i="3"/>
  <c r="M535" i="19"/>
  <c r="M527" s="1"/>
  <c r="M578"/>
  <c r="M142" i="3"/>
  <c r="M749" s="1"/>
  <c r="M750" s="1"/>
  <c r="M743"/>
  <c r="M613"/>
  <c r="M612" s="1"/>
  <c r="M63"/>
  <c r="M57" s="1"/>
  <c r="M290"/>
  <c r="M289" s="1"/>
  <c r="M280" s="1"/>
  <c r="M279" s="1"/>
  <c r="M773"/>
  <c r="M670"/>
  <c r="M669" s="1"/>
  <c r="M668" s="1"/>
  <c r="M667" s="1"/>
  <c r="M762" s="1"/>
  <c r="M781"/>
  <c r="M782" s="1"/>
  <c r="M196"/>
  <c r="M230"/>
  <c r="M229" s="1"/>
  <c r="M738"/>
  <c r="M579"/>
  <c r="M578" s="1"/>
  <c r="M25"/>
  <c r="M24" s="1"/>
  <c r="M23" s="1"/>
  <c r="M331"/>
  <c r="M753"/>
  <c r="M756" s="1"/>
  <c r="M587" i="19"/>
  <c r="M422"/>
  <c r="M614"/>
  <c r="M617" s="1"/>
  <c r="M593"/>
  <c r="M595" s="1"/>
  <c r="M249"/>
  <c r="M607"/>
  <c r="M772" i="3" l="1"/>
  <c r="M774" s="1"/>
  <c r="M694"/>
  <c r="M686" s="1"/>
  <c r="M293" i="19"/>
  <c r="M279" s="1"/>
  <c r="M462" i="3"/>
  <c r="M461" s="1"/>
  <c r="M460" s="1"/>
  <c r="M760" s="1"/>
  <c r="M763"/>
  <c r="M410"/>
  <c r="M759" s="1"/>
  <c r="M599" i="19"/>
  <c r="M400"/>
  <c r="M590"/>
  <c r="M108"/>
  <c r="M584"/>
  <c r="M585" s="1"/>
  <c r="M82"/>
  <c r="M102" i="3"/>
  <c r="M744" s="1"/>
  <c r="M745" s="1"/>
  <c r="M16"/>
  <c r="M611"/>
  <c r="M603" s="1"/>
  <c r="M776"/>
  <c r="M779" s="1"/>
  <c r="M740"/>
  <c r="M666"/>
  <c r="M652" s="1"/>
  <c r="M560"/>
  <c r="M559" s="1"/>
  <c r="M766" s="1"/>
  <c r="M768" s="1"/>
  <c r="M215" i="19"/>
  <c r="M214" s="1"/>
  <c r="M581"/>
  <c r="M126" i="3"/>
  <c r="M736"/>
  <c r="M17" i="19" l="1"/>
  <c r="M15" s="1"/>
  <c r="M603"/>
  <c r="M383" i="3"/>
  <c r="M369" s="1"/>
  <c r="M89"/>
  <c r="M764"/>
  <c r="M558"/>
  <c r="M527" s="1"/>
  <c r="M741"/>
  <c r="M278"/>
  <c r="M277" s="1"/>
  <c r="M15" l="1"/>
  <c r="M14" s="1"/>
  <c r="C26" i="8" s="1"/>
  <c r="M788" i="3"/>
  <c r="H93" i="7"/>
  <c r="I236" i="18" l="1"/>
  <c r="I235" s="1"/>
  <c r="I234" s="1"/>
  <c r="H236"/>
  <c r="H235" s="1"/>
  <c r="H234" s="1"/>
  <c r="N220" i="19"/>
  <c r="C23" i="2" l="1"/>
  <c r="H72" i="7" l="1"/>
  <c r="H73"/>
  <c r="H71" l="1"/>
  <c r="H388" l="1"/>
  <c r="H386" s="1"/>
  <c r="H221" l="1"/>
  <c r="H220" s="1"/>
  <c r="H219" l="1"/>
  <c r="H218" s="1"/>
  <c r="H92" l="1"/>
  <c r="H91" s="1"/>
  <c r="H458" l="1"/>
  <c r="N556" i="19" l="1"/>
  <c r="H237" i="7" l="1"/>
  <c r="N373" i="19" l="1"/>
  <c r="N372" s="1"/>
  <c r="N371" s="1"/>
  <c r="N370" s="1"/>
  <c r="N369" s="1"/>
  <c r="H88" i="18" l="1"/>
  <c r="H87" s="1"/>
  <c r="H86" s="1"/>
  <c r="I88"/>
  <c r="I87" s="1"/>
  <c r="I86" s="1"/>
  <c r="H95" i="7" l="1"/>
  <c r="H94" s="1"/>
  <c r="H44" l="1"/>
  <c r="H476"/>
  <c r="H322" l="1"/>
  <c r="I110" i="18" l="1"/>
  <c r="I109" s="1"/>
  <c r="H110" l="1"/>
  <c r="H109" s="1"/>
  <c r="N429" i="19"/>
  <c r="H20" i="7" l="1"/>
  <c r="H19" s="1"/>
  <c r="H45"/>
  <c r="H43" s="1"/>
  <c r="H150" l="1"/>
  <c r="H149" s="1"/>
  <c r="F21" i="22" l="1"/>
  <c r="I385" i="18" l="1"/>
  <c r="I384" s="1"/>
  <c r="I383" s="1"/>
  <c r="H385"/>
  <c r="H384" s="1"/>
  <c r="H383" s="1"/>
  <c r="N174" i="19"/>
  <c r="N173" s="1"/>
  <c r="N172" s="1"/>
  <c r="N171" s="1"/>
  <c r="N170" s="1"/>
  <c r="N169" s="1"/>
  <c r="C41" i="27"/>
  <c r="C31"/>
  <c r="C18"/>
  <c r="C17" l="1"/>
  <c r="C16" s="1"/>
  <c r="C15" s="1"/>
  <c r="C14" s="1"/>
  <c r="C13" s="1"/>
  <c r="C38" i="5" s="1"/>
  <c r="D52" i="17"/>
  <c r="D51" s="1"/>
  <c r="N619" i="19"/>
  <c r="E52" i="17" s="1"/>
  <c r="E51" s="1"/>
  <c r="H400" i="7"/>
  <c r="H399" s="1"/>
  <c r="I21" i="18" l="1"/>
  <c r="I22"/>
  <c r="I24"/>
  <c r="I23" s="1"/>
  <c r="I26"/>
  <c r="I25" s="1"/>
  <c r="I31"/>
  <c r="I34"/>
  <c r="I43"/>
  <c r="I44"/>
  <c r="I45"/>
  <c r="I51"/>
  <c r="I52"/>
  <c r="I64"/>
  <c r="I63" s="1"/>
  <c r="I67"/>
  <c r="I72"/>
  <c r="I73"/>
  <c r="I74"/>
  <c r="I77"/>
  <c r="I78"/>
  <c r="I79"/>
  <c r="I81"/>
  <c r="I82"/>
  <c r="I84"/>
  <c r="I85"/>
  <c r="I108"/>
  <c r="I107" s="1"/>
  <c r="I106" s="1"/>
  <c r="I113"/>
  <c r="I114"/>
  <c r="I115"/>
  <c r="I124"/>
  <c r="I123" s="1"/>
  <c r="I128"/>
  <c r="I129"/>
  <c r="I130"/>
  <c r="I132"/>
  <c r="I134"/>
  <c r="I143"/>
  <c r="I142" s="1"/>
  <c r="I141" s="1"/>
  <c r="I140" s="1"/>
  <c r="I150"/>
  <c r="I151"/>
  <c r="I152"/>
  <c r="I155"/>
  <c r="I156"/>
  <c r="I157"/>
  <c r="I159"/>
  <c r="I158" s="1"/>
  <c r="I170"/>
  <c r="I171"/>
  <c r="I176"/>
  <c r="I177"/>
  <c r="I178"/>
  <c r="I193"/>
  <c r="I192" s="1"/>
  <c r="I195"/>
  <c r="I194" s="1"/>
  <c r="I197"/>
  <c r="I196" s="1"/>
  <c r="I211"/>
  <c r="I212"/>
  <c r="I213"/>
  <c r="I219"/>
  <c r="I220"/>
  <c r="I221"/>
  <c r="I224"/>
  <c r="I223" s="1"/>
  <c r="I222" s="1"/>
  <c r="I240"/>
  <c r="I241"/>
  <c r="I242"/>
  <c r="I244"/>
  <c r="I245"/>
  <c r="I246"/>
  <c r="I260"/>
  <c r="I261"/>
  <c r="I263"/>
  <c r="I264"/>
  <c r="I266"/>
  <c r="I267"/>
  <c r="I269"/>
  <c r="I270"/>
  <c r="I272"/>
  <c r="I271" s="1"/>
  <c r="I277"/>
  <c r="I276" s="1"/>
  <c r="I275"/>
  <c r="I274" s="1"/>
  <c r="I280"/>
  <c r="I281"/>
  <c r="I283"/>
  <c r="I284"/>
  <c r="I286"/>
  <c r="I287"/>
  <c r="I290"/>
  <c r="I289" s="1"/>
  <c r="I288" s="1"/>
  <c r="I296"/>
  <c r="I295" s="1"/>
  <c r="I294" s="1"/>
  <c r="I293" s="1"/>
  <c r="I292" s="1"/>
  <c r="I308"/>
  <c r="I307" s="1"/>
  <c r="I306" s="1"/>
  <c r="I311"/>
  <c r="I310" s="1"/>
  <c r="I309" s="1"/>
  <c r="I317"/>
  <c r="I316" s="1"/>
  <c r="I315" s="1"/>
  <c r="I314" s="1"/>
  <c r="I313" s="1"/>
  <c r="I327"/>
  <c r="I326" s="1"/>
  <c r="I325" s="1"/>
  <c r="I324" s="1"/>
  <c r="I319" s="1"/>
  <c r="I335"/>
  <c r="I334" s="1"/>
  <c r="I347"/>
  <c r="I346" s="1"/>
  <c r="I345" s="1"/>
  <c r="I350"/>
  <c r="I351"/>
  <c r="I352"/>
  <c r="I354"/>
  <c r="I353" s="1"/>
  <c r="I356"/>
  <c r="I355" s="1"/>
  <c r="I358"/>
  <c r="I357" s="1"/>
  <c r="I360"/>
  <c r="I361"/>
  <c r="I363"/>
  <c r="I362" s="1"/>
  <c r="I366"/>
  <c r="I365" s="1"/>
  <c r="I369"/>
  <c r="I368" s="1"/>
  <c r="I367" s="1"/>
  <c r="I380"/>
  <c r="I381"/>
  <c r="I388"/>
  <c r="I389"/>
  <c r="I400"/>
  <c r="I401"/>
  <c r="I402"/>
  <c r="I407"/>
  <c r="I406" s="1"/>
  <c r="H204"/>
  <c r="H85"/>
  <c r="H84"/>
  <c r="H82"/>
  <c r="H81"/>
  <c r="H79"/>
  <c r="H78"/>
  <c r="H77"/>
  <c r="H74"/>
  <c r="H73"/>
  <c r="H72"/>
  <c r="H67"/>
  <c r="H64"/>
  <c r="H52"/>
  <c r="H51"/>
  <c r="H49"/>
  <c r="H48"/>
  <c r="H47"/>
  <c r="H45"/>
  <c r="H44"/>
  <c r="H43"/>
  <c r="H34"/>
  <c r="H31"/>
  <c r="H26"/>
  <c r="H24"/>
  <c r="H22"/>
  <c r="H21"/>
  <c r="N396" i="19"/>
  <c r="N395" s="1"/>
  <c r="N394" s="1"/>
  <c r="N393" s="1"/>
  <c r="N392" s="1"/>
  <c r="N391" s="1"/>
  <c r="N388"/>
  <c r="N379"/>
  <c r="N362"/>
  <c r="N358"/>
  <c r="I62" i="18"/>
  <c r="I61"/>
  <c r="I60"/>
  <c r="I59"/>
  <c r="N340" i="19"/>
  <c r="N339" s="1"/>
  <c r="N338" s="1"/>
  <c r="N332"/>
  <c r="N331"/>
  <c r="I49" i="18" s="1"/>
  <c r="I48"/>
  <c r="I47"/>
  <c r="N324" i="19"/>
  <c r="I33" i="18"/>
  <c r="I32"/>
  <c r="N307" i="19"/>
  <c r="N306" s="1"/>
  <c r="N305" s="1"/>
  <c r="N304" s="1"/>
  <c r="N302"/>
  <c r="N300"/>
  <c r="I19" i="18"/>
  <c r="I18" s="1"/>
  <c r="I120" l="1"/>
  <c r="I119" s="1"/>
  <c r="I331"/>
  <c r="I330" s="1"/>
  <c r="I329" s="1"/>
  <c r="I379"/>
  <c r="I378" s="1"/>
  <c r="I169"/>
  <c r="I168" s="1"/>
  <c r="I167" s="1"/>
  <c r="I399"/>
  <c r="I398" s="1"/>
  <c r="I233"/>
  <c r="I405"/>
  <c r="I404" s="1"/>
  <c r="H32"/>
  <c r="H59"/>
  <c r="H60"/>
  <c r="H61"/>
  <c r="H62"/>
  <c r="N346" i="19"/>
  <c r="N345" s="1"/>
  <c r="N344" s="1"/>
  <c r="N343" s="1"/>
  <c r="H76" i="18"/>
  <c r="H75" s="1"/>
  <c r="H19"/>
  <c r="H33"/>
  <c r="N298" i="19"/>
  <c r="N313"/>
  <c r="I204" i="18"/>
  <c r="I202" s="1"/>
  <c r="I259"/>
  <c r="I387"/>
  <c r="I386" s="1"/>
  <c r="I282"/>
  <c r="I262"/>
  <c r="I71"/>
  <c r="I210"/>
  <c r="I209" s="1"/>
  <c r="I208" s="1"/>
  <c r="I239"/>
  <c r="I149"/>
  <c r="I148" s="1"/>
  <c r="I218"/>
  <c r="I217" s="1"/>
  <c r="I175"/>
  <c r="I174" s="1"/>
  <c r="I173" s="1"/>
  <c r="I112"/>
  <c r="I111" s="1"/>
  <c r="I80"/>
  <c r="I42"/>
  <c r="I30"/>
  <c r="I20"/>
  <c r="I17" s="1"/>
  <c r="I359"/>
  <c r="I285"/>
  <c r="I279"/>
  <c r="I83"/>
  <c r="I50"/>
  <c r="I273"/>
  <c r="I349"/>
  <c r="I243"/>
  <c r="I154"/>
  <c r="I153" s="1"/>
  <c r="I46"/>
  <c r="I265"/>
  <c r="I268"/>
  <c r="I127"/>
  <c r="I58"/>
  <c r="I57" s="1"/>
  <c r="I56" s="1"/>
  <c r="I191"/>
  <c r="I190" s="1"/>
  <c r="I305"/>
  <c r="I304" s="1"/>
  <c r="H202"/>
  <c r="H199" s="1"/>
  <c r="H198" s="1"/>
  <c r="H83"/>
  <c r="N328" i="19"/>
  <c r="N353"/>
  <c r="N384"/>
  <c r="I76" i="18" s="1"/>
  <c r="I75" s="1"/>
  <c r="I29" l="1"/>
  <c r="I16" s="1"/>
  <c r="N312" i="19"/>
  <c r="N311" s="1"/>
  <c r="N297"/>
  <c r="N296" s="1"/>
  <c r="N295" s="1"/>
  <c r="N294" s="1"/>
  <c r="N597" s="1"/>
  <c r="I147" i="18"/>
  <c r="I139" s="1"/>
  <c r="I199"/>
  <c r="I198" s="1"/>
  <c r="I189" s="1"/>
  <c r="I238"/>
  <c r="I237" s="1"/>
  <c r="I232" s="1"/>
  <c r="I216"/>
  <c r="I215" s="1"/>
  <c r="N352" i="19"/>
  <c r="I278" i="18"/>
  <c r="I166"/>
  <c r="I70"/>
  <c r="I69" s="1"/>
  <c r="I348"/>
  <c r="I344" s="1"/>
  <c r="I343" s="1"/>
  <c r="I258"/>
  <c r="N383" i="19"/>
  <c r="N378" s="1"/>
  <c r="N377" s="1"/>
  <c r="N376" s="1"/>
  <c r="N375" s="1"/>
  <c r="N351" l="1"/>
  <c r="N350" s="1"/>
  <c r="N349" s="1"/>
  <c r="N310"/>
  <c r="N309" s="1"/>
  <c r="N598" s="1"/>
  <c r="I257" i="18"/>
  <c r="I256" s="1"/>
  <c r="I15"/>
  <c r="H125" i="7"/>
  <c r="H503"/>
  <c r="H126"/>
  <c r="H123"/>
  <c r="H122"/>
  <c r="H115"/>
  <c r="H102"/>
  <c r="H99"/>
  <c r="H98" s="1"/>
  <c r="H90"/>
  <c r="H89"/>
  <c r="H67"/>
  <c r="H66"/>
  <c r="H64"/>
  <c r="H63"/>
  <c r="H62"/>
  <c r="H60"/>
  <c r="H59"/>
  <c r="H58"/>
  <c r="H39"/>
  <c r="H32"/>
  <c r="H30"/>
  <c r="H28"/>
  <c r="H27"/>
  <c r="H111"/>
  <c r="H84"/>
  <c r="H83"/>
  <c r="H48"/>
  <c r="H47"/>
  <c r="H41"/>
  <c r="H40"/>
  <c r="N293" i="19" l="1"/>
  <c r="N279" s="1"/>
  <c r="H85" i="7"/>
  <c r="H110"/>
  <c r="H116"/>
  <c r="H42"/>
  <c r="H38" s="1"/>
  <c r="H82"/>
  <c r="H114"/>
  <c r="H18"/>
  <c r="H22"/>
  <c r="H50"/>
  <c r="H113"/>
  <c r="H109"/>
  <c r="H124"/>
  <c r="E36" i="17" l="1"/>
  <c r="D36"/>
  <c r="E35"/>
  <c r="D35"/>
  <c r="H407" i="18"/>
  <c r="H402"/>
  <c r="H401"/>
  <c r="H400"/>
  <c r="H389"/>
  <c r="H388"/>
  <c r="H381"/>
  <c r="H380"/>
  <c r="H369"/>
  <c r="H368" s="1"/>
  <c r="H367" s="1"/>
  <c r="H366"/>
  <c r="H363"/>
  <c r="H362" s="1"/>
  <c r="H361"/>
  <c r="H360"/>
  <c r="H358"/>
  <c r="H356"/>
  <c r="H354"/>
  <c r="H352"/>
  <c r="H351"/>
  <c r="H350"/>
  <c r="H347"/>
  <c r="H335"/>
  <c r="H334" s="1"/>
  <c r="H327"/>
  <c r="H326" s="1"/>
  <c r="H325" s="1"/>
  <c r="H324" s="1"/>
  <c r="H319" s="1"/>
  <c r="H317"/>
  <c r="H311"/>
  <c r="H308"/>
  <c r="H296"/>
  <c r="H295" s="1"/>
  <c r="H294" s="1"/>
  <c r="H293" s="1"/>
  <c r="H292" s="1"/>
  <c r="H290"/>
  <c r="H289" s="1"/>
  <c r="H288" s="1"/>
  <c r="H287"/>
  <c r="H286"/>
  <c r="H284"/>
  <c r="H283"/>
  <c r="H281"/>
  <c r="H280"/>
  <c r="H275"/>
  <c r="H277"/>
  <c r="H272"/>
  <c r="H270"/>
  <c r="H269"/>
  <c r="H267"/>
  <c r="H266"/>
  <c r="H264"/>
  <c r="H263"/>
  <c r="H261"/>
  <c r="H260"/>
  <c r="H246"/>
  <c r="H245"/>
  <c r="H244"/>
  <c r="H242"/>
  <c r="H241"/>
  <c r="H240"/>
  <c r="H331" l="1"/>
  <c r="H330" s="1"/>
  <c r="H329" s="1"/>
  <c r="H379"/>
  <c r="H399"/>
  <c r="H398" s="1"/>
  <c r="H233"/>
  <c r="D34" i="6"/>
  <c r="H349" i="18"/>
  <c r="H239"/>
  <c r="H224"/>
  <c r="H221"/>
  <c r="H220"/>
  <c r="H219"/>
  <c r="H213"/>
  <c r="H212"/>
  <c r="H211"/>
  <c r="H197"/>
  <c r="H195"/>
  <c r="H194" s="1"/>
  <c r="H193"/>
  <c r="H192" s="1"/>
  <c r="H178"/>
  <c r="H177"/>
  <c r="H176"/>
  <c r="H171"/>
  <c r="H170"/>
  <c r="H159"/>
  <c r="H158" s="1"/>
  <c r="H157"/>
  <c r="H156"/>
  <c r="H155"/>
  <c r="H152"/>
  <c r="H151"/>
  <c r="H150"/>
  <c r="H143"/>
  <c r="H142" s="1"/>
  <c r="H141" s="1"/>
  <c r="H140" s="1"/>
  <c r="H134"/>
  <c r="H133"/>
  <c r="H132"/>
  <c r="H130"/>
  <c r="H129"/>
  <c r="H128"/>
  <c r="H124"/>
  <c r="H123" s="1"/>
  <c r="H115"/>
  <c r="H114"/>
  <c r="H113"/>
  <c r="H108"/>
  <c r="H103"/>
  <c r="H120" l="1"/>
  <c r="H119" s="1"/>
  <c r="H169"/>
  <c r="H210"/>
  <c r="H131"/>
  <c r="H112"/>
  <c r="H127"/>
  <c r="H550" i="7" l="1"/>
  <c r="H512"/>
  <c r="H510"/>
  <c r="H509"/>
  <c r="H508"/>
  <c r="H486"/>
  <c r="H485"/>
  <c r="H479"/>
  <c r="H475"/>
  <c r="H474"/>
  <c r="H471"/>
  <c r="H469"/>
  <c r="H465"/>
  <c r="H464" s="1"/>
  <c r="H463"/>
  <c r="H460"/>
  <c r="H455"/>
  <c r="H454"/>
  <c r="H452"/>
  <c r="H450"/>
  <c r="H448"/>
  <c r="H444"/>
  <c r="H443"/>
  <c r="H442"/>
  <c r="H439"/>
  <c r="H433"/>
  <c r="H425"/>
  <c r="H419"/>
  <c r="H415"/>
  <c r="H409"/>
  <c r="H403"/>
  <c r="H390"/>
  <c r="H381"/>
  <c r="H378"/>
  <c r="H377"/>
  <c r="H375"/>
  <c r="H374"/>
  <c r="H372"/>
  <c r="H371"/>
  <c r="H368"/>
  <c r="H363"/>
  <c r="H361"/>
  <c r="H360"/>
  <c r="H358"/>
  <c r="H357"/>
  <c r="H355"/>
  <c r="H354"/>
  <c r="H352"/>
  <c r="H351"/>
  <c r="H340"/>
  <c r="H337"/>
  <c r="H334"/>
  <c r="H332"/>
  <c r="H331"/>
  <c r="H330"/>
  <c r="H328"/>
  <c r="H327"/>
  <c r="H326"/>
  <c r="H320"/>
  <c r="H318"/>
  <c r="H307"/>
  <c r="H304"/>
  <c r="H299"/>
  <c r="H296"/>
  <c r="H295"/>
  <c r="H294"/>
  <c r="H281"/>
  <c r="H279"/>
  <c r="H275"/>
  <c r="H272"/>
  <c r="H270"/>
  <c r="H266"/>
  <c r="H264"/>
  <c r="H262"/>
  <c r="H260"/>
  <c r="H245"/>
  <c r="H244"/>
  <c r="H243"/>
  <c r="H239"/>
  <c r="H238" s="1"/>
  <c r="H236"/>
  <c r="H235"/>
  <c r="H223"/>
  <c r="H222" s="1"/>
  <c r="H217"/>
  <c r="H215"/>
  <c r="H214"/>
  <c r="H213"/>
  <c r="H210"/>
  <c r="H209"/>
  <c r="H208"/>
  <c r="H204"/>
  <c r="H203"/>
  <c r="H200"/>
  <c r="H189"/>
  <c r="H188"/>
  <c r="H187"/>
  <c r="H184"/>
  <c r="H185"/>
  <c r="H183"/>
  <c r="H179"/>
  <c r="H178" s="1"/>
  <c r="H167"/>
  <c r="H166"/>
  <c r="H165"/>
  <c r="H162"/>
  <c r="H156"/>
  <c r="H153"/>
  <c r="H146"/>
  <c r="H212" l="1"/>
  <c r="H339"/>
  <c r="H338" s="1"/>
  <c r="H507"/>
  <c r="H234"/>
  <c r="H473"/>
  <c r="G21" i="22"/>
  <c r="F20" i="11"/>
  <c r="C16" i="21"/>
  <c r="B16"/>
  <c r="C15"/>
  <c r="B15"/>
  <c r="B14" i="9"/>
  <c r="B13" s="1"/>
  <c r="D16" i="20" l="1"/>
  <c r="D15" s="1"/>
  <c r="D14" s="1"/>
  <c r="D19" i="16"/>
  <c r="C19"/>
  <c r="D31"/>
  <c r="I103" i="18"/>
  <c r="I102" s="1"/>
  <c r="D16" i="16"/>
  <c r="D15" s="1"/>
  <c r="D50"/>
  <c r="D57"/>
  <c r="D63"/>
  <c r="D62" s="1"/>
  <c r="D66"/>
  <c r="D68"/>
  <c r="D70"/>
  <c r="C70"/>
  <c r="C68"/>
  <c r="C66"/>
  <c r="C63"/>
  <c r="C62" s="1"/>
  <c r="C57"/>
  <c r="C50"/>
  <c r="C31"/>
  <c r="C16"/>
  <c r="C15" s="1"/>
  <c r="C65" i="2"/>
  <c r="C25"/>
  <c r="C19"/>
  <c r="D18" i="16" l="1"/>
  <c r="C18"/>
  <c r="C18" i="2"/>
  <c r="C36" i="5" s="1"/>
  <c r="I101" i="18"/>
  <c r="I100" s="1"/>
  <c r="D39" i="16"/>
  <c r="D38" s="1"/>
  <c r="D37" s="1"/>
  <c r="C39"/>
  <c r="C38" s="1"/>
  <c r="C37" s="1"/>
  <c r="C63" i="2"/>
  <c r="C60"/>
  <c r="C59" s="1"/>
  <c r="C46"/>
  <c r="C53"/>
  <c r="C16"/>
  <c r="C15" s="1"/>
  <c r="C35" l="1"/>
  <c r="C34" s="1"/>
  <c r="D38" i="15"/>
  <c r="D14" i="16"/>
  <c r="D13" s="1"/>
  <c r="C38" i="15"/>
  <c r="C14" i="16"/>
  <c r="C13" s="1"/>
  <c r="M573" i="19" s="1"/>
  <c r="D37" i="15"/>
  <c r="C37"/>
  <c r="C35" i="5"/>
  <c r="C33" i="2" l="1"/>
  <c r="C14" s="1"/>
  <c r="N274" i="19"/>
  <c r="N276"/>
  <c r="N254"/>
  <c r="N253" s="1"/>
  <c r="N252" s="1"/>
  <c r="N251" s="1"/>
  <c r="N250" s="1"/>
  <c r="N244"/>
  <c r="N243" s="1"/>
  <c r="N242" s="1"/>
  <c r="N230"/>
  <c r="N226"/>
  <c r="N222"/>
  <c r="C37" i="5" l="1"/>
  <c r="C34" s="1"/>
  <c r="C33" s="1"/>
  <c r="N225" i="19"/>
  <c r="N224" s="1"/>
  <c r="N219"/>
  <c r="N218" s="1"/>
  <c r="N249"/>
  <c r="N593"/>
  <c r="E33" i="17" s="1"/>
  <c r="E31" s="1"/>
  <c r="D33"/>
  <c r="D31" s="1"/>
  <c r="H316" i="7"/>
  <c r="N273" i="19"/>
  <c r="N272" s="1"/>
  <c r="N271" s="1"/>
  <c r="N270" s="1"/>
  <c r="I133" i="18"/>
  <c r="I131" s="1"/>
  <c r="I126" s="1"/>
  <c r="N446" i="19"/>
  <c r="N440"/>
  <c r="N432"/>
  <c r="N431" s="1"/>
  <c r="N427"/>
  <c r="N426" s="1"/>
  <c r="N412"/>
  <c r="N437" l="1"/>
  <c r="N436" s="1"/>
  <c r="N411"/>
  <c r="N410" s="1"/>
  <c r="I125" i="18"/>
  <c r="I99" s="1"/>
  <c r="I421" s="1"/>
  <c r="N217" i="19"/>
  <c r="N216" s="1"/>
  <c r="N580" s="1"/>
  <c r="N269"/>
  <c r="N450"/>
  <c r="N445" s="1"/>
  <c r="N444" s="1"/>
  <c r="N443" s="1"/>
  <c r="N442" s="1"/>
  <c r="N606" s="1"/>
  <c r="E42" i="17" s="1"/>
  <c r="H160" i="7"/>
  <c r="H177"/>
  <c r="H175" s="1"/>
  <c r="D42" i="17"/>
  <c r="N425" i="19"/>
  <c r="N424" s="1"/>
  <c r="N423" s="1"/>
  <c r="N605" s="1"/>
  <c r="E41" i="17" s="1"/>
  <c r="D41" i="6"/>
  <c r="N409" i="19" l="1"/>
  <c r="N408" s="1"/>
  <c r="N599" s="1"/>
  <c r="E37" i="17" s="1"/>
  <c r="E23"/>
  <c r="D23"/>
  <c r="N215" i="19"/>
  <c r="N214" s="1"/>
  <c r="D31" i="6"/>
  <c r="D30" s="1"/>
  <c r="D36"/>
  <c r="D37" i="17"/>
  <c r="N422" i="19"/>
  <c r="N161"/>
  <c r="N160" s="1"/>
  <c r="N159" s="1"/>
  <c r="N158" s="1"/>
  <c r="N157" s="1"/>
  <c r="N156" s="1"/>
  <c r="N144"/>
  <c r="N143" s="1"/>
  <c r="N142" s="1"/>
  <c r="N141" s="1"/>
  <c r="N139"/>
  <c r="N132"/>
  <c r="N131" s="1"/>
  <c r="N130" s="1"/>
  <c r="N125" s="1"/>
  <c r="N122"/>
  <c r="N121" s="1"/>
  <c r="N120" s="1"/>
  <c r="N119" s="1"/>
  <c r="N118" s="1"/>
  <c r="N588" s="1"/>
  <c r="E29" i="17" s="1"/>
  <c r="D29"/>
  <c r="N116" i="19"/>
  <c r="N115" s="1"/>
  <c r="N113"/>
  <c r="N112" s="1"/>
  <c r="N104"/>
  <c r="N103" s="1"/>
  <c r="N102" s="1"/>
  <c r="D26" i="17"/>
  <c r="N91" i="19"/>
  <c r="N89"/>
  <c r="N87"/>
  <c r="N57"/>
  <c r="N52"/>
  <c r="N51" s="1"/>
  <c r="N50" s="1"/>
  <c r="N49" s="1"/>
  <c r="N48" s="1"/>
  <c r="N577" s="1"/>
  <c r="E20" i="17" s="1"/>
  <c r="D20"/>
  <c r="N46" i="19"/>
  <c r="N45" s="1"/>
  <c r="N43"/>
  <c r="N37"/>
  <c r="N35"/>
  <c r="N33"/>
  <c r="N29"/>
  <c r="N23"/>
  <c r="N22" s="1"/>
  <c r="N21" s="1"/>
  <c r="N20" s="1"/>
  <c r="N19" s="1"/>
  <c r="D18" i="17"/>
  <c r="D28" i="6"/>
  <c r="D19"/>
  <c r="D17"/>
  <c r="N407" i="19" l="1"/>
  <c r="N400" s="1"/>
  <c r="N136"/>
  <c r="N135" s="1"/>
  <c r="N134" s="1"/>
  <c r="N124" s="1"/>
  <c r="N589" s="1"/>
  <c r="E30" i="17" s="1"/>
  <c r="N94" i="19"/>
  <c r="N93" s="1"/>
  <c r="N584" s="1"/>
  <c r="E26" i="17" s="1"/>
  <c r="N575" i="19"/>
  <c r="E18" i="17" s="1"/>
  <c r="D22"/>
  <c r="N56" i="19"/>
  <c r="N55" s="1"/>
  <c r="N54" s="1"/>
  <c r="N579" s="1"/>
  <c r="E22" i="17" s="1"/>
  <c r="D21" i="6"/>
  <c r="D43"/>
  <c r="D27"/>
  <c r="D41" i="17"/>
  <c r="N609" i="19"/>
  <c r="E44" i="17" s="1"/>
  <c r="D44"/>
  <c r="H280" i="7"/>
  <c r="H427"/>
  <c r="N86" i="19"/>
  <c r="N85" s="1"/>
  <c r="N84" s="1"/>
  <c r="N83" s="1"/>
  <c r="D30" i="17"/>
  <c r="D28"/>
  <c r="N28" i="19"/>
  <c r="N27" s="1"/>
  <c r="N26" s="1"/>
  <c r="N25" s="1"/>
  <c r="N111"/>
  <c r="N110" s="1"/>
  <c r="N109" s="1"/>
  <c r="N587" s="1"/>
  <c r="E28" i="17" s="1"/>
  <c r="N18" i="19" l="1"/>
  <c r="D24" i="6"/>
  <c r="D52"/>
  <c r="D40"/>
  <c r="D25" i="17"/>
  <c r="N82" i="19"/>
  <c r="N583"/>
  <c r="E25" i="17" s="1"/>
  <c r="N576" i="19"/>
  <c r="E19" i="17" s="1"/>
  <c r="D19"/>
  <c r="N108" i="19"/>
  <c r="N17" l="1"/>
  <c r="N201"/>
  <c r="N200" s="1"/>
  <c r="N199" s="1"/>
  <c r="N198" s="1"/>
  <c r="N197" s="1"/>
  <c r="N183"/>
  <c r="N182" s="1"/>
  <c r="N181" s="1"/>
  <c r="N180" s="1"/>
  <c r="N179" s="1"/>
  <c r="N178" s="1"/>
  <c r="D29" i="6" l="1"/>
  <c r="D25"/>
  <c r="N196" i="19"/>
  <c r="N622"/>
  <c r="E54" i="17" s="1"/>
  <c r="D54"/>
  <c r="I397" i="18"/>
  <c r="N177" i="19" l="1"/>
  <c r="N207"/>
  <c r="N206" s="1"/>
  <c r="N205" s="1"/>
  <c r="N204" s="1"/>
  <c r="N490"/>
  <c r="N489" s="1"/>
  <c r="N488" s="1"/>
  <c r="N487" s="1"/>
  <c r="N486" s="1"/>
  <c r="D50" i="17"/>
  <c r="N472" i="19"/>
  <c r="N471" s="1"/>
  <c r="N468"/>
  <c r="N467" s="1"/>
  <c r="N466" s="1"/>
  <c r="N616" l="1"/>
  <c r="E50" i="17" s="1"/>
  <c r="N578" i="19"/>
  <c r="E21" i="17" s="1"/>
  <c r="D21"/>
  <c r="D48"/>
  <c r="N470" i="19"/>
  <c r="N465" s="1"/>
  <c r="N464" s="1"/>
  <c r="N463" l="1"/>
  <c r="N455" s="1"/>
  <c r="N614"/>
  <c r="E48" i="17" s="1"/>
  <c r="N522" i="19"/>
  <c r="N521" s="1"/>
  <c r="N520" s="1"/>
  <c r="N519" s="1"/>
  <c r="N518" s="1"/>
  <c r="N513"/>
  <c r="N512" s="1"/>
  <c r="N511" s="1"/>
  <c r="N510" s="1"/>
  <c r="D39" i="17" l="1"/>
  <c r="N602" i="19"/>
  <c r="E39" i="17" s="1"/>
  <c r="N509" i="19"/>
  <c r="N495" s="1"/>
  <c r="N562"/>
  <c r="N559"/>
  <c r="N549"/>
  <c r="N546"/>
  <c r="N543"/>
  <c r="N540"/>
  <c r="N533"/>
  <c r="N532" s="1"/>
  <c r="N531" s="1"/>
  <c r="N530" s="1"/>
  <c r="N529" s="1"/>
  <c r="N528" s="1"/>
  <c r="N601" l="1"/>
  <c r="E38" i="17" s="1"/>
  <c r="D38"/>
  <c r="N539" i="19"/>
  <c r="N538" s="1"/>
  <c r="N537" s="1"/>
  <c r="N536" s="1"/>
  <c r="D46" i="17"/>
  <c r="N555" i="19"/>
  <c r="N554" s="1"/>
  <c r="N553" s="1"/>
  <c r="N552" s="1"/>
  <c r="N611" l="1"/>
  <c r="E46" i="17" s="1"/>
  <c r="D45"/>
  <c r="D43" s="1"/>
  <c r="N610" i="19"/>
  <c r="E45" i="17" s="1"/>
  <c r="N535" i="19"/>
  <c r="N527" s="1"/>
  <c r="E43" i="17" l="1"/>
  <c r="D46" i="6"/>
  <c r="D50" l="1"/>
  <c r="D38" l="1"/>
  <c r="D49"/>
  <c r="D45"/>
  <c r="D42" s="1"/>
  <c r="D48" l="1"/>
  <c r="D22"/>
  <c r="D54" l="1"/>
  <c r="D53" s="1"/>
  <c r="D37"/>
  <c r="H196" i="18"/>
  <c r="H191" s="1"/>
  <c r="H63"/>
  <c r="H478" i="7"/>
  <c r="H477" s="1"/>
  <c r="H502"/>
  <c r="H501" s="1"/>
  <c r="H500" s="1"/>
  <c r="H499" s="1"/>
  <c r="D20" i="6" l="1"/>
  <c r="H387" i="18"/>
  <c r="H386" s="1"/>
  <c r="H269" i="7"/>
  <c r="H216"/>
  <c r="H389"/>
  <c r="H385" s="1"/>
  <c r="D51" i="6" l="1"/>
  <c r="D27" i="12" l="1"/>
  <c r="C27"/>
  <c r="D16"/>
  <c r="H362" i="7" l="1"/>
  <c r="H426" l="1"/>
  <c r="C16" i="20" l="1"/>
  <c r="H353" i="18" l="1"/>
  <c r="H447" i="7" l="1"/>
  <c r="C15" i="20" l="1"/>
  <c r="C14" s="1"/>
  <c r="H21" i="7" l="1"/>
  <c r="H88" l="1"/>
  <c r="H484" l="1"/>
  <c r="H483" s="1"/>
  <c r="C14" i="21" l="1"/>
  <c r="B14" l="1"/>
  <c r="H80" i="18" l="1"/>
  <c r="H365"/>
  <c r="H367" i="7" l="1"/>
  <c r="H364" s="1"/>
  <c r="H101"/>
  <c r="H100" s="1"/>
  <c r="H164" l="1"/>
  <c r="H163" s="1"/>
  <c r="D36" i="15" l="1"/>
  <c r="D35" s="1"/>
  <c r="D34" s="1"/>
  <c r="C36"/>
  <c r="C35" s="1"/>
  <c r="H459" i="7" l="1"/>
  <c r="H306" l="1"/>
  <c r="H305" s="1"/>
  <c r="N620" i="19" l="1"/>
  <c r="H121" i="7" l="1"/>
  <c r="H317" l="1"/>
  <c r="H333"/>
  <c r="H384" l="1"/>
  <c r="H383" s="1"/>
  <c r="I410" i="18" l="1"/>
  <c r="I409" s="1"/>
  <c r="H410"/>
  <c r="H409" s="1"/>
  <c r="H428" s="1"/>
  <c r="H359"/>
  <c r="H274"/>
  <c r="H276"/>
  <c r="H243"/>
  <c r="H238" s="1"/>
  <c r="H237" s="1"/>
  <c r="H218"/>
  <c r="I428" l="1"/>
  <c r="I14"/>
  <c r="H273"/>
  <c r="H149"/>
  <c r="H111"/>
  <c r="H168" l="1"/>
  <c r="H50"/>
  <c r="H42"/>
  <c r="H25"/>
  <c r="H23"/>
  <c r="H18"/>
  <c r="H406"/>
  <c r="H378"/>
  <c r="H357"/>
  <c r="H355"/>
  <c r="H346"/>
  <c r="H345" s="1"/>
  <c r="H316"/>
  <c r="H315" s="1"/>
  <c r="H314" s="1"/>
  <c r="H313" s="1"/>
  <c r="H310"/>
  <c r="H309" s="1"/>
  <c r="H307"/>
  <c r="H306" s="1"/>
  <c r="H285"/>
  <c r="H282"/>
  <c r="H279"/>
  <c r="H271"/>
  <c r="H268"/>
  <c r="H265"/>
  <c r="H262"/>
  <c r="H259"/>
  <c r="H223"/>
  <c r="H222" s="1"/>
  <c r="H217"/>
  <c r="H209"/>
  <c r="H208" s="1"/>
  <c r="H175"/>
  <c r="H174" s="1"/>
  <c r="H173" s="1"/>
  <c r="H154"/>
  <c r="H153" s="1"/>
  <c r="H148"/>
  <c r="H107"/>
  <c r="H106" s="1"/>
  <c r="H102"/>
  <c r="H101" s="1"/>
  <c r="H147" l="1"/>
  <c r="H139" s="1"/>
  <c r="H100"/>
  <c r="H216"/>
  <c r="H405"/>
  <c r="H404" s="1"/>
  <c r="H190"/>
  <c r="H189" s="1"/>
  <c r="H348"/>
  <c r="H344" s="1"/>
  <c r="H258"/>
  <c r="H58"/>
  <c r="H57" s="1"/>
  <c r="H56" s="1"/>
  <c r="H30"/>
  <c r="I425"/>
  <c r="H397"/>
  <c r="H126"/>
  <c r="H125" s="1"/>
  <c r="H167"/>
  <c r="H166" s="1"/>
  <c r="H46"/>
  <c r="H71"/>
  <c r="H20"/>
  <c r="H17" s="1"/>
  <c r="H305"/>
  <c r="H304" s="1"/>
  <c r="H232"/>
  <c r="H278"/>
  <c r="H29" l="1"/>
  <c r="H16" s="1"/>
  <c r="H425"/>
  <c r="H257"/>
  <c r="H256" s="1"/>
  <c r="H99"/>
  <c r="H215"/>
  <c r="H70"/>
  <c r="H69" s="1"/>
  <c r="H343"/>
  <c r="H15" l="1"/>
  <c r="H14" s="1"/>
  <c r="K14" s="1"/>
  <c r="H421" l="1"/>
  <c r="H430" s="1"/>
  <c r="I430"/>
  <c r="H303" i="7"/>
  <c r="H302" s="1"/>
  <c r="I423" i="18" l="1"/>
  <c r="I429"/>
  <c r="I426"/>
  <c r="H429"/>
  <c r="H426"/>
  <c r="H423"/>
  <c r="N565" i="19" l="1"/>
  <c r="N15" s="1"/>
  <c r="L14" i="18" s="1"/>
  <c r="D56" i="17" l="1"/>
  <c r="D55" s="1"/>
  <c r="C26" i="20"/>
  <c r="N625" i="19"/>
  <c r="E56" i="17" s="1"/>
  <c r="E55" s="1"/>
  <c r="D26" i="20"/>
  <c r="E53" i="17" l="1"/>
  <c r="N612" i="19" l="1"/>
  <c r="E27" i="17"/>
  <c r="N623" i="19"/>
  <c r="N585"/>
  <c r="E34" i="17"/>
  <c r="N595" i="19"/>
  <c r="N590" l="1"/>
  <c r="N607"/>
  <c r="N603"/>
  <c r="N617"/>
  <c r="E47" i="17"/>
  <c r="N581" i="19"/>
  <c r="E17" i="17"/>
  <c r="E40" l="1"/>
  <c r="D53"/>
  <c r="E24" l="1"/>
  <c r="D24"/>
  <c r="D34"/>
  <c r="D40"/>
  <c r="D47"/>
  <c r="D17"/>
  <c r="E15" l="1"/>
  <c r="H15" s="1"/>
  <c r="D27"/>
  <c r="D15" l="1"/>
  <c r="G15" s="1"/>
  <c r="D25" i="20"/>
  <c r="D24" s="1"/>
  <c r="D23" s="1"/>
  <c r="C25" l="1"/>
  <c r="C24" s="1"/>
  <c r="C23" s="1"/>
  <c r="D40" i="15" l="1"/>
  <c r="D22" i="20" l="1"/>
  <c r="D21" s="1"/>
  <c r="D20" s="1"/>
  <c r="D19" s="1"/>
  <c r="D18" s="1"/>
  <c r="D13" s="1"/>
  <c r="H549" i="7" l="1"/>
  <c r="H548" l="1"/>
  <c r="H547" s="1"/>
  <c r="H336"/>
  <c r="H335" s="1"/>
  <c r="H17" l="1"/>
  <c r="H319" l="1"/>
  <c r="H398" l="1"/>
  <c r="H263"/>
  <c r="H271"/>
  <c r="H268" s="1"/>
  <c r="H265"/>
  <c r="H470" l="1"/>
  <c r="H468"/>
  <c r="H462"/>
  <c r="H461" s="1"/>
  <c r="H453"/>
  <c r="H449"/>
  <c r="H467" l="1"/>
  <c r="H511"/>
  <c r="H506" s="1"/>
  <c r="H380"/>
  <c r="H379" s="1"/>
  <c r="H432" l="1"/>
  <c r="H431" s="1"/>
  <c r="H430" s="1"/>
  <c r="H429" s="1"/>
  <c r="H424"/>
  <c r="H423" s="1"/>
  <c r="H418"/>
  <c r="H417" s="1"/>
  <c r="H416" s="1"/>
  <c r="H414"/>
  <c r="H408"/>
  <c r="H407" s="1"/>
  <c r="H402"/>
  <c r="H359"/>
  <c r="H356"/>
  <c r="H353"/>
  <c r="H350"/>
  <c r="H349" l="1"/>
  <c r="H422"/>
  <c r="H421" s="1"/>
  <c r="H406"/>
  <c r="H373"/>
  <c r="H376"/>
  <c r="H370"/>
  <c r="H413"/>
  <c r="H412" s="1"/>
  <c r="H315"/>
  <c r="H314" s="1"/>
  <c r="H274"/>
  <c r="H202"/>
  <c r="H199"/>
  <c r="H313" l="1"/>
  <c r="H207"/>
  <c r="H206" s="1"/>
  <c r="H186"/>
  <c r="H242"/>
  <c r="H241" s="1"/>
  <c r="H240" s="1"/>
  <c r="H278"/>
  <c r="H277" s="1"/>
  <c r="H276" s="1"/>
  <c r="H182"/>
  <c r="H369"/>
  <c r="H348" s="1"/>
  <c r="H293"/>
  <c r="H292" s="1"/>
  <c r="H161"/>
  <c r="H159"/>
  <c r="H152"/>
  <c r="H151" s="1"/>
  <c r="H145"/>
  <c r="H144" s="1"/>
  <c r="H81"/>
  <c r="H65"/>
  <c r="H57"/>
  <c r="H46"/>
  <c r="H31"/>
  <c r="H29"/>
  <c r="H259"/>
  <c r="H80" l="1"/>
  <c r="H79" s="1"/>
  <c r="H181"/>
  <c r="H180" s="1"/>
  <c r="H174"/>
  <c r="H155"/>
  <c r="H154" s="1"/>
  <c r="H26"/>
  <c r="H16" s="1"/>
  <c r="H108"/>
  <c r="H143" l="1"/>
  <c r="H173"/>
  <c r="H142" l="1"/>
  <c r="H472"/>
  <c r="H325"/>
  <c r="H329"/>
  <c r="H324" l="1"/>
  <c r="H323" s="1"/>
  <c r="H312" s="1"/>
  <c r="H211"/>
  <c r="H205" s="1"/>
  <c r="H61" l="1"/>
  <c r="H112" l="1"/>
  <c r="H107" s="1"/>
  <c r="H106" l="1"/>
  <c r="D47" i="6"/>
  <c r="H451" i="7"/>
  <c r="H261"/>
  <c r="H258" s="1"/>
  <c r="H257" s="1"/>
  <c r="H441"/>
  <c r="D26" i="6" l="1"/>
  <c r="H505" i="7" l="1"/>
  <c r="H564" s="1"/>
  <c r="D23" i="6"/>
  <c r="H411" i="7"/>
  <c r="H405"/>
  <c r="H401"/>
  <c r="H397" s="1"/>
  <c r="H396" s="1"/>
  <c r="H298"/>
  <c r="H273"/>
  <c r="H233"/>
  <c r="H232" s="1"/>
  <c r="H201"/>
  <c r="H198"/>
  <c r="H297" l="1"/>
  <c r="H291" s="1"/>
  <c r="H347"/>
  <c r="H267"/>
  <c r="H256" s="1"/>
  <c r="H197"/>
  <c r="H196" s="1"/>
  <c r="H290" l="1"/>
  <c r="H231" l="1"/>
  <c r="D39" i="6" l="1"/>
  <c r="C34" i="15" l="1"/>
  <c r="C40" s="1"/>
  <c r="C22" i="20" s="1"/>
  <c r="C21" l="1"/>
  <c r="C20" s="1"/>
  <c r="C19" s="1"/>
  <c r="H438" i="7"/>
  <c r="H437" s="1"/>
  <c r="C18" i="20" l="1"/>
  <c r="C13" s="1"/>
  <c r="N573" i="19" l="1"/>
  <c r="C13" i="2" l="1"/>
  <c r="C40" i="5" l="1"/>
  <c r="C22" i="8" s="1"/>
  <c r="C21" s="1"/>
  <c r="C20" s="1"/>
  <c r="C19" s="1"/>
  <c r="H457" i="7"/>
  <c r="H456" l="1"/>
  <c r="H440" s="1"/>
  <c r="D18" i="6"/>
  <c r="D16" s="1"/>
  <c r="H436" i="7" l="1"/>
  <c r="H435" l="1"/>
  <c r="H53"/>
  <c r="H49" s="1"/>
  <c r="H37" l="1"/>
  <c r="H15" s="1"/>
  <c r="H14" s="1"/>
  <c r="H13" s="1"/>
  <c r="D35" i="6" l="1"/>
  <c r="D33" s="1"/>
  <c r="D14" s="1"/>
  <c r="C25" i="8"/>
  <c r="C24" s="1"/>
  <c r="C23" s="1"/>
  <c r="C18" s="1"/>
  <c r="C13" s="1"/>
  <c r="H560" i="7"/>
  <c r="H566" s="1"/>
  <c r="H565" s="1"/>
  <c r="H562" l="1"/>
  <c r="J13"/>
</calcChain>
</file>

<file path=xl/sharedStrings.xml><?xml version="1.0" encoding="utf-8"?>
<sst xmlns="http://schemas.openxmlformats.org/spreadsheetml/2006/main" count="16196" uniqueCount="1036">
  <si>
    <t>Код бюджетной классификации Российской Федерации</t>
  </si>
  <si>
    <t>Администрация муниципального образования Апшеронский район</t>
  </si>
  <si>
    <t>Невыясненные поступления, зачисляемые в бюджеты муниципальных районов</t>
  </si>
  <si>
    <t>902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</si>
  <si>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</si>
  <si>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</si>
  <si>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01 02 00 00 05 0000 810</t>
  </si>
  <si>
    <t>Погашение  бюджетами муниципальных районов кредитов от кредитных организаций в валюте Российской Федерации</t>
  </si>
  <si>
    <t>01 03 01 00 05 0000 710</t>
  </si>
  <si>
    <t>01 03 01 00 05 0000 810</t>
  </si>
  <si>
    <t>Финансовое управление администрации муниципального образования Апшеронский район</t>
  </si>
  <si>
    <t>Дотации бюджетам муниципальных районов на поддержку мер по обеспечению сбалансированности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</si>
  <si>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</si>
  <si>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</si>
  <si>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</si>
  <si>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</si>
  <si>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</si>
  <si>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имущественных отношений администрации муниципального образования Апшеронский район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</si>
  <si>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</si>
  <si>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</si>
  <si>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</si>
  <si>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</si>
  <si>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</si>
  <si>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Управление образования администрации муниципального образования Апшеронский район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</si>
  <si>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</si>
  <si>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</si>
  <si>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</si>
  <si>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</si>
  <si>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</si>
  <si>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</si>
  <si>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доходы от оказания платных услуг (работ) получателями средств бюджетов муниципальных районов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</si>
  <si>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</si>
  <si>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</si>
  <si>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</si>
  <si>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</si>
  <si>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</si>
  <si>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</si>
  <si>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</si>
  <si>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</si>
  <si>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</si>
  <si>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</si>
  <si>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</si>
  <si>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</si>
  <si>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</si>
  <si>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</si>
  <si>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</si>
  <si>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</si>
  <si>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</si>
  <si>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</si>
  <si>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</si>
  <si>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</si>
  <si>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</si>
  <si>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</si>
  <si>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</si>
  <si>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</si>
  <si>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</si>
  <si>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</si>
  <si>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</si>
  <si>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</si>
  <si>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</si>
  <si>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</si>
  <si>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</si>
  <si>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</si>
  <si>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</si>
  <si>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</si>
  <si>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</si>
  <si>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</si>
  <si>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</si>
  <si>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</si>
  <si>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</si>
  <si>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</si>
  <si>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</si>
  <si>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</si>
  <si>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</si>
  <si>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</si>
  <si>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</si>
  <si>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</si>
  <si>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</si>
  <si>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</si>
  <si>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</si>
  <si>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</si>
  <si>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</si>
  <si>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60910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</si>
  <si>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</si>
  <si>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</si>
  <si>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</si>
  <si>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</si>
  <si>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</si>
  <si>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</si>
  <si>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99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</si>
  <si>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</si>
  <si>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</si>
  <si>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</si>
  <si>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</si>
  <si>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</si>
  <si>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</si>
  <si>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</si>
  <si>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</si>
  <si>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</si>
  <si>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</si>
  <si>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</si>
  <si>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</si>
  <si>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</si>
  <si>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</si>
  <si>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</si>
  <si>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</si>
  <si>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</si>
  <si>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</si>
  <si>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</si>
  <si>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</si>
  <si>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</si>
  <si>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</si>
  <si>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</si>
  <si>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</si>
  <si>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</si>
  <si>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</si>
  <si>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</si>
  <si>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</si>
  <si>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</si>
  <si>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</si>
  <si>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</si>
  <si>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</si>
  <si>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</si>
  <si>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</si>
  <si>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</si>
  <si>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</si>
  <si>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</si>
  <si>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</si>
  <si>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</si>
  <si>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</si>
  <si>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</si>
  <si>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</si>
  <si>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</si>
  <si>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</si>
  <si>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</si>
  <si>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</si>
  <si>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</si>
  <si>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</si>
  <si>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</si>
  <si>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</si>
  <si>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</si>
  <si>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</si>
  <si>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</si>
  <si>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</si>
  <si>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</si>
  <si>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</si>
  <si>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</si>
  <si>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</si>
  <si>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</si>
  <si>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Наименование поселений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</si>
  <si>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</si>
  <si>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</si>
  <si>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</si>
  <si>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</si>
  <si>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</si>
  <si>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</si>
  <si>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</si>
  <si>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</si>
  <si>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</si>
  <si>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</si>
  <si>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</si>
  <si>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</si>
  <si>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</si>
  <si>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</si>
  <si>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</si>
  <si>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</si>
  <si>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</si>
  <si>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</si>
  <si>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</si>
  <si>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</si>
  <si>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</si>
  <si>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1 11 05010 00 0000 120</t>
  </si>
  <si>
    <t>1 11 07015 05 0000 120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</si>
  <si>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</si>
  <si>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</si>
  <si>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</si>
  <si>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</si>
  <si>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</si>
  <si>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</si>
  <si>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</si>
  <si>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</si>
  <si>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</si>
  <si>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</si>
  <si>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</si>
  <si>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</si>
  <si>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</si>
  <si>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</si>
  <si>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</si>
  <si>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</si>
  <si>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</si>
  <si>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</si>
  <si>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</si>
  <si>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</si>
  <si>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</si>
  <si>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</si>
  <si>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</si>
  <si>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</si>
  <si>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</si>
  <si>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</si>
  <si>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</si>
  <si>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</si>
  <si>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</si>
  <si>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</si>
  <si>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</si>
  <si>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</si>
  <si>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</si>
  <si>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</si>
  <si>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</si>
  <si>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</si>
  <si>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</si>
  <si>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</si>
  <si>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</si>
  <si>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</si>
  <si>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</si>
  <si>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</si>
  <si>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</si>
  <si>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</si>
  <si>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</si>
  <si>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</si>
  <si>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</si>
  <si>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</si>
  <si>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</si>
  <si>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</si>
  <si>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</si>
  <si>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</si>
  <si>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</si>
  <si>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</si>
  <si>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</si>
  <si>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</si>
  <si>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</si>
  <si>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</si>
  <si>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</si>
  <si>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</si>
  <si>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</si>
  <si>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</si>
  <si>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</si>
  <si>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</si>
  <si>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</si>
  <si>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</si>
  <si>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</si>
  <si>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</si>
  <si>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</si>
  <si>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</si>
  <si>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</si>
  <si>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</si>
  <si>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</si>
  <si>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</si>
  <si>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</si>
  <si>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</si>
  <si>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</si>
  <si>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</si>
  <si>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</si>
  <si>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</si>
  <si>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</si>
  <si>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</si>
  <si>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</si>
  <si>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</si>
  <si>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</si>
  <si>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</si>
  <si>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</si>
  <si>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</si>
  <si>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</si>
  <si>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</si>
  <si>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</si>
  <si>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</si>
  <si>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</si>
  <si>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</si>
  <si>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</si>
  <si>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</si>
  <si>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</si>
  <si>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</si>
  <si>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</si>
  <si>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</si>
  <si>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</si>
  <si>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</si>
  <si>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</si>
  <si>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</si>
  <si>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</si>
  <si>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</si>
  <si>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 xml:space="preserve"> (тыс.рублей)</t>
  </si>
  <si>
    <t>№                п/п</t>
  </si>
  <si>
    <t>1.</t>
  </si>
  <si>
    <t>Кабардинское сельское поселение</t>
  </si>
  <si>
    <t>Кубанское сельское поселение</t>
  </si>
  <si>
    <t>Куринское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</si>
  <si>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</si>
  <si>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</si>
  <si>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</si>
  <si>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</si>
  <si>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</si>
  <si>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Объем</t>
  </si>
  <si>
    <t>погашение основной суммы долга</t>
  </si>
  <si>
    <t xml:space="preserve">Программа муниципальных гарантий муниципального образования Апшеронский район  </t>
  </si>
  <si>
    <t>Объем гарантий,  тыс.рублей</t>
  </si>
  <si>
    <t>иные условия</t>
  </si>
  <si>
    <t xml:space="preserve"> -</t>
  </si>
  <si>
    <t>Бюджетные ассигнования на исполнение муниципальных гарантий муниципального образования Апшеронский район по возможным гарантийным случаям</t>
  </si>
  <si>
    <t>Наименование межбюджетных трансфертов</t>
  </si>
  <si>
    <t>Дотации на выравнивание бюджетной обеспеченности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</si>
  <si>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</si>
  <si>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</si>
  <si>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</si>
  <si>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муниципальные дошкольные образовательные организации</t>
  </si>
  <si>
    <t>муниципальные общеобразовательные организации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</si>
  <si>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</si>
  <si>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60070</t>
  </si>
  <si>
    <t>Оказание финансовой поддержки социально ориентированным некоммерческим организациям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</si>
  <si>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</si>
  <si>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</si>
  <si>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</si>
  <si>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</si>
  <si>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</si>
  <si>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</si>
  <si>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</si>
  <si>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</si>
  <si>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</si>
  <si>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</si>
  <si>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</si>
  <si>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</si>
  <si>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</si>
  <si>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</si>
  <si>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</si>
  <si>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</si>
  <si>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</si>
  <si>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</si>
  <si>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</si>
  <si>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</si>
  <si>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</si>
  <si>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</si>
  <si>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</si>
  <si>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</si>
  <si>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</si>
  <si>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</si>
  <si>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</si>
  <si>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</si>
  <si>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</si>
  <si>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</si>
  <si>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</si>
  <si>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>953</t>
  </si>
  <si>
    <t>Муниципальная программа муниципального образования Апшеронский район "Социальная поддержка граждан"</t>
  </si>
  <si>
    <t>60840</t>
  </si>
  <si>
    <t>60670</t>
  </si>
  <si>
    <t>60680</t>
  </si>
  <si>
    <t>60720</t>
  </si>
  <si>
    <t>60730</t>
  </si>
  <si>
    <t>Другие вопросы в области социальной политики</t>
  </si>
  <si>
    <t>60880</t>
  </si>
  <si>
    <t>60900</t>
  </si>
  <si>
    <t>62340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</si>
  <si>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</si>
  <si>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</si>
  <si>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</si>
  <si>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</si>
  <si>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</si>
  <si>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</si>
  <si>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</si>
  <si>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</si>
  <si>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Прочие субсидии</t>
  </si>
  <si>
    <t xml:space="preserve">Прочие субсидии бюджетам муниципальных районов, в том числе: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</si>
  <si>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</si>
  <si>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</si>
  <si>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>01 02 00 00 05 0000 710</t>
  </si>
  <si>
    <t>1 11 05075 05 0000 120</t>
  </si>
  <si>
    <t xml:space="preserve">* В том числе по видам и подвидам доходов.  </t>
  </si>
  <si>
    <t xml:space="preserve">Наименование 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</si>
  <si>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</si>
  <si>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</si>
  <si>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</si>
  <si>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</si>
  <si>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Всего</t>
  </si>
  <si>
    <t xml:space="preserve">Апшеронское городское поселение </t>
  </si>
  <si>
    <t xml:space="preserve">Нефтегорское городское поселение </t>
  </si>
  <si>
    <t>Хадыженское городское поселение</t>
  </si>
  <si>
    <t xml:space="preserve">Кабардинское сельское поселение </t>
  </si>
  <si>
    <t xml:space="preserve">Куринское сельское поселение </t>
  </si>
  <si>
    <t>Мезмайское сельское поселение</t>
  </si>
  <si>
    <t xml:space="preserve">                                Приложение № 2 к решению Совета муниципального образования</t>
  </si>
  <si>
    <t>926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</si>
  <si>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</si>
  <si>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</si>
  <si>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</si>
  <si>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</si>
  <si>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</si>
  <si>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</si>
  <si>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</si>
  <si>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</si>
  <si>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</si>
  <si>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</si>
  <si>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</si>
  <si>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</si>
  <si>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</si>
  <si>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</si>
  <si>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</si>
  <si>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</si>
  <si>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</si>
  <si>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</si>
  <si>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</si>
  <si>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</si>
  <si>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</si>
  <si>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</si>
  <si>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</si>
  <si>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</si>
  <si>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</si>
  <si>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</si>
  <si>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</si>
  <si>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</si>
  <si>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</si>
  <si>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</si>
  <si>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                                Приложение № 1 к решению Совета муниципального образования</t>
  </si>
  <si>
    <t xml:space="preserve">                                Приложение № 3 к решению Совета муниципального образования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</si>
  <si>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</si>
  <si>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</si>
  <si>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</si>
  <si>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</si>
  <si>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</si>
  <si>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</si>
  <si>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</si>
  <si>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</si>
  <si>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01 06 05 02 05 0000 540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</si>
  <si>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</si>
  <si>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</si>
  <si>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</si>
  <si>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</si>
  <si>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0703</t>
  </si>
  <si>
    <t>Дополнительное образование детей</t>
  </si>
  <si>
    <t xml:space="preserve">Молодежная политика </t>
  </si>
  <si>
    <t>Приложение № 17 к решению Совета муниципального образования</t>
  </si>
  <si>
    <t>Приложение № 18 к решению Совета муниципального образования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</si>
  <si>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</si>
  <si>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</si>
  <si>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</si>
  <si>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</si>
  <si>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</si>
  <si>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</si>
  <si>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</si>
  <si>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 xml:space="preserve"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 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</si>
  <si>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</si>
  <si>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</si>
  <si>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 xml:space="preserve"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</si>
  <si>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</si>
  <si>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</si>
  <si>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</si>
  <si>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</si>
  <si>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</si>
  <si>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Содействие развитию спортивных организаций</t>
  </si>
  <si>
    <t>Условно утвержденные расходы</t>
  </si>
  <si>
    <t>% УУР</t>
  </si>
  <si>
    <t>УУР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</si>
  <si>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</si>
  <si>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Вид заимствований</t>
  </si>
  <si>
    <t xml:space="preserve">  Направление (цель)       гарантирова-ния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</si>
  <si>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</si>
  <si>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</si>
  <si>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</si>
  <si>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</si>
  <si>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</si>
  <si>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</si>
  <si>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</si>
  <si>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</si>
  <si>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</si>
  <si>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</si>
  <si>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 xml:space="preserve">                                Приложение № 5 к решению Совета муниципального образования</t>
  </si>
  <si>
    <t>20030</t>
  </si>
  <si>
    <t>Осуществление части полномочий по исполнению бюджета поселения</t>
  </si>
  <si>
    <t>Прочие обязательства муниципального образования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</si>
  <si>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</si>
  <si>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</si>
  <si>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</si>
  <si>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</si>
  <si>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</si>
  <si>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 xml:space="preserve">                                Приложение № 6 к решению Совета муниципального образования</t>
  </si>
  <si>
    <t>РУО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</si>
  <si>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</si>
  <si>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</si>
  <si>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</si>
  <si>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</si>
  <si>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</si>
  <si>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</si>
  <si>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</si>
  <si>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09020</t>
  </si>
  <si>
    <t>000 01 03 00 00 00 0000 000</t>
  </si>
  <si>
    <t>000 01 03 01 00 00 0000 000</t>
  </si>
  <si>
    <t>000 01 03 01 00 00 0000 800</t>
  </si>
  <si>
    <t>000 01 03 01 00 05 0000 810</t>
  </si>
  <si>
    <t>1300</t>
  </si>
  <si>
    <t>1301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</si>
  <si>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</si>
  <si>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</si>
  <si>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</si>
  <si>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</si>
  <si>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</si>
  <si>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</si>
  <si>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1 13 00000 00 0000 000</t>
  </si>
  <si>
    <t xml:space="preserve">                                Приложение № 13 к решению Совета муниципального образования</t>
  </si>
  <si>
    <t>О.В.Чуйко</t>
  </si>
  <si>
    <t>0105</t>
  </si>
  <si>
    <t>S0570</t>
  </si>
  <si>
    <t>Реализация мероприятий государственной программы Краснодарского края "Развитие санаторно-курортного и туристского комплекса"</t>
  </si>
  <si>
    <t>Нормативы распределения доходов между районным бюджетом</t>
  </si>
  <si>
    <t>и бюджетами городских и сельских поселений Апшеронского района</t>
  </si>
  <si>
    <t>Районный бюджет</t>
  </si>
  <si>
    <t>Бюджеты городских поселений</t>
  </si>
  <si>
    <t>Бюджеты сельских поселений</t>
  </si>
  <si>
    <t>Доходы от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</si>
  <si>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</si>
  <si>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 xml:space="preserve">Курортный сбор, мобилизуемый на территориях муниципальных районов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</si>
  <si>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</si>
  <si>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</si>
  <si>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</si>
  <si>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муниципальной собственности</t>
  </si>
  <si>
    <t>Доходы от размещения временно свободных средств бюджетов муниципальных районов</t>
  </si>
  <si>
    <t>Доходы от размещения временно свободных средств бюджетов городских поселений</t>
  </si>
  <si>
    <t>Доходы от размещения временно свободных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</si>
  <si>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</si>
  <si>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</si>
  <si>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</si>
  <si>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</si>
  <si>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</si>
  <si>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</si>
  <si>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городских поселений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</si>
  <si>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</si>
  <si>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</si>
  <si>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</si>
  <si>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</si>
  <si>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</si>
  <si>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</si>
  <si>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</si>
  <si>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городских поселений</t>
  </si>
  <si>
    <t>Невыясненные поступления, зачисляемые в бюджеты сельских поселений</t>
  </si>
  <si>
    <t>Прочие неналоговые доходы бюджетов муниципальных районов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</si>
  <si>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</si>
  <si>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</si>
  <si>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</si>
  <si>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</si>
  <si>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Средства самообложения граждан, зачисляемые в бюджеты муниципальных районов</t>
  </si>
  <si>
    <t>Средства самообложения граждан, зачисляемые в бюджеты городских поселений</t>
  </si>
  <si>
    <t>Средства самообложения граждан, зачисляемые в бюджеты сельских поселений</t>
  </si>
  <si>
    <t xml:space="preserve">                                Приложение № 4 к решению Совета муниципального образования</t>
  </si>
  <si>
    <t>60740</t>
  </si>
  <si>
    <t xml:space="preserve">                                Приложение № 8 к решению Совета муниципального образования</t>
  </si>
  <si>
    <t xml:space="preserve">                                Приложение № 10 к решению Совета муниципального образования</t>
  </si>
  <si>
    <t xml:space="preserve">                                Приложение № 9 к решению Совета муниципального образования</t>
  </si>
  <si>
    <t>2 02 29999 05 0000 150</t>
  </si>
  <si>
    <t>2 02 30024 05 0000 150</t>
  </si>
  <si>
    <t>2 02 35120 05 0000 150</t>
  </si>
  <si>
    <t>2 02 15001 05 0000 150</t>
  </si>
  <si>
    <t>2 02 15002 05 0000 150</t>
  </si>
  <si>
    <t>2 02 40014 05 0000 150</t>
  </si>
  <si>
    <t>2 02 35082 05 0000 150</t>
  </si>
  <si>
    <t>2 02 39999 05 0000 150</t>
  </si>
  <si>
    <t>2 02 49999 05 0000 150</t>
  </si>
  <si>
    <t>2 02 30029 05 0000 150</t>
  </si>
  <si>
    <t>2 02 30027 05 0000 150</t>
  </si>
  <si>
    <t>2021 год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</si>
  <si>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</si>
  <si>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</si>
  <si>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</si>
  <si>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</si>
  <si>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</si>
  <si>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</si>
  <si>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2 02 30027 00 0000 150</t>
  </si>
  <si>
    <t>2 02 30029 00 0000 150</t>
  </si>
  <si>
    <t>2 02 35120 00 0000 150</t>
  </si>
  <si>
    <t>2 18 05010 05 0000 150</t>
  </si>
  <si>
    <t>2 19 60010 05 0000 150</t>
  </si>
  <si>
    <t>Доходы от оказания платных услуг и компенсации затрат государства*</t>
  </si>
  <si>
    <t>2 08 05000 05 0000 150</t>
  </si>
  <si>
    <t>(процентов)</t>
  </si>
  <si>
    <t>Доходы от оказания платных услуг и компенсации затрат государства</t>
  </si>
  <si>
    <t xml:space="preserve">                                Приложение № 11 к решению Совета муниципального образования</t>
  </si>
  <si>
    <t xml:space="preserve">                                Приложение № 12 к решению Совета муниципального образования</t>
  </si>
  <si>
    <t xml:space="preserve">                                Приложение № 14 к решению Совета муниципального образования</t>
  </si>
  <si>
    <t xml:space="preserve">                                Приложение № 15 к решению Совета муниципального образования</t>
  </si>
  <si>
    <t xml:space="preserve">                                Приложение № 16 к решению Совета муниципального образования</t>
  </si>
  <si>
    <t>Приложение № 19 к решению Совета муниципального образования</t>
  </si>
  <si>
    <t xml:space="preserve">                                Приложение № 20 к решению Совета муниципального образования</t>
  </si>
  <si>
    <t>Приложение № 21 к решению Совета муниципального образования</t>
  </si>
  <si>
    <t>Приложение № 7 к решению Совета муниципального образования</t>
  </si>
  <si>
    <t>10700</t>
  </si>
  <si>
    <t>2 02 40000 00 0000 150</t>
  </si>
  <si>
    <t>2022 год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</si>
  <si>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</si>
  <si>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</si>
  <si>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S2820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</si>
  <si>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</si>
  <si>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16</t>
  </si>
  <si>
    <t>Создание условий для организации досуга и обеспечения жителей услугами организаций культуры</t>
  </si>
  <si>
    <t>S0560</t>
  </si>
  <si>
    <t>921</t>
  </si>
  <si>
    <t>S0620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</si>
  <si>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</si>
  <si>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С0820</t>
  </si>
  <si>
    <t>R0820</t>
  </si>
  <si>
    <t>S1070</t>
  </si>
  <si>
    <t>2 18 60010 05 0000 150</t>
  </si>
  <si>
    <t>2 02 25169 05 0000 150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</si>
  <si>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</si>
  <si>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</si>
  <si>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</si>
  <si>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</si>
  <si>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</si>
  <si>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субвенции на осуществление отдельных государственных полномочий Краснодарского края по поддержке сельскохозяйственного производства</t>
  </si>
  <si>
    <t xml:space="preserve">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 </t>
  </si>
  <si>
    <t xml:space="preserve"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 </t>
  </si>
  <si>
    <t>муниципальные дошкольные образовательные организации, общеобразовательные организации, организации дополнительного   образования (в области образования)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</si>
  <si>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</si>
  <si>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</si>
  <si>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субсидии на участие в профилактике терроризма в части обеспечения инженерно-технической защищенности муниципальных образовательных организаций
</t>
  </si>
  <si>
    <t>субсидии на участие в осуществлении мероприятий по предупреждению детского дорожно-транспортного травматизма на территории  муниципальных образований Краснодарского края</t>
  </si>
  <si>
    <t>925</t>
  </si>
  <si>
    <t>Нефтегорское городское поселение</t>
  </si>
  <si>
    <t>1 08 07150 01 0000 110</t>
  </si>
  <si>
    <t xml:space="preserve">Государственная пошлина  за выдачу разрешения на установку рекламной конструкции 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</si>
  <si>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</si>
  <si>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</si>
  <si>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1 13 01995 05 0000 130</t>
  </si>
  <si>
    <t>1 13 02995 05 0000 130</t>
  </si>
  <si>
    <t>Прочие доходы от компенсации затрат бюджетов муниципальных районов*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</si>
  <si>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</si>
  <si>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</si>
  <si>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</si>
  <si>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</si>
  <si>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</si>
  <si>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</si>
  <si>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</si>
  <si>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</si>
  <si>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</si>
  <si>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</si>
  <si>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</si>
  <si>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</si>
  <si>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</si>
  <si>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</si>
  <si>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</si>
  <si>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</si>
  <si>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</si>
  <si>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>1 17 01050 05 0000 180</t>
  </si>
  <si>
    <t>1 17 05050 05 0000 180</t>
  </si>
  <si>
    <t>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</si>
  <si>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</si>
  <si>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</si>
  <si>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</si>
  <si>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</si>
  <si>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Прочие безвозмездные поступления в бюджеты муниципальных районов</t>
  </si>
  <si>
    <t>1 16 01154 01 0000 140</t>
  </si>
  <si>
    <t>1 16 01157 01 0000 140</t>
  </si>
  <si>
    <t>1 16 01194 01 0000 140</t>
  </si>
  <si>
    <t>1 16 01054 01 0000 140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</si>
  <si>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</si>
  <si>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</si>
  <si>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</si>
  <si>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1 11 05013 05 0000 120</t>
  </si>
  <si>
    <t>Доходы от перечисления части прибыли, остающейся  после уплаты налогов и иных обязательных платежей муниципальных унитарных предприятий, созданных муниципальными районами</t>
  </si>
  <si>
    <t>1 13 02065 05 0000 130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</si>
  <si>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</si>
  <si>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</si>
  <si>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</si>
  <si>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</si>
  <si>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</si>
  <si>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</si>
  <si>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</si>
  <si>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</si>
  <si>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</si>
  <si>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</si>
  <si>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</si>
  <si>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</si>
  <si>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</si>
  <si>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</si>
  <si>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</si>
  <si>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</si>
  <si>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района*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</si>
  <si>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</si>
  <si>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</si>
  <si>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</si>
  <si>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</si>
  <si>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</si>
  <si>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</si>
  <si>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главного администратора доходов районного бюджета (главного администратора источников финансирования дефицита районного бюджета)</t>
  </si>
  <si>
    <t>доходов районного бюджета (источников финансирования дефицита районного бюджета)</t>
  </si>
  <si>
    <t>1 06 02000 02 0000 110</t>
  </si>
  <si>
    <t>Налог на имущество организаций*</t>
  </si>
  <si>
    <t xml:space="preserve">Программа муниципальных внутренних заимствований муниципального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</si>
  <si>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</si>
  <si>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Осуществление мероприятий по предупреждению детского дорожно-транспортного травматизма</t>
  </si>
  <si>
    <t>S2470</t>
  </si>
  <si>
    <t>Профилактика терроризма</t>
  </si>
  <si>
    <t>S0460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</si>
  <si>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</si>
  <si>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</si>
  <si>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Иные межбюджетные трансферты бюджетам бюджетной системы Российской Федерации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</si>
  <si>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</si>
  <si>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</si>
  <si>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</si>
  <si>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</si>
  <si>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</si>
  <si>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</si>
  <si>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 xml:space="preserve">Департамент потребительской сферы и регулирования рынка алкоголя Краснодарского края </t>
  </si>
  <si>
    <t>Министерство экономики Краснодарского края</t>
  </si>
  <si>
    <t xml:space="preserve">Министерство сельского хозяйства и перерабатывающей промышленности Краснодарского края </t>
  </si>
  <si>
    <t xml:space="preserve">Департамент имущественных отношений Краснодарского края </t>
  </si>
  <si>
    <t>Министерство здравоохранения Краснодарского края</t>
  </si>
  <si>
    <t>Министерство труда и социального развития Краснодарского края</t>
  </si>
  <si>
    <t>Департамент ветеринарии Краснодарского края</t>
  </si>
  <si>
    <t>Департамент по надзору в строительной сфере Краснодарского края</t>
  </si>
  <si>
    <t>Департамент по обеспечению деятельности мировых судей Краснодарского края</t>
  </si>
  <si>
    <t>1 16 01053 01 0000 140</t>
  </si>
  <si>
    <t>1 16 01063 01 0000 140</t>
  </si>
  <si>
    <t>1 16 01073 01 0000 140</t>
  </si>
  <si>
    <t>1 16 01083 01 0000 140</t>
  </si>
  <si>
    <t>1 16 01093 01 0000 140</t>
  </si>
  <si>
    <t>1 16 01103 01 0000 140</t>
  </si>
  <si>
    <t>1 16 01113 01 0000 140</t>
  </si>
  <si>
    <t>1 16 01123 01 0000 140</t>
  </si>
  <si>
    <t>1 16 01133 01 0000 140</t>
  </si>
  <si>
    <t>1 16 01143 01 0000 140</t>
  </si>
  <si>
    <t>1 16 01153 01 0000 140</t>
  </si>
  <si>
    <t>1 16 01163 01 0000 140</t>
  </si>
  <si>
    <t>1 16 01173 01 0000 140</t>
  </si>
  <si>
    <t>1 16 01183 01 0000 140</t>
  </si>
  <si>
    <t>1 16 01193 01 0000 140</t>
  </si>
  <si>
    <t>1 16 01203 01 0000 140</t>
  </si>
  <si>
    <t>Государственная жилищная инспекция Краснодарского края</t>
  </si>
  <si>
    <t>Министерство природных ресурсов Краснодарского края</t>
  </si>
  <si>
    <t>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</si>
  <si>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</si>
  <si>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Муниципальная программа муниципального образования Апшеронский район «Развитие образования»</t>
  </si>
  <si>
    <t>R3</t>
  </si>
  <si>
    <t>Федеральный проект "Безопасность дорожного движения"</t>
  </si>
  <si>
    <t>Наименование принципала</t>
  </si>
  <si>
    <t>наличие права регрессного требования гаранта к принципалу</t>
  </si>
  <si>
    <t>Обеспечение условий для развития физической культуры и массового спорта в части оплаты труда инструкторов по спорту</t>
  </si>
  <si>
    <t xml:space="preserve"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 </t>
  </si>
  <si>
    <t>1 16 01074 01 0000 140</t>
  </si>
  <si>
    <t>Перечень главных администраторов доходов районного бюджета и закрепляемые                                       за ними виды (подвиды) доходов районного бюджета и перечень главных администраторов источников финансирования дефицита районного бюджета</t>
  </si>
  <si>
    <t>63110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</si>
  <si>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</si>
  <si>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</si>
  <si>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</si>
  <si>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</si>
  <si>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</si>
  <si>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</si>
  <si>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</si>
  <si>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</si>
  <si>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1 16 11030 01 0000 140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</si>
  <si>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
</t>
  </si>
  <si>
    <t>1 16 11050 01 0000 140</t>
  </si>
  <si>
    <t xml:space="preserve"> </t>
  </si>
  <si>
    <t xml:space="preserve">Выплата пенсии за выслугу лет лицам, замещавшим муниципальные должности и должности муниципальной службы в органах местного самоуправления 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</si>
  <si>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чрезвычайной ситуации</t>
  </si>
  <si>
    <t>2 02 19999 05 0000 150</t>
  </si>
  <si>
    <t>Резервный фонд администрации муниципального образования</t>
  </si>
  <si>
    <t>Непрограммные расходы органов местного самоуправления</t>
  </si>
  <si>
    <t>Непрограммные расходы</t>
  </si>
  <si>
    <t>Прочие дотации бюджетам муниципальных районов</t>
  </si>
  <si>
    <t>Меры государственной поддержки лиц, замещавших муниципальные должности и должности муниципальной службы муниципального образования Апшеронский район</t>
  </si>
  <si>
    <t>Меры государственной поддержки лиц, замещавших муниципальные должности и  должности муниципальной службы муниципального образования Апшеронский район</t>
  </si>
  <si>
    <t xml:space="preserve">Непрограммные расходы органов 
местного самоуправления
</t>
  </si>
  <si>
    <t>Мероприятия по предупреждению и ликвидации чрезвычайных ситуаций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</si>
  <si>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</si>
  <si>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925, 929</t>
  </si>
  <si>
    <t>2 02 45303 05 0000 150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</si>
  <si>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</si>
  <si>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</si>
  <si>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11110</t>
  </si>
  <si>
    <t>Реализация мероприятий по газификации населенных пунктов поселений муниципального образования Апшеронский район</t>
  </si>
  <si>
    <t>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</si>
  <si>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</si>
  <si>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</si>
  <si>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</si>
  <si>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</si>
  <si>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Обслуживание государственного (муниципального) внутреннего долга</t>
  </si>
  <si>
    <t>Ведомственная структура расходов районного бюджета на 2021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</si>
  <si>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2021 год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</si>
  <si>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и 2023 годы</t>
  </si>
  <si>
    <t>2023 год</t>
  </si>
  <si>
    <t>классификации расходов бюджетов на 2021 год</t>
  </si>
  <si>
    <t>классификации расходов бюджетов на 2022 и 2023 годы</t>
  </si>
  <si>
    <t>Объем поступлений доходов в районный бюджет по кодам видов (подвидов) доходов на 2021 год</t>
  </si>
  <si>
    <t>Объем поступлений доходов в районный бюджет по кодам видов (подвидов) доходов на 2022 и 2023 годы</t>
  </si>
  <si>
    <t>Безвозмездные поступления из краевого бюджета в 2021 году</t>
  </si>
  <si>
    <t>Безвозмездные поступления из краевого бюджета в 2022 и 2023 годах</t>
  </si>
  <si>
    <t>Безвозмездные поступления                                                                                                                     из бюджетов поселений на осуществление части полномочий                                                                                 по решению вопросов местного значения                                                                                                    в соответствии с заключенными соглашениями в 2021 году</t>
  </si>
  <si>
    <t>Ведомственная структура расходов районного бюджета на 2022 и 2023 годы</t>
  </si>
  <si>
    <t>Объем межбюджетных трансфертов, предоставляемых другим бюджетам бюджетной системы Российской Федерации, на 2021 год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</si>
  <si>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2022 и 2023 годы</t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</si>
  <si>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внутренних заимствований муниципального образования Апшеронский  район на 2022 и 2023 годы</t>
    </r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</si>
  <si>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внутренних заимствований муниципального образования Апшеронский район на 2021 год</t>
    </r>
  </si>
  <si>
    <t>Раздел 1. Перечень подлежащих предоставлению муниципальных гарантий муниципального образования Апшеронский район в 2021 году и в плановом периоде 2022 и 2023 годов</t>
  </si>
  <si>
    <t>на 2021 год и на плановый период 2022 и 2023 годов</t>
  </si>
  <si>
    <t>Субвенции на 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</si>
  <si>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</si>
  <si>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</si>
  <si>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</si>
  <si>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</si>
  <si>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</si>
  <si>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газоснабжения населения (поселений) (строительство подводящих газопроводов, 
распределительных газопроводов)</t>
  </si>
  <si>
    <t>Расходы на обеспечение деятельности (оказание услуг) муниципальных учреждений</t>
  </si>
  <si>
    <t>Осуществление капитального ремонта</t>
  </si>
  <si>
    <t>Мероприятия по пожарной безопасности</t>
  </si>
  <si>
    <t>10640</t>
  </si>
  <si>
    <t>Пожарная безопасность в органах местного самоуправления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</si>
  <si>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</si>
  <si>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</si>
  <si>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</si>
  <si>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2 02 20299 05 0000 150</t>
  </si>
  <si>
    <t>Дотации на поддержку мер по обеспечению сбалансированности бюджетов поселений</t>
  </si>
  <si>
    <t>10710</t>
  </si>
  <si>
    <t>2 02 20302 00 0000 150</t>
  </si>
  <si>
    <t>2 02 20302 05 0000 150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</si>
  <si>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</si>
  <si>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</si>
  <si>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Молодежная политика</t>
  </si>
  <si>
    <t>00400</t>
  </si>
  <si>
    <t>Мероприятия по организации отдыха детей в каникулярное время</t>
  </si>
  <si>
    <t>Профилактика терроризма и экстремизма в органах местного самоуправления</t>
  </si>
  <si>
    <t>Мероприятия по профилактике терорризма и экстремизма</t>
  </si>
  <si>
    <t xml:space="preserve"> Построение и развитие АПК "Безопасный город" и системы "112"</t>
  </si>
  <si>
    <t xml:space="preserve">Мероприятия по информатизации администрации муниципального образования, ее отраслевых (функциональных) органов </t>
  </si>
  <si>
    <t xml:space="preserve">Мероприятия по пожарной безопасности </t>
  </si>
  <si>
    <t>F3</t>
  </si>
  <si>
    <t>67483</t>
  </si>
  <si>
    <t>67484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</si>
  <si>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</si>
  <si>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</si>
  <si>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Жилищное хозяйство</t>
  </si>
  <si>
    <t>0501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</si>
  <si>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
</t>
  </si>
  <si>
    <t>Бюджетные кредиты,  привлеченные в бюджет  муниципального образования  Апшеронский район из других  бюджетов бюджетной системы Российской Федерации, всего</t>
  </si>
  <si>
    <t>привлечение (предельный срок погашения - до 10 лет)</t>
  </si>
  <si>
    <t>предоставление обеспечения исполнения обязательств принципала по удовлетворению регрессного требования гаранта к принципалу</t>
  </si>
  <si>
    <t>Условия предоставления и исполнения гарантий</t>
  </si>
  <si>
    <t>в валюте Российской Федерации на 2021 год и плановый период 2022 и 2023 годов</t>
  </si>
  <si>
    <t>Раздел 2. Общий объем бюджетных ассигнований, предусмотренных на исполнение муниципальных гарантий муниципального образования Апшеронский район по возможным гарантийным случаям в 2021 году и в плановом периоде 2022 и 2023 годов</t>
  </si>
  <si>
    <t>Объем, тыс. рублей</t>
  </si>
  <si>
    <t xml:space="preserve">Программа муниципальных внешних заимствований муниципального </t>
  </si>
  <si>
    <t>образования Апшеронский  район на 2021 год и плановый период 2022 и 2023 годов</t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</si>
  <si>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внешних заимствований муниципального образования Апшеронский район на 2021 год</t>
    </r>
  </si>
  <si>
    <t>Бюджетные кредиты,  привлеченные в бюджет  муниципального образования  Апшеронский район от Российской Федерации в иностранной валюте в рамках использования целевых иностранных кредитов</t>
  </si>
  <si>
    <t xml:space="preserve">                                Приложение № 22 к решению Совета муниципального образования</t>
  </si>
  <si>
    <t>в иностранной валюте на 2021 год и плановый период 2022 и 2023 годов</t>
  </si>
  <si>
    <t>Объем гарантий</t>
  </si>
  <si>
    <t>Приложение № 23 к решению Совета муниципального образования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</si>
  <si>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</si>
  <si>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</si>
  <si>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</si>
  <si>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</si>
  <si>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</si>
  <si>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</si>
  <si>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</si>
  <si>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</si>
  <si>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</si>
  <si>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</si>
  <si>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</si>
  <si>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</si>
  <si>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</si>
  <si>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</si>
  <si>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</si>
  <si>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</si>
  <si>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</si>
  <si>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</si>
  <si>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</si>
  <si>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Административные штрафы, 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</si>
  <si>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</si>
  <si>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</si>
  <si>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Привлечение кредитов от кредитных организаций  бюджетами муниципальных районов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</si>
  <si>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</si>
  <si>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</si>
  <si>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</si>
  <si>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</si>
  <si>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</si>
  <si>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</si>
  <si>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</si>
  <si>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</si>
  <si>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2 19 25169 05 0000 150</t>
  </si>
  <si>
    <t>Возврат остатков субсидий на обновление материально-технической базы для формирования у обучающихся современных технологических и гуманитарных навыков из бюджетов муниципальных районов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</si>
  <si>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</si>
  <si>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</si>
  <si>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Переселение граждан из аварийного жилищного фонда</t>
  </si>
  <si>
    <t>8</t>
  </si>
  <si>
    <t>Объем и распределение дотаций на выравнивание бюджетной обеспеченности поселений, входящих в состав муниципального образования Апшеронский район, на 2022 и 2023 годы</t>
  </si>
  <si>
    <t>Объем и распределение дотаций на выравнивание бюджетной обеспеченности поселений, входящих в состав муниципального образования Апшеронский район, на 2021 год</t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</si>
  <si>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внешних заимствований муниципального образования Апшеронский  район на 2022 и 2023 годы</t>
    </r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</si>
  <si>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</si>
  <si>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</si>
  <si>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Наименование кода группы, подгруппы, статьи, элемента, подвида, аналитической группы вида источников финансирования дефицитов бюджетов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</si>
  <si>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</si>
  <si>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</si>
  <si>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</si>
  <si>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</si>
  <si>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</si>
  <si>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</si>
  <si>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</si>
  <si>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</si>
  <si>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</si>
  <si>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2 02 35469 00 0000 150</t>
  </si>
  <si>
    <t>Субвенции бюджетам на проведение Всероссийской переписи населения 2020 года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</si>
  <si>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</si>
  <si>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</si>
  <si>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P5</t>
  </si>
  <si>
    <t>Федеральный проект "Спорт – норма жизни"</t>
  </si>
  <si>
    <t>Оснащение объектов спортивной инфраструктуры спортивно-технологическим оборудованием</t>
  </si>
  <si>
    <t>Формирование официальной статистической информации</t>
  </si>
  <si>
    <t>Проведение Всероссийской переписи населения 2020 года</t>
  </si>
  <si>
    <t>54690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</si>
  <si>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</si>
  <si>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</si>
  <si>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11420</t>
  </si>
  <si>
    <t>Реализация мероприятий в области строительства, архитектуры и градостроительства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</si>
  <si>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</si>
  <si>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</si>
  <si>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1 11 00000 00 0000 000</t>
  </si>
  <si>
    <t>Доходы от использования имущества, находящегося в государственной и муниципальной собственности*, в том числе: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</si>
  <si>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</si>
  <si>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</si>
  <si>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</si>
  <si>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</si>
  <si>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</si>
  <si>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52280</t>
  </si>
  <si>
    <t>Апшеронский район от 25.12.2020 № 22</t>
  </si>
  <si>
    <t>до изменений (скрыть)</t>
  </si>
  <si>
    <t>изменения</t>
  </si>
  <si>
    <t>с учетом изменений</t>
  </si>
  <si>
    <t>Прочие межбюджетные трансферты общего характера</t>
  </si>
  <si>
    <t>98</t>
  </si>
  <si>
    <t>Мероприятия, направленные на предупреждение и ликвидацию чрезвычайных ситуаций и их последствий, а также на иные мероприятия (неотложные расходы), не относящиеся к публичным нормативным обязательствам</t>
  </si>
  <si>
    <t>Устранение гравийно-галечниковых и карчевых наносов в русле реки Туха в станице Нефтяной Нефтегорского городского поселения Апшеронского района</t>
  </si>
  <si>
    <t>Иные межбюджетные трансферты бюджетам поселений за счет средств резервного фонда администрации муниципального образования Апшеронский район</t>
  </si>
  <si>
    <t>Финансовое обеспечение непредвиденных расходов, в том числе связанных с предупреждением и ликвидацией чрезвычайных ситуаций и их последствий, а также иных мероприятий (неотложных расходов)</t>
  </si>
  <si>
    <t>90020</t>
  </si>
  <si>
    <t>1 09 07013 05</t>
  </si>
  <si>
    <t>1 09 07022 05</t>
  </si>
  <si>
    <t>1 09 07033 05</t>
  </si>
  <si>
    <t>1 09 07043 05</t>
  </si>
  <si>
    <t>1 09 07053 05</t>
  </si>
  <si>
    <t>1 11 02033 05</t>
  </si>
  <si>
    <t>1 11 02033 10</t>
  </si>
  <si>
    <t>1 11 02033 13</t>
  </si>
  <si>
    <t>1 13 01995 05</t>
  </si>
  <si>
    <t>1 13 01995 10</t>
  </si>
  <si>
    <t>1 13 01995 13</t>
  </si>
  <si>
    <t>1 13 02065 05</t>
  </si>
  <si>
    <t>1 13 02065 10</t>
  </si>
  <si>
    <t>1 13 02065 13</t>
  </si>
  <si>
    <t>1 13 02995 05</t>
  </si>
  <si>
    <t>1 13 02995 10</t>
  </si>
  <si>
    <t>1 13 02995 13</t>
  </si>
  <si>
    <t>1 15 02050 05</t>
  </si>
  <si>
    <t>1 15 02050 10</t>
  </si>
  <si>
    <t>1 15 02050 13</t>
  </si>
  <si>
    <t>1 16 10061 05</t>
  </si>
  <si>
    <t>1 16 10061 10</t>
  </si>
  <si>
    <t>1 16 10061 13</t>
  </si>
  <si>
    <t>1 16 10062 05</t>
  </si>
  <si>
    <t>1 16 10062 10</t>
  </si>
  <si>
    <t>1 16 10062 13</t>
  </si>
  <si>
    <t>1 16 10100 05</t>
  </si>
  <si>
    <t>1 16 10100 10</t>
  </si>
  <si>
    <t>1 16 10100 13</t>
  </si>
  <si>
    <t>1 17 01050 05</t>
  </si>
  <si>
    <t>1 17 01050 10</t>
  </si>
  <si>
    <t>1 17 01050 13</t>
  </si>
  <si>
    <t>1 17 02020 10</t>
  </si>
  <si>
    <t>1 17 02020 13</t>
  </si>
  <si>
    <t>1 17 05050 05</t>
  </si>
  <si>
    <t>1 17 05050 10</t>
  </si>
  <si>
    <t>1 17 05050 13</t>
  </si>
  <si>
    <t>1 17 14030 05</t>
  </si>
  <si>
    <t>1 17 14030 10</t>
  </si>
  <si>
    <t>1 17 14030 13</t>
  </si>
  <si>
    <t>1 17 15030 05</t>
  </si>
  <si>
    <t>Инициативные платежи, зачисляемые в бюджеты муниципальных районов</t>
  </si>
  <si>
    <t>1 17 15030 10</t>
  </si>
  <si>
    <t>Инициативные платежи, зачисляемые в бюджеты сельских поселений</t>
  </si>
  <si>
    <t>1 17 15030 13</t>
  </si>
  <si>
    <t>Инициативные платежи, зачисляемые в бюджеты городских поселений</t>
  </si>
  <si>
    <t>Благоустройство</t>
  </si>
  <si>
    <t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</t>
  </si>
  <si>
    <t>Обращение с твердыми коммунальными отходами на территории сельских поселений Апшеронского района</t>
  </si>
  <si>
    <t>Обеспечение мероприятий в области обращения с твердыми коммунальными отходами</t>
  </si>
  <si>
    <t>Создание и содержание мест (площадок) накопления твердых коммунальных отходов</t>
  </si>
  <si>
    <t>11200</t>
  </si>
  <si>
    <t>0503</t>
  </si>
  <si>
    <t>Апшеронский район от___________№___</t>
  </si>
  <si>
    <t>Благоустройство территории Куринского сельского поселения Апшеронского района по адресу: станица Куринская. ул. Новицкого, 103</t>
  </si>
  <si>
    <t xml:space="preserve">                                Приложение № 7 к решению Совета муниципального образования</t>
  </si>
  <si>
    <t>Социальное обеспечение населения</t>
  </si>
  <si>
    <t>Финансовое обеспечение непредвиденных расходов, в том числе связанных с предупреждением и ликвидацией чрезвычайных ситуаций и их последствий, а также иных мероприятий 
(неотложных расходов)</t>
  </si>
  <si>
    <t>Мероприятия, направленные на предупреждение и ликвидацию чрезвычайных ситуаций и их последствий, а также на иные мероприятия (неотложные расходы), в части исполнения публичных нормативных обязательств</t>
  </si>
  <si>
    <t>Единовременная материальная помощь гражданам, пострадавшим в результате чрезвычайной ситуации</t>
  </si>
  <si>
    <t>Единовременная финансовая помощь в связи с утратой имущества первой необходимости за частично утраченное имущество</t>
  </si>
  <si>
    <t>2 19 25304 05 0000 150</t>
  </si>
  <si>
    <t>2 19 45303 05 0000 150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</si>
  <si>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</si>
  <si>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</si>
  <si>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Приложение № 4 к решению Совета муниципального образования</t>
  </si>
  <si>
    <t>Проведение государственной экспертизы в части достоверности определения сметной стоимости капитального ремонта объекта капитального строительства «Капитальный ремонт системы отопления здания Сельский дом культуры, пос. Отдаленный, ул. Клубная,13»</t>
  </si>
  <si>
    <t>Проведение государственной экспертизы в части достоверности определения сметной стоимости капитального ремонта объекта капитального строительства «Капитальный ремонт здания Сельский дом культуры, пос. Отдаленный, ул. Клубная, 13»</t>
  </si>
  <si>
    <t>18</t>
  </si>
  <si>
    <t>Средства резервного фонда администрации Краснодарского края</t>
  </si>
  <si>
    <t>S2400</t>
  </si>
  <si>
    <t>субсидии на оказание единовременной материальной помощи и единовременной финансовой помощи в связи с частичной утратой имущества первой необходимости гражданам Российской Федерации, пострадавшим в результате чрезвычайной ситуации на территории Апшеронского района 28 июля 2020 года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</si>
  <si>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</si>
  <si>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60580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</si>
  <si>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</si>
  <si>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Осуществление отдельных государственных полномочий по выплате единовременного пособия детям‑сиротам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</si>
  <si>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Разработка акта регулярного обследования гидротехнического сооружения: берегозащитная дамба левого берега на р. Пшеха, расположенного на территории Черниговского сельского поселения Апшеронского района</t>
  </si>
  <si>
    <t>Разработка расчета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сооружения: берегозащитная дамба левого берега на р. Пшеха, расположенного на территории Черниговского сельского поселения Апшеронского района</t>
  </si>
  <si>
    <t xml:space="preserve">Иные межбюджетные трансферты бюджетам поселений за счет средств резервного фонда администрации муниципального образования Апшеронский район </t>
  </si>
  <si>
    <t>2 02 49999 00 0000 150</t>
  </si>
  <si>
    <t>Прочие межбюджетные трансферты, передаваемые бюджетам</t>
  </si>
  <si>
    <t>Дополнительная помощь местным бюджетам для решения социально значимых вопросов местного значения</t>
  </si>
  <si>
    <t>62980</t>
  </si>
  <si>
    <t>Организация газоснабжения населения (поселений) (строительство подводящих газопроводов, распределительных газопроводов)</t>
  </si>
  <si>
    <t>Организация теплоснабжения населения (строительство (реконструкция, техническое перевооружение) объектов теплоснабжения населения (котельных, тепловых сетей, тепловых пунктов))</t>
  </si>
  <si>
    <t>Источники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2021 год</t>
  </si>
  <si>
    <t>Источники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2022 и 2023 годы</t>
  </si>
  <si>
    <t>S3410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</si>
  <si>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</si>
  <si>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cубсидии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</si>
  <si>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субсидии на защиту населения и территории муниципального образования от чрезвычайных ситуаций природного характера на объектах туристского показа, находящихся в муниципальной собственности</t>
  </si>
  <si>
    <t>Ремонт асфальтобетонного покрытия автомобильной дороги ул. Селезнева от ул. Школьная, 28 до дома № 10 по ул. Красной в поселке городского типа Нефтегорск Нефтегорского городского поселения Апшеронского района</t>
  </si>
  <si>
    <t>Внесение вкладов в имущество ООО "Тепловые сети Апшеронского района"</t>
  </si>
  <si>
    <t>11860</t>
  </si>
  <si>
    <t>Содержание муниципального архива</t>
  </si>
  <si>
    <t>субсидии на создание условий для организации досуга и обеспечения жителей поселения, городского округа услугами организаций культуры,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а также по созданию условий для развития местного традиционного народного художественного творчества, участию в сохранении, возрождении и развитии народных художественных 
промыслов в поселении, городском округе либо по созданию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</si>
  <si>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субсидии на создание условий для организации досуга и обеспечения жителей поселения, городского округа услугами организаций культуры,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а также по созданию условий для развития местного традиционного народного художественного творчества, участию в сохранении, возрождении и развитии народных художественных промыслов в поселении, городском округе либо по созданию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</si>
  <si>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субсидии на строительство, реконструкцию (в том числе рекончтрукцию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</si>
  <si>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S0470</t>
  </si>
  <si>
    <t>Строительство, реконструкция и техническое перевооружение объектов общественной инфраструктуры муниципального значения, приобретение объектов недвижимости, движимого имущества (необходимого для обеспечения функционирования приобретаемого (приобретенного) объекта недвижимости), в том числе в целях реализации мероприятий, направленных на создание новых мест в общеобразовательных организациях</t>
  </si>
  <si>
    <t>Апшеронский район от  17.06.2021 № 44</t>
  </si>
  <si>
    <t>Апшеронский район от 17.06.2021 № 44</t>
  </si>
  <si>
    <t>Апшеронский район от 17.06.2021  № 44</t>
  </si>
  <si>
    <t>Апшеронский район от 17.06.2021  №44</t>
  </si>
  <si>
    <t>Апшеронский район от 17.06.2021    № 44</t>
  </si>
  <si>
    <t>Апшеронский район от  17.06.2021  №  44</t>
  </si>
  <si>
    <t>Апшеронский район от  17.06.2021  № 44</t>
  </si>
  <si>
    <t>Апшеронский район от  17.06.2021  №44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</si>
</sst>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  <numFmt numFmtId="167" formatCode="0.00000"/>
    <numFmt numFmtId="168" formatCode="0.0_ ;[Red]\-0.0\ "/>
    <numFmt numFmtId="169" formatCode="#,##0.00000"/>
    <numFmt numFmtId="170" formatCode="0.000000"/>
    <numFmt numFmtId="171" formatCode="0.00000_ ;[Red]\-0.00000\ "/>
    <numFmt numFmtId="172" formatCode="_-* #,##0.00000_р_._-;\-* #,##0.00000_р_._-;_-* &quot;-&quot;?????_р_._-;_-@_-"/>
    <numFmt numFmtId="173" formatCode="0.000"/>
    <numFmt numFmtId="174" formatCode="#,##0.0_ ;\-#,##0.0\ "/>
    <numFmt numFmtId="175" formatCode="#,##0.0_ ;[Red]\-#,##0.0\ "/>
    <numFmt numFmtId="176" formatCode="_-* #,##0.00000\ _₽_-;\-* #,##0.00000\ _₽_-;_-* &quot;-&quot;??\ _₽_-;_-@_-"/>
    <numFmt numFmtId="177" formatCode="0.0000"/>
  </numFmts>
  <fonts count="52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Arial"/>
      <family val="2"/>
    </font>
    <font>
      <b/>
      <sz val="11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1"/>
      <name val="Calibri"/>
      <family val="2"/>
    </font>
    <font>
      <sz val="14"/>
      <color rgb="FFC00000"/>
      <name val="Times New Roman"/>
      <family val="1"/>
    </font>
    <font>
      <i/>
      <sz val="12"/>
      <name val="Times New Roman"/>
      <family val="1"/>
      <charset val="204"/>
    </font>
    <font>
      <b/>
      <i/>
      <sz val="12"/>
      <name val="Times New Roman"/>
      <family val="1"/>
    </font>
    <font>
      <sz val="14"/>
      <color rgb="FFFF0000"/>
      <name val="Times New Roman"/>
      <family val="1"/>
      <charset val="204"/>
    </font>
    <font>
      <i/>
      <sz val="12"/>
      <color rgb="FF0000FF"/>
      <name val="Times New Roman"/>
      <family val="1"/>
      <charset val="204"/>
    </font>
    <font>
      <sz val="12"/>
      <color rgb="FFC00000"/>
      <name val="Times New Roman"/>
      <family val="1"/>
    </font>
    <font>
      <sz val="14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00FF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8A0000"/>
      <name val="Times New Roman"/>
      <family val="1"/>
    </font>
    <font>
      <sz val="14"/>
      <color rgb="FF8A0000"/>
      <name val="Times New Roman"/>
      <family val="1"/>
    </font>
    <font>
      <sz val="14"/>
      <color rgb="FF8A0000"/>
      <name val="Calibri"/>
      <family val="2"/>
      <scheme val="minor"/>
    </font>
    <font>
      <sz val="14"/>
      <color theme="6" tint="-0.49998474074526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C00000"/>
      <name val="Times New Roman"/>
      <family val="1"/>
    </font>
    <font>
      <sz val="12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41" fontId="21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21" fillId="0" borderId="0"/>
    <xf numFmtId="0" fontId="7" fillId="0" borderId="0"/>
    <xf numFmtId="164" fontId="21" fillId="0" borderId="0" applyFont="0" applyFill="0" applyBorder="0" applyAlignment="0" applyProtection="0"/>
  </cellStyleXfs>
  <cellXfs count="1067">
    <xf numFmtId="0" fontId="0" fillId="0" borderId="0" xfId="0"/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0" xfId="1" applyFont="1" applyFill="1"/>
    <xf numFmtId="0" fontId="1" fillId="0" borderId="0" xfId="1" applyFont="1" applyFill="1" applyBorder="1" applyAlignment="1">
      <alignment wrapText="1"/>
    </xf>
    <xf numFmtId="0" fontId="1" fillId="0" borderId="0" xfId="7" applyFont="1" applyFill="1" applyAlignment="1">
      <alignment horizontal="right"/>
    </xf>
    <xf numFmtId="0" fontId="1" fillId="0" borderId="0" xfId="7" applyFont="1" applyFill="1" applyAlignment="1">
      <alignment wrapText="1"/>
    </xf>
    <xf numFmtId="0" fontId="1" fillId="0" borderId="0" xfId="1" applyFont="1" applyFill="1" applyAlignment="1">
      <alignment horizontal="center" vertical="center"/>
    </xf>
    <xf numFmtId="169" fontId="1" fillId="0" borderId="0" xfId="1" applyNumberFormat="1" applyFont="1" applyFill="1" applyAlignment="1">
      <alignment horizontal="right"/>
    </xf>
    <xf numFmtId="0" fontId="1" fillId="0" borderId="0" xfId="7" applyFont="1" applyFill="1" applyBorder="1"/>
    <xf numFmtId="169" fontId="1" fillId="0" borderId="0" xfId="1" applyNumberFormat="1" applyFont="1" applyFill="1"/>
    <xf numFmtId="0" fontId="1" fillId="0" borderId="0" xfId="7" applyFont="1" applyFill="1"/>
    <xf numFmtId="3" fontId="1" fillId="0" borderId="0" xfId="1" applyNumberFormat="1" applyFont="1" applyFill="1"/>
    <xf numFmtId="1" fontId="1" fillId="0" borderId="0" xfId="7" applyNumberFormat="1" applyFont="1" applyFill="1"/>
    <xf numFmtId="3" fontId="1" fillId="0" borderId="0" xfId="7" applyNumberFormat="1" applyFont="1" applyFill="1" applyBorder="1"/>
    <xf numFmtId="0" fontId="1" fillId="0" borderId="1" xfId="7" applyFont="1" applyFill="1" applyBorder="1" applyAlignment="1">
      <alignment horizontal="center" vertical="top"/>
    </xf>
    <xf numFmtId="0" fontId="1" fillId="0" borderId="1" xfId="7" applyFont="1" applyFill="1" applyBorder="1" applyAlignment="1">
      <alignment horizontal="center"/>
    </xf>
    <xf numFmtId="169" fontId="1" fillId="0" borderId="0" xfId="7" applyNumberFormat="1" applyFont="1" applyFill="1" applyBorder="1"/>
    <xf numFmtId="0" fontId="13" fillId="0" borderId="0" xfId="3" applyFont="1" applyFill="1"/>
    <xf numFmtId="0" fontId="1" fillId="0" borderId="0" xfId="3" applyFont="1" applyFill="1"/>
    <xf numFmtId="167" fontId="13" fillId="0" borderId="0" xfId="3" applyNumberFormat="1" applyFont="1" applyFill="1"/>
    <xf numFmtId="0" fontId="1" fillId="0" borderId="1" xfId="3" applyFont="1" applyFill="1" applyBorder="1" applyAlignment="1">
      <alignment horizontal="center" wrapText="1"/>
    </xf>
    <xf numFmtId="0" fontId="14" fillId="0" borderId="0" xfId="3" applyFont="1" applyFill="1"/>
    <xf numFmtId="167" fontId="1" fillId="0" borderId="0" xfId="7" applyNumberFormat="1" applyFont="1" applyFill="1" applyAlignment="1">
      <alignment horizontal="right"/>
    </xf>
    <xf numFmtId="0" fontId="8" fillId="0" borderId="0" xfId="7" applyFont="1" applyFill="1"/>
    <xf numFmtId="167" fontId="8" fillId="0" borderId="0" xfId="7" applyNumberFormat="1" applyFont="1" applyFill="1"/>
    <xf numFmtId="49" fontId="15" fillId="0" borderId="0" xfId="7" applyNumberFormat="1" applyFont="1" applyFill="1" applyBorder="1" applyAlignment="1">
      <alignment vertical="top" wrapText="1"/>
    </xf>
    <xf numFmtId="49" fontId="8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/>
    <xf numFmtId="0" fontId="16" fillId="0" borderId="0" xfId="3" applyFont="1" applyFill="1"/>
    <xf numFmtId="0" fontId="8" fillId="0" borderId="0" xfId="3" applyFont="1" applyFill="1"/>
    <xf numFmtId="169" fontId="1" fillId="0" borderId="0" xfId="7" applyNumberFormat="1" applyFont="1" applyFill="1" applyBorder="1" applyAlignment="1">
      <alignment horizontal="right"/>
    </xf>
    <xf numFmtId="167" fontId="16" fillId="0" borderId="0" xfId="3" applyNumberFormat="1" applyFont="1" applyFill="1"/>
    <xf numFmtId="170" fontId="2" fillId="0" borderId="0" xfId="3" applyNumberFormat="1" applyFont="1" applyFill="1"/>
    <xf numFmtId="0" fontId="15" fillId="0" borderId="0" xfId="3" applyFont="1" applyFill="1"/>
    <xf numFmtId="172" fontId="15" fillId="0" borderId="0" xfId="3" applyNumberFormat="1" applyFont="1" applyFill="1"/>
    <xf numFmtId="167" fontId="15" fillId="0" borderId="0" xfId="3" applyNumberFormat="1" applyFont="1" applyFill="1" applyAlignment="1">
      <alignment shrinkToFit="1"/>
    </xf>
    <xf numFmtId="1" fontId="1" fillId="0" borderId="0" xfId="7" applyNumberFormat="1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1" fillId="0" borderId="1" xfId="1" applyFont="1" applyFill="1" applyBorder="1" applyAlignment="1">
      <alignment horizontal="center" vertical="top"/>
    </xf>
    <xf numFmtId="166" fontId="1" fillId="0" borderId="0" xfId="0" applyNumberFormat="1" applyFont="1" applyFill="1" applyAlignment="1">
      <alignment horizontal="right"/>
    </xf>
    <xf numFmtId="0" fontId="1" fillId="0" borderId="1" xfId="1" applyFont="1" applyFill="1" applyBorder="1" applyAlignment="1">
      <alignment vertical="top"/>
    </xf>
    <xf numFmtId="167" fontId="3" fillId="0" borderId="1" xfId="3" applyNumberFormat="1" applyFont="1" applyFill="1" applyBorder="1" applyAlignment="1">
      <alignment horizontal="center" vertical="center"/>
    </xf>
    <xf numFmtId="0" fontId="2" fillId="0" borderId="1" xfId="7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0" xfId="0" applyFont="1" applyFill="1"/>
    <xf numFmtId="0" fontId="1" fillId="0" borderId="1" xfId="1" applyFont="1" applyFill="1" applyBorder="1" applyAlignment="1">
      <alignment wrapText="1"/>
    </xf>
    <xf numFmtId="166" fontId="1" fillId="0" borderId="0" xfId="1" applyNumberFormat="1" applyFont="1" applyFill="1"/>
    <xf numFmtId="165" fontId="3" fillId="0" borderId="0" xfId="0" applyNumberFormat="1" applyFont="1" applyFill="1" applyAlignment="1">
      <alignment horizontal="right"/>
    </xf>
    <xf numFmtId="0" fontId="1" fillId="0" borderId="0" xfId="3" applyFont="1" applyFill="1" applyAlignment="1">
      <alignment wrapText="1"/>
    </xf>
    <xf numFmtId="1" fontId="1" fillId="0" borderId="1" xfId="7" applyNumberFormat="1" applyFont="1" applyFill="1" applyBorder="1" applyAlignment="1">
      <alignment horizontal="center" vertical="center" wrapText="1"/>
    </xf>
    <xf numFmtId="173" fontId="8" fillId="0" borderId="0" xfId="7" applyNumberFormat="1" applyFont="1" applyFill="1" applyBorder="1" applyAlignment="1">
      <alignment horizontal="center"/>
    </xf>
    <xf numFmtId="2" fontId="8" fillId="0" borderId="0" xfId="7" applyNumberFormat="1" applyFont="1" applyFill="1" applyBorder="1" applyAlignment="1">
      <alignment horizontal="center"/>
    </xf>
    <xf numFmtId="0" fontId="1" fillId="0" borderId="1" xfId="7" applyFont="1" applyFill="1" applyBorder="1"/>
    <xf numFmtId="165" fontId="1" fillId="0" borderId="1" xfId="7" applyNumberFormat="1" applyFont="1" applyFill="1" applyBorder="1" applyAlignment="1">
      <alignment horizontal="right"/>
    </xf>
    <xf numFmtId="165" fontId="10" fillId="0" borderId="0" xfId="7" applyNumberFormat="1" applyFont="1" applyFill="1" applyBorder="1" applyAlignment="1">
      <alignment horizontal="center"/>
    </xf>
    <xf numFmtId="165" fontId="2" fillId="0" borderId="1" xfId="7" applyNumberFormat="1" applyFont="1" applyFill="1" applyBorder="1" applyAlignment="1">
      <alignment horizontal="right"/>
    </xf>
    <xf numFmtId="2" fontId="10" fillId="0" borderId="0" xfId="7" applyNumberFormat="1" applyFont="1" applyFill="1" applyBorder="1" applyAlignment="1">
      <alignment horizontal="center"/>
    </xf>
    <xf numFmtId="1" fontId="2" fillId="0" borderId="0" xfId="7" applyNumberFormat="1" applyFont="1" applyFill="1"/>
    <xf numFmtId="172" fontId="16" fillId="0" borderId="0" xfId="3" applyNumberFormat="1" applyFont="1" applyFill="1"/>
    <xf numFmtId="10" fontId="1" fillId="0" borderId="0" xfId="3" applyNumberFormat="1" applyFont="1" applyFill="1"/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0" xfId="7" applyFont="1" applyFill="1"/>
    <xf numFmtId="169" fontId="1" fillId="0" borderId="1" xfId="1" applyNumberFormat="1" applyFont="1" applyFill="1" applyBorder="1" applyAlignment="1">
      <alignment horizontal="center" vertical="center" wrapText="1"/>
    </xf>
    <xf numFmtId="0" fontId="1" fillId="0" borderId="1" xfId="7" applyFont="1" applyFill="1" applyBorder="1" applyAlignment="1">
      <alignment vertical="top" wrapText="1"/>
    </xf>
    <xf numFmtId="174" fontId="4" fillId="0" borderId="11" xfId="1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9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166" fontId="1" fillId="0" borderId="1" xfId="1" applyNumberFormat="1" applyFont="1" applyFill="1" applyBorder="1" applyAlignment="1"/>
    <xf numFmtId="166" fontId="2" fillId="0" borderId="1" xfId="1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23" fillId="0" borderId="0" xfId="0" applyFont="1" applyFill="1"/>
    <xf numFmtId="165" fontId="1" fillId="0" borderId="0" xfId="1" applyNumberFormat="1" applyFont="1" applyFill="1"/>
    <xf numFmtId="0" fontId="4" fillId="0" borderId="5" xfId="3" applyFont="1" applyFill="1" applyBorder="1" applyAlignment="1">
      <alignment horizontal="center" vertical="top"/>
    </xf>
    <xf numFmtId="0" fontId="4" fillId="0" borderId="12" xfId="3" applyFont="1" applyFill="1" applyBorder="1" applyAlignment="1">
      <alignment horizontal="center" vertical="top"/>
    </xf>
    <xf numFmtId="0" fontId="3" fillId="0" borderId="12" xfId="3" applyFont="1" applyFill="1" applyBorder="1" applyAlignment="1">
      <alignment horizontal="center" vertical="top"/>
    </xf>
    <xf numFmtId="1" fontId="3" fillId="0" borderId="0" xfId="7" applyNumberFormat="1" applyFont="1" applyFill="1" applyBorder="1" applyAlignment="1">
      <alignment horizontal="center"/>
    </xf>
    <xf numFmtId="169" fontId="1" fillId="0" borderId="0" xfId="1" applyNumberFormat="1" applyFont="1" applyFill="1" applyBorder="1" applyAlignment="1">
      <alignment horizontal="center"/>
    </xf>
    <xf numFmtId="167" fontId="3" fillId="0" borderId="0" xfId="3" applyNumberFormat="1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1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174" fontId="4" fillId="0" borderId="12" xfId="13" applyNumberFormat="1" applyFont="1" applyFill="1" applyBorder="1" applyAlignment="1">
      <alignment horizontal="right" vertical="center"/>
    </xf>
    <xf numFmtId="167" fontId="16" fillId="0" borderId="0" xfId="3" applyNumberFormat="1" applyFont="1" applyFill="1" applyBorder="1"/>
    <xf numFmtId="0" fontId="4" fillId="0" borderId="8" xfId="3" applyFont="1" applyFill="1" applyBorder="1" applyAlignment="1">
      <alignment vertical="top" wrapText="1"/>
    </xf>
    <xf numFmtId="0" fontId="4" fillId="0" borderId="11" xfId="3" applyFont="1" applyFill="1" applyBorder="1" applyAlignment="1">
      <alignment wrapText="1"/>
    </xf>
    <xf numFmtId="0" fontId="1" fillId="0" borderId="0" xfId="7" applyFont="1" applyFill="1" applyBorder="1" applyAlignment="1">
      <alignment horizontal="left"/>
    </xf>
    <xf numFmtId="0" fontId="1" fillId="0" borderId="0" xfId="7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/>
    </xf>
    <xf numFmtId="0" fontId="1" fillId="0" borderId="1" xfId="7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justify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center"/>
    </xf>
    <xf numFmtId="0" fontId="7" fillId="0" borderId="0" xfId="7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/>
    <xf numFmtId="2" fontId="1" fillId="0" borderId="0" xfId="3" applyNumberFormat="1" applyFont="1" applyFill="1" applyAlignment="1">
      <alignment horizontal="center"/>
    </xf>
    <xf numFmtId="174" fontId="3" fillId="0" borderId="11" xfId="0" applyNumberFormat="1" applyFont="1" applyFill="1" applyBorder="1"/>
    <xf numFmtId="174" fontId="3" fillId="0" borderId="0" xfId="0" applyNumberFormat="1" applyFont="1" applyFill="1" applyBorder="1"/>
    <xf numFmtId="167" fontId="25" fillId="0" borderId="0" xfId="3" applyNumberFormat="1" applyFont="1" applyFill="1"/>
    <xf numFmtId="0" fontId="1" fillId="0" borderId="0" xfId="3" applyFont="1"/>
    <xf numFmtId="0" fontId="8" fillId="0" borderId="0" xfId="3" applyFont="1"/>
    <xf numFmtId="0" fontId="8" fillId="0" borderId="0" xfId="3" applyFont="1" applyAlignment="1">
      <alignment wrapText="1"/>
    </xf>
    <xf numFmtId="167" fontId="8" fillId="0" borderId="0" xfId="3" applyNumberFormat="1" applyFont="1" applyAlignment="1">
      <alignment horizontal="right"/>
    </xf>
    <xf numFmtId="0" fontId="1" fillId="0" borderId="6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justify" vertical="top" wrapText="1"/>
    </xf>
    <xf numFmtId="0" fontId="1" fillId="0" borderId="8" xfId="3" applyFont="1" applyBorder="1" applyAlignment="1">
      <alignment horizontal="justify" vertical="top" wrapText="1"/>
    </xf>
    <xf numFmtId="0" fontId="1" fillId="0" borderId="0" xfId="3" applyFont="1" applyBorder="1"/>
    <xf numFmtId="0" fontId="1" fillId="0" borderId="15" xfId="3" applyFont="1" applyBorder="1" applyAlignment="1">
      <alignment horizontal="left" wrapText="1"/>
    </xf>
    <xf numFmtId="0" fontId="1" fillId="0" borderId="11" xfId="3" applyFont="1" applyBorder="1" applyAlignment="1">
      <alignment horizontal="left" wrapText="1"/>
    </xf>
    <xf numFmtId="0" fontId="1" fillId="0" borderId="0" xfId="3" applyFont="1" applyBorder="1" applyAlignment="1">
      <alignment horizontal="center" wrapText="1"/>
    </xf>
    <xf numFmtId="0" fontId="1" fillId="0" borderId="14" xfId="3" applyFont="1" applyBorder="1" applyAlignment="1">
      <alignment horizontal="left" wrapText="1"/>
    </xf>
    <xf numFmtId="0" fontId="1" fillId="0" borderId="10" xfId="3" applyFont="1" applyBorder="1" applyAlignment="1">
      <alignment horizontal="left" wrapText="1"/>
    </xf>
    <xf numFmtId="0" fontId="1" fillId="0" borderId="0" xfId="3" applyFont="1" applyAlignment="1">
      <alignment horizontal="center"/>
    </xf>
    <xf numFmtId="0" fontId="1" fillId="0" borderId="5" xfId="3" applyFont="1" applyBorder="1" applyAlignment="1">
      <alignment horizontal="justify" vertical="top" wrapText="1"/>
    </xf>
    <xf numFmtId="0" fontId="1" fillId="0" borderId="12" xfId="3" applyFont="1" applyBorder="1" applyAlignment="1">
      <alignment horizontal="left" wrapText="1"/>
    </xf>
    <xf numFmtId="0" fontId="1" fillId="0" borderId="13" xfId="3" applyFont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1" xfId="3" applyFont="1" applyFill="1" applyBorder="1" applyAlignment="1">
      <alignment vertical="top" wrapText="1"/>
    </xf>
    <xf numFmtId="0" fontId="3" fillId="0" borderId="11" xfId="3" applyFont="1" applyFill="1" applyBorder="1" applyAlignment="1">
      <alignment vertical="top" wrapText="1"/>
    </xf>
    <xf numFmtId="174" fontId="3" fillId="0" borderId="11" xfId="13" applyNumberFormat="1" applyFont="1" applyFill="1" applyBorder="1" applyAlignment="1">
      <alignment horizontal="right" vertical="center"/>
    </xf>
    <xf numFmtId="166" fontId="1" fillId="0" borderId="5" xfId="3" applyNumberFormat="1" applyFont="1" applyFill="1" applyBorder="1" applyAlignment="1">
      <alignment horizontal="center"/>
    </xf>
    <xf numFmtId="166" fontId="1" fillId="0" borderId="12" xfId="3" applyNumberFormat="1" applyFont="1" applyFill="1" applyBorder="1" applyAlignment="1">
      <alignment horizontal="center"/>
    </xf>
    <xf numFmtId="166" fontId="1" fillId="0" borderId="13" xfId="3" applyNumberFormat="1" applyFont="1" applyFill="1" applyBorder="1" applyAlignment="1">
      <alignment horizontal="center"/>
    </xf>
    <xf numFmtId="0" fontId="19" fillId="2" borderId="0" xfId="0" applyFont="1" applyFill="1"/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/>
    </xf>
    <xf numFmtId="167" fontId="19" fillId="2" borderId="0" xfId="0" applyNumberFormat="1" applyFont="1" applyFill="1" applyBorder="1" applyAlignment="1"/>
    <xf numFmtId="167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49" fontId="1" fillId="2" borderId="1" xfId="6" applyNumberFormat="1" applyFont="1" applyFill="1" applyBorder="1" applyAlignment="1">
      <alignment horizontal="center" vertical="top" wrapText="1"/>
    </xf>
    <xf numFmtId="49" fontId="1" fillId="2" borderId="1" xfId="6" applyNumberFormat="1" applyFont="1" applyFill="1" applyBorder="1" applyAlignment="1">
      <alignment horizontal="center" vertical="top"/>
    </xf>
    <xf numFmtId="49" fontId="1" fillId="2" borderId="2" xfId="6" applyNumberFormat="1" applyFont="1" applyFill="1" applyBorder="1" applyAlignment="1">
      <alignment horizontal="center" vertical="top"/>
    </xf>
    <xf numFmtId="49" fontId="1" fillId="2" borderId="9" xfId="6" applyNumberFormat="1" applyFont="1" applyFill="1" applyBorder="1" applyAlignment="1">
      <alignment horizontal="center" vertical="top"/>
    </xf>
    <xf numFmtId="49" fontId="1" fillId="2" borderId="3" xfId="6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right"/>
    </xf>
    <xf numFmtId="49" fontId="1" fillId="2" borderId="3" xfId="4" applyNumberFormat="1" applyFont="1" applyFill="1" applyBorder="1" applyAlignment="1" applyProtection="1">
      <alignment horizontal="left" wrapText="1"/>
      <protection hidden="1"/>
    </xf>
    <xf numFmtId="49" fontId="1" fillId="2" borderId="3" xfId="5" applyNumberFormat="1" applyFont="1" applyFill="1" applyBorder="1" applyAlignment="1">
      <alignment horizontal="left" wrapText="1"/>
    </xf>
    <xf numFmtId="49" fontId="1" fillId="2" borderId="3" xfId="6" applyNumberFormat="1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3" xfId="5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5" applyNumberFormat="1" applyFont="1" applyFill="1" applyBorder="1" applyAlignment="1">
      <alignment horizontal="center"/>
    </xf>
    <xf numFmtId="49" fontId="1" fillId="2" borderId="9" xfId="5" applyNumberFormat="1" applyFont="1" applyFill="1" applyBorder="1" applyAlignment="1">
      <alignment horizontal="center"/>
    </xf>
    <xf numFmtId="49" fontId="1" fillId="2" borderId="3" xfId="5" applyNumberFormat="1" applyFont="1" applyFill="1" applyBorder="1" applyAlignment="1">
      <alignment horizontal="center"/>
    </xf>
    <xf numFmtId="49" fontId="1" fillId="2" borderId="6" xfId="6" applyNumberFormat="1" applyFont="1" applyFill="1" applyBorder="1" applyAlignment="1">
      <alignment horizontal="center"/>
    </xf>
    <xf numFmtId="49" fontId="1" fillId="2" borderId="7" xfId="5" applyNumberFormat="1" applyFont="1" applyFill="1" applyBorder="1" applyAlignment="1">
      <alignment horizontal="center"/>
    </xf>
    <xf numFmtId="49" fontId="1" fillId="2" borderId="8" xfId="5" applyNumberFormat="1" applyFont="1" applyFill="1" applyBorder="1" applyAlignment="1">
      <alignment horizontal="center"/>
    </xf>
    <xf numFmtId="49" fontId="1" fillId="2" borderId="2" xfId="6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5" fontId="19" fillId="2" borderId="0" xfId="0" applyNumberFormat="1" applyFont="1" applyFill="1"/>
    <xf numFmtId="165" fontId="3" fillId="2" borderId="0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 vertical="top" wrapText="1"/>
    </xf>
    <xf numFmtId="49" fontId="1" fillId="0" borderId="0" xfId="3" applyNumberFormat="1" applyFont="1" applyFill="1" applyBorder="1" applyAlignment="1">
      <alignment horizontal="center" vertical="top"/>
    </xf>
    <xf numFmtId="0" fontId="1" fillId="0" borderId="0" xfId="3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/>
    </xf>
    <xf numFmtId="0" fontId="1" fillId="0" borderId="0" xfId="3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23" fillId="2" borderId="0" xfId="0" applyFont="1" applyFill="1"/>
    <xf numFmtId="165" fontId="3" fillId="0" borderId="0" xfId="0" applyNumberFormat="1" applyFont="1" applyFill="1" applyBorder="1"/>
    <xf numFmtId="11" fontId="1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7" applyFont="1" applyFill="1" applyBorder="1" applyAlignment="1">
      <alignment horizontal="left"/>
    </xf>
    <xf numFmtId="49" fontId="10" fillId="2" borderId="0" xfId="7" applyNumberFormat="1" applyFont="1" applyFill="1" applyBorder="1" applyAlignment="1">
      <alignment vertical="top" wrapText="1"/>
    </xf>
    <xf numFmtId="49" fontId="11" fillId="2" borderId="0" xfId="7" applyNumberFormat="1" applyFont="1" applyFill="1" applyBorder="1" applyAlignment="1">
      <alignment horizontal="center"/>
    </xf>
    <xf numFmtId="165" fontId="4" fillId="2" borderId="0" xfId="7" applyNumberFormat="1" applyFont="1" applyFill="1" applyBorder="1" applyAlignment="1"/>
    <xf numFmtId="167" fontId="11" fillId="2" borderId="0" xfId="7" applyNumberFormat="1" applyFont="1" applyFill="1"/>
    <xf numFmtId="0" fontId="11" fillId="2" borderId="0" xfId="7" applyFont="1" applyFill="1"/>
    <xf numFmtId="0" fontId="3" fillId="2" borderId="0" xfId="7" applyFont="1" applyFill="1" applyAlignment="1">
      <alignment horizontal="left"/>
    </xf>
    <xf numFmtId="167" fontId="3" fillId="2" borderId="0" xfId="7" applyNumberFormat="1" applyFont="1" applyFill="1" applyAlignment="1">
      <alignment horizontal="right"/>
    </xf>
    <xf numFmtId="0" fontId="6" fillId="2" borderId="0" xfId="0" applyFont="1" applyFill="1"/>
    <xf numFmtId="165" fontId="4" fillId="2" borderId="0" xfId="0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2" borderId="1" xfId="7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center" vertical="top"/>
    </xf>
    <xf numFmtId="0" fontId="3" fillId="2" borderId="0" xfId="1" applyFont="1" applyFill="1"/>
    <xf numFmtId="49" fontId="3" fillId="2" borderId="0" xfId="5" applyNumberFormat="1" applyFont="1" applyFill="1" applyBorder="1" applyAlignment="1">
      <alignment horizontal="center" vertical="top" wrapText="1"/>
    </xf>
    <xf numFmtId="0" fontId="3" fillId="2" borderId="0" xfId="5" applyNumberFormat="1" applyFont="1" applyFill="1" applyBorder="1" applyAlignment="1">
      <alignment horizontal="left" wrapText="1"/>
    </xf>
    <xf numFmtId="165" fontId="3" fillId="2" borderId="0" xfId="5" applyNumberFormat="1" applyFont="1" applyFill="1" applyBorder="1" applyAlignment="1">
      <alignment horizontal="right" wrapText="1"/>
    </xf>
    <xf numFmtId="49" fontId="32" fillId="2" borderId="0" xfId="7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left" vertical="top"/>
    </xf>
    <xf numFmtId="0" fontId="3" fillId="2" borderId="0" xfId="7" applyFont="1" applyFill="1" applyAlignment="1">
      <alignment horizontal="left" vertical="top"/>
    </xf>
    <xf numFmtId="165" fontId="3" fillId="2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vertical="top"/>
    </xf>
    <xf numFmtId="165" fontId="6" fillId="2" borderId="1" xfId="0" applyNumberFormat="1" applyFont="1" applyFill="1" applyBorder="1" applyAlignment="1">
      <alignment horizontal="right" vertical="top"/>
    </xf>
    <xf numFmtId="165" fontId="6" fillId="2" borderId="1" xfId="1" applyNumberFormat="1" applyFont="1" applyFill="1" applyBorder="1" applyAlignment="1">
      <alignment vertical="top"/>
    </xf>
    <xf numFmtId="165" fontId="3" fillId="2" borderId="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center" vertical="top"/>
    </xf>
    <xf numFmtId="0" fontId="29" fillId="2" borderId="0" xfId="0" applyFont="1" applyFill="1" applyAlignment="1">
      <alignment horizontal="center" vertical="top"/>
    </xf>
    <xf numFmtId="0" fontId="31" fillId="0" borderId="0" xfId="1" applyFont="1" applyFill="1"/>
    <xf numFmtId="0" fontId="3" fillId="2" borderId="1" xfId="0" applyFont="1" applyFill="1" applyBorder="1" applyAlignment="1">
      <alignment horizontal="justify" vertical="top"/>
    </xf>
    <xf numFmtId="0" fontId="23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1" xfId="5" applyFont="1" applyFill="1" applyBorder="1" applyAlignment="1">
      <alignment horizontal="justify" vertical="top" wrapText="1"/>
    </xf>
    <xf numFmtId="0" fontId="23" fillId="2" borderId="0" xfId="5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166" fontId="4" fillId="2" borderId="1" xfId="0" applyNumberFormat="1" applyFont="1" applyFill="1" applyBorder="1"/>
    <xf numFmtId="166" fontId="3" fillId="2" borderId="1" xfId="0" applyNumberFormat="1" applyFont="1" applyFill="1" applyBorder="1"/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3" fillId="2" borderId="0" xfId="0" applyNumberFormat="1" applyFont="1" applyFill="1" applyAlignment="1">
      <alignment horizontal="left" vertical="top" wrapText="1"/>
    </xf>
    <xf numFmtId="165" fontId="1" fillId="2" borderId="1" xfId="0" applyNumberFormat="1" applyFont="1" applyFill="1" applyBorder="1" applyAlignment="1">
      <alignment wrapText="1"/>
    </xf>
    <xf numFmtId="165" fontId="1" fillId="0" borderId="13" xfId="3" applyNumberFormat="1" applyFont="1" applyBorder="1" applyAlignment="1">
      <alignment horizontal="center"/>
    </xf>
    <xf numFmtId="166" fontId="1" fillId="0" borderId="5" xfId="3" applyNumberFormat="1" applyFont="1" applyBorder="1" applyAlignment="1">
      <alignment horizontal="center"/>
    </xf>
    <xf numFmtId="166" fontId="1" fillId="0" borderId="12" xfId="3" applyNumberFormat="1" applyFont="1" applyBorder="1" applyAlignment="1">
      <alignment horizontal="center"/>
    </xf>
    <xf numFmtId="166" fontId="1" fillId="0" borderId="13" xfId="3" applyNumberFormat="1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5" fontId="23" fillId="2" borderId="0" xfId="0" applyNumberFormat="1" applyFont="1" applyFill="1" applyBorder="1"/>
    <xf numFmtId="0" fontId="19" fillId="2" borderId="0" xfId="0" applyFont="1" applyFill="1" applyBorder="1"/>
    <xf numFmtId="165" fontId="3" fillId="2" borderId="0" xfId="0" applyNumberFormat="1" applyFont="1" applyFill="1" applyBorder="1"/>
    <xf numFmtId="165" fontId="19" fillId="2" borderId="0" xfId="0" applyNumberFormat="1" applyFont="1" applyFill="1" applyBorder="1"/>
    <xf numFmtId="0" fontId="8" fillId="2" borderId="0" xfId="7" applyFont="1" applyFill="1" applyAlignment="1">
      <alignment horizontal="center"/>
    </xf>
    <xf numFmtId="49" fontId="8" fillId="2" borderId="0" xfId="7" applyNumberFormat="1" applyFont="1" applyFill="1" applyAlignment="1">
      <alignment vertical="top" wrapText="1"/>
    </xf>
    <xf numFmtId="49" fontId="8" fillId="2" borderId="0" xfId="7" applyNumberFormat="1" applyFont="1" applyFill="1" applyAlignment="1">
      <alignment horizontal="center"/>
    </xf>
    <xf numFmtId="165" fontId="8" fillId="2" borderId="0" xfId="7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8" fillId="2" borderId="0" xfId="7" applyFont="1" applyFill="1"/>
    <xf numFmtId="165" fontId="8" fillId="2" borderId="0" xfId="7" applyNumberFormat="1" applyFont="1" applyFill="1"/>
    <xf numFmtId="0" fontId="8" fillId="2" borderId="0" xfId="7" applyFont="1" applyFill="1" applyBorder="1" applyAlignment="1">
      <alignment horizontal="center" vertical="top"/>
    </xf>
    <xf numFmtId="49" fontId="15" fillId="2" borderId="0" xfId="7" applyNumberFormat="1" applyFont="1" applyFill="1" applyBorder="1" applyAlignment="1">
      <alignment vertical="top" wrapText="1"/>
    </xf>
    <xf numFmtId="49" fontId="8" fillId="2" borderId="0" xfId="7" applyNumberFormat="1" applyFont="1" applyFill="1" applyBorder="1" applyAlignment="1">
      <alignment horizontal="center"/>
    </xf>
    <xf numFmtId="165" fontId="1" fillId="2" borderId="4" xfId="7" applyNumberFormat="1" applyFont="1" applyFill="1" applyBorder="1" applyAlignment="1">
      <alignment horizontal="right"/>
    </xf>
    <xf numFmtId="165" fontId="1" fillId="2" borderId="1" xfId="7" applyNumberFormat="1" applyFont="1" applyFill="1" applyBorder="1" applyAlignment="1">
      <alignment horizontal="center" vertical="center"/>
    </xf>
    <xf numFmtId="0" fontId="1" fillId="2" borderId="1" xfId="7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top" wrapText="1"/>
    </xf>
    <xf numFmtId="49" fontId="1" fillId="2" borderId="1" xfId="7" applyNumberFormat="1" applyFont="1" applyFill="1" applyBorder="1" applyAlignment="1">
      <alignment horizontal="center"/>
    </xf>
    <xf numFmtId="1" fontId="1" fillId="2" borderId="1" xfId="7" applyNumberFormat="1" applyFont="1" applyFill="1" applyBorder="1" applyAlignment="1">
      <alignment horizontal="center"/>
    </xf>
    <xf numFmtId="0" fontId="1" fillId="2" borderId="1" xfId="7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left" vertical="top" wrapText="1"/>
    </xf>
    <xf numFmtId="49" fontId="1" fillId="2" borderId="9" xfId="7" applyNumberFormat="1" applyFont="1" applyFill="1" applyBorder="1" applyAlignment="1">
      <alignment horizontal="center" vertical="top"/>
    </xf>
    <xf numFmtId="49" fontId="1" fillId="2" borderId="1" xfId="7" applyNumberFormat="1" applyFont="1" applyFill="1" applyBorder="1" applyAlignment="1">
      <alignment horizontal="center" vertical="top"/>
    </xf>
    <xf numFmtId="165" fontId="2" fillId="2" borderId="1" xfId="7" applyNumberFormat="1" applyFont="1" applyFill="1" applyBorder="1" applyAlignment="1">
      <alignment horizontal="right" vertical="top"/>
    </xf>
    <xf numFmtId="175" fontId="33" fillId="2" borderId="0" xfId="7" applyNumberFormat="1" applyFont="1" applyFill="1"/>
    <xf numFmtId="0" fontId="2" fillId="2" borderId="1" xfId="5" applyFont="1" applyFill="1" applyBorder="1" applyAlignment="1">
      <alignment horizontal="center" vertical="top"/>
    </xf>
    <xf numFmtId="49" fontId="2" fillId="2" borderId="1" xfId="7" applyNumberFormat="1" applyFont="1" applyFill="1" applyBorder="1" applyAlignment="1">
      <alignment horizontal="left" wrapText="1"/>
    </xf>
    <xf numFmtId="49" fontId="2" fillId="2" borderId="4" xfId="7" applyNumberFormat="1" applyFont="1" applyFill="1" applyBorder="1" applyAlignment="1">
      <alignment horizontal="center"/>
    </xf>
    <xf numFmtId="49" fontId="2" fillId="2" borderId="10" xfId="7" applyNumberFormat="1" applyFont="1" applyFill="1" applyBorder="1" applyAlignment="1">
      <alignment horizontal="center"/>
    </xf>
    <xf numFmtId="49" fontId="2" fillId="2" borderId="1" xfId="7" applyNumberFormat="1" applyFont="1" applyFill="1" applyBorder="1" applyAlignment="1">
      <alignment horizontal="center"/>
    </xf>
    <xf numFmtId="165" fontId="2" fillId="2" borderId="1" xfId="7" applyNumberFormat="1" applyFont="1" applyFill="1" applyBorder="1" applyAlignment="1">
      <alignment horizontal="right"/>
    </xf>
    <xf numFmtId="0" fontId="15" fillId="2" borderId="0" xfId="7" applyFont="1" applyFill="1"/>
    <xf numFmtId="49" fontId="1" fillId="2" borderId="1" xfId="0" applyNumberFormat="1" applyFont="1" applyFill="1" applyBorder="1" applyAlignment="1">
      <alignment wrapText="1"/>
    </xf>
    <xf numFmtId="165" fontId="1" fillId="2" borderId="1" xfId="7" applyNumberFormat="1" applyFont="1" applyFill="1" applyBorder="1" applyAlignment="1">
      <alignment horizontal="right"/>
    </xf>
    <xf numFmtId="49" fontId="1" fillId="2" borderId="1" xfId="5" applyNumberFormat="1" applyFont="1" applyFill="1" applyBorder="1" applyAlignment="1">
      <alignment horizontal="left" wrapText="1"/>
    </xf>
    <xf numFmtId="49" fontId="1" fillId="2" borderId="19" xfId="11" applyNumberFormat="1" applyFont="1" applyFill="1" applyBorder="1" applyAlignment="1">
      <alignment wrapText="1"/>
    </xf>
    <xf numFmtId="49" fontId="1" fillId="2" borderId="17" xfId="11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wrapText="1"/>
    </xf>
    <xf numFmtId="0" fontId="2" fillId="2" borderId="1" xfId="7" applyFont="1" applyFill="1" applyBorder="1" applyAlignment="1">
      <alignment horizontal="center" vertical="top"/>
    </xf>
    <xf numFmtId="49" fontId="2" fillId="2" borderId="9" xfId="7" applyNumberFormat="1" applyFont="1" applyFill="1" applyBorder="1" applyAlignment="1">
      <alignment horizontal="center"/>
    </xf>
    <xf numFmtId="49" fontId="2" fillId="2" borderId="3" xfId="7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1" xfId="4" applyNumberFormat="1" applyFont="1" applyFill="1" applyBorder="1" applyAlignment="1" applyProtection="1">
      <alignment horizontal="left" wrapText="1"/>
      <protection hidden="1"/>
    </xf>
    <xf numFmtId="0" fontId="8" fillId="2" borderId="1" xfId="7" applyFont="1" applyFill="1" applyBorder="1" applyAlignment="1">
      <alignment horizontal="center" vertical="top"/>
    </xf>
    <xf numFmtId="165" fontId="1" fillId="2" borderId="1" xfId="7" applyNumberFormat="1" applyFont="1" applyFill="1" applyBorder="1" applyAlignment="1"/>
    <xf numFmtId="49" fontId="1" fillId="2" borderId="9" xfId="6" applyNumberFormat="1" applyFont="1" applyFill="1" applyBorder="1" applyAlignment="1">
      <alignment horizontal="center"/>
    </xf>
    <xf numFmtId="49" fontId="1" fillId="2" borderId="3" xfId="6" applyNumberFormat="1" applyFont="1" applyFill="1" applyBorder="1" applyAlignment="1">
      <alignment horizontal="center"/>
    </xf>
    <xf numFmtId="49" fontId="1" fillId="2" borderId="1" xfId="6" applyNumberFormat="1" applyFont="1" applyFill="1" applyBorder="1" applyAlignment="1">
      <alignment horizontal="center"/>
    </xf>
    <xf numFmtId="49" fontId="1" fillId="2" borderId="4" xfId="7" applyNumberFormat="1" applyFont="1" applyFill="1" applyBorder="1" applyAlignment="1">
      <alignment horizontal="center"/>
    </xf>
    <xf numFmtId="49" fontId="1" fillId="2" borderId="0" xfId="7" applyNumberFormat="1" applyFont="1" applyFill="1" applyBorder="1" applyAlignment="1">
      <alignment horizontal="center"/>
    </xf>
    <xf numFmtId="49" fontId="1" fillId="2" borderId="11" xfId="7" applyNumberFormat="1" applyFont="1" applyFill="1" applyBorder="1" applyAlignment="1">
      <alignment horizontal="center"/>
    </xf>
    <xf numFmtId="49" fontId="2" fillId="2" borderId="1" xfId="7" applyNumberFormat="1" applyFont="1" applyFill="1" applyBorder="1" applyAlignment="1">
      <alignment wrapText="1"/>
    </xf>
    <xf numFmtId="49" fontId="1" fillId="2" borderId="1" xfId="6" applyNumberFormat="1" applyFont="1" applyFill="1" applyBorder="1" applyAlignment="1">
      <alignment horizontal="left" wrapText="1"/>
    </xf>
    <xf numFmtId="0" fontId="1" fillId="2" borderId="1" xfId="5" applyFont="1" applyFill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center"/>
    </xf>
    <xf numFmtId="49" fontId="2" fillId="2" borderId="1" xfId="5" applyNumberFormat="1" applyFont="1" applyFill="1" applyBorder="1" applyAlignment="1">
      <alignment horizontal="left" wrapText="1"/>
    </xf>
    <xf numFmtId="49" fontId="2" fillId="2" borderId="9" xfId="6" applyNumberFormat="1" applyFont="1" applyFill="1" applyBorder="1" applyAlignment="1">
      <alignment horizontal="center"/>
    </xf>
    <xf numFmtId="167" fontId="2" fillId="2" borderId="1" xfId="7" applyNumberFormat="1" applyFont="1" applyFill="1" applyBorder="1" applyAlignment="1">
      <alignment horizontal="center"/>
    </xf>
    <xf numFmtId="49" fontId="1" fillId="2" borderId="1" xfId="5" applyNumberFormat="1" applyFont="1" applyFill="1" applyBorder="1" applyAlignment="1">
      <alignment wrapText="1"/>
    </xf>
    <xf numFmtId="49" fontId="1" fillId="2" borderId="6" xfId="11" applyNumberFormat="1" applyFont="1" applyFill="1" applyBorder="1" applyAlignment="1">
      <alignment horizontal="center"/>
    </xf>
    <xf numFmtId="49" fontId="1" fillId="2" borderId="2" xfId="11" applyNumberFormat="1" applyFont="1" applyFill="1" applyBorder="1" applyAlignment="1">
      <alignment horizontal="center"/>
    </xf>
    <xf numFmtId="49" fontId="1" fillId="2" borderId="0" xfId="5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wrapText="1"/>
    </xf>
    <xf numFmtId="49" fontId="1" fillId="2" borderId="17" xfId="6" applyNumberFormat="1" applyFont="1" applyFill="1" applyBorder="1" applyAlignment="1">
      <alignment horizontal="center"/>
    </xf>
    <xf numFmtId="49" fontId="1" fillId="2" borderId="18" xfId="14" applyNumberFormat="1" applyFont="1" applyFill="1" applyBorder="1" applyAlignment="1">
      <alignment horizontal="center"/>
    </xf>
    <xf numFmtId="49" fontId="1" fillId="2" borderId="19" xfId="14" applyNumberFormat="1" applyFont="1" applyFill="1" applyBorder="1" applyAlignment="1">
      <alignment horizontal="center"/>
    </xf>
    <xf numFmtId="49" fontId="1" fillId="2" borderId="21" xfId="14" applyNumberFormat="1" applyFont="1" applyFill="1" applyBorder="1" applyAlignment="1">
      <alignment horizontal="center"/>
    </xf>
    <xf numFmtId="49" fontId="1" fillId="2" borderId="16" xfId="14" applyNumberFormat="1" applyFont="1" applyFill="1" applyBorder="1" applyAlignment="1">
      <alignment wrapText="1"/>
    </xf>
    <xf numFmtId="49" fontId="1" fillId="2" borderId="16" xfId="14" applyNumberFormat="1" applyFont="1" applyFill="1" applyBorder="1" applyAlignment="1">
      <alignment horizontal="center"/>
    </xf>
    <xf numFmtId="49" fontId="1" fillId="2" borderId="17" xfId="5" applyNumberFormat="1" applyFont="1" applyFill="1" applyBorder="1" applyAlignment="1">
      <alignment wrapText="1"/>
    </xf>
    <xf numFmtId="49" fontId="1" fillId="2" borderId="24" xfId="6" applyNumberFormat="1" applyFont="1" applyFill="1" applyBorder="1" applyAlignment="1">
      <alignment horizontal="center"/>
    </xf>
    <xf numFmtId="49" fontId="1" fillId="2" borderId="20" xfId="6" applyNumberFormat="1" applyFont="1" applyFill="1" applyBorder="1" applyAlignment="1">
      <alignment horizontal="center"/>
    </xf>
    <xf numFmtId="49" fontId="1" fillId="2" borderId="20" xfId="14" applyNumberFormat="1" applyFont="1" applyFill="1" applyBorder="1" applyAlignment="1">
      <alignment horizontal="center"/>
    </xf>
    <xf numFmtId="49" fontId="1" fillId="2" borderId="9" xfId="14" applyNumberFormat="1" applyFont="1" applyFill="1" applyBorder="1" applyAlignment="1">
      <alignment horizontal="center"/>
    </xf>
    <xf numFmtId="49" fontId="1" fillId="2" borderId="3" xfId="14" applyNumberFormat="1" applyFont="1" applyFill="1" applyBorder="1" applyAlignment="1">
      <alignment horizontal="center"/>
    </xf>
    <xf numFmtId="49" fontId="1" fillId="2" borderId="1" xfId="14" applyNumberFormat="1" applyFont="1" applyFill="1" applyBorder="1" applyAlignment="1">
      <alignment horizontal="center"/>
    </xf>
    <xf numFmtId="49" fontId="1" fillId="2" borderId="7" xfId="14" applyNumberFormat="1" applyFont="1" applyFill="1" applyBorder="1" applyAlignment="1">
      <alignment horizontal="center"/>
    </xf>
    <xf numFmtId="49" fontId="1" fillId="2" borderId="8" xfId="14" applyNumberFormat="1" applyFont="1" applyFill="1" applyBorder="1" applyAlignment="1">
      <alignment horizontal="center"/>
    </xf>
    <xf numFmtId="49" fontId="1" fillId="2" borderId="3" xfId="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wrapText="1"/>
    </xf>
    <xf numFmtId="49" fontId="1" fillId="2" borderId="16" xfId="5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vertical="top" wrapText="1"/>
    </xf>
    <xf numFmtId="49" fontId="1" fillId="2" borderId="19" xfId="5" applyNumberFormat="1" applyFont="1" applyFill="1" applyBorder="1" applyAlignment="1">
      <alignment wrapText="1"/>
    </xf>
    <xf numFmtId="49" fontId="1" fillId="2" borderId="17" xfId="5" applyNumberFormat="1" applyFont="1" applyFill="1" applyBorder="1" applyAlignment="1">
      <alignment horizontal="center"/>
    </xf>
    <xf numFmtId="49" fontId="1" fillId="2" borderId="18" xfId="5" applyNumberFormat="1" applyFont="1" applyFill="1" applyBorder="1" applyAlignment="1">
      <alignment horizontal="center"/>
    </xf>
    <xf numFmtId="49" fontId="1" fillId="2" borderId="19" xfId="5" applyNumberFormat="1" applyFont="1" applyFill="1" applyBorder="1" applyAlignment="1">
      <alignment horizontal="center"/>
    </xf>
    <xf numFmtId="49" fontId="1" fillId="2" borderId="16" xfId="5" applyNumberFormat="1" applyFont="1" applyFill="1" applyBorder="1" applyAlignment="1">
      <alignment horizontal="center"/>
    </xf>
    <xf numFmtId="49" fontId="1" fillId="2" borderId="19" xfId="16" applyNumberFormat="1" applyFont="1" applyFill="1" applyBorder="1" applyAlignment="1">
      <alignment wrapText="1"/>
    </xf>
    <xf numFmtId="49" fontId="1" fillId="2" borderId="19" xfId="16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2" borderId="1" xfId="6" applyNumberFormat="1" applyFont="1" applyFill="1" applyBorder="1" applyAlignment="1">
      <alignment horizontal="center"/>
    </xf>
    <xf numFmtId="49" fontId="2" fillId="2" borderId="1" xfId="4" applyNumberFormat="1" applyFont="1" applyFill="1" applyBorder="1" applyAlignment="1" applyProtection="1">
      <alignment horizontal="left" wrapText="1"/>
      <protection hidden="1"/>
    </xf>
    <xf numFmtId="0" fontId="1" fillId="2" borderId="0" xfId="7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165" fontId="1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/>
    <xf numFmtId="0" fontId="1" fillId="2" borderId="0" xfId="7" applyFont="1" applyFill="1" applyBorder="1" applyAlignment="1">
      <alignment horizontal="left"/>
    </xf>
    <xf numFmtId="0" fontId="1" fillId="2" borderId="0" xfId="7" applyFont="1" applyFill="1" applyAlignment="1">
      <alignment horizontal="left"/>
    </xf>
    <xf numFmtId="167" fontId="1" fillId="2" borderId="0" xfId="7" applyNumberFormat="1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right" vertical="top"/>
    </xf>
    <xf numFmtId="0" fontId="20" fillId="0" borderId="0" xfId="1" applyFont="1" applyFill="1" applyAlignment="1">
      <alignment vertical="top" wrapText="1"/>
    </xf>
    <xf numFmtId="0" fontId="20" fillId="0" borderId="0" xfId="1" applyFont="1" applyFill="1" applyAlignment="1">
      <alignment horizontal="right" vertical="top" wrapText="1"/>
    </xf>
    <xf numFmtId="165" fontId="1" fillId="0" borderId="1" xfId="1" applyNumberFormat="1" applyFont="1" applyFill="1" applyBorder="1" applyAlignment="1"/>
    <xf numFmtId="0" fontId="6" fillId="0" borderId="1" xfId="7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/>
    </xf>
    <xf numFmtId="0" fontId="1" fillId="0" borderId="1" xfId="1" applyFont="1" applyFill="1" applyBorder="1"/>
    <xf numFmtId="0" fontId="8" fillId="0" borderId="1" xfId="7" applyFont="1" applyFill="1" applyBorder="1"/>
    <xf numFmtId="0" fontId="1" fillId="0" borderId="0" xfId="1" applyFont="1" applyFill="1" applyBorder="1"/>
    <xf numFmtId="0" fontId="6" fillId="0" borderId="0" xfId="7" applyFont="1" applyFill="1" applyBorder="1" applyAlignment="1">
      <alignment wrapText="1"/>
    </xf>
    <xf numFmtId="165" fontId="6" fillId="0" borderId="0" xfId="1" applyNumberFormat="1" applyFont="1" applyFill="1" applyBorder="1" applyAlignment="1">
      <alignment horizontal="right"/>
    </xf>
    <xf numFmtId="0" fontId="3" fillId="2" borderId="0" xfId="5" applyFont="1" applyFill="1" applyBorder="1" applyAlignment="1">
      <alignment horizontal="left" vertical="top" wrapText="1"/>
    </xf>
    <xf numFmtId="165" fontId="3" fillId="2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15" fillId="2" borderId="0" xfId="0" applyFont="1" applyFill="1"/>
    <xf numFmtId="167" fontId="19" fillId="2" borderId="0" xfId="0" applyNumberFormat="1" applyFont="1" applyFill="1"/>
    <xf numFmtId="167" fontId="3" fillId="2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30" fillId="2" borderId="0" xfId="0" applyFont="1" applyFill="1"/>
    <xf numFmtId="0" fontId="2" fillId="2" borderId="16" xfId="16" applyFont="1" applyFill="1" applyBorder="1" applyAlignment="1">
      <alignment horizontal="center" vertical="top"/>
    </xf>
    <xf numFmtId="49" fontId="2" fillId="2" borderId="19" xfId="16" applyNumberFormat="1" applyFont="1" applyFill="1" applyBorder="1" applyAlignment="1">
      <alignment wrapText="1"/>
    </xf>
    <xf numFmtId="49" fontId="2" fillId="2" borderId="16" xfId="16" applyNumberFormat="1" applyFont="1" applyFill="1" applyBorder="1" applyAlignment="1">
      <alignment horizontal="center" wrapText="1"/>
    </xf>
    <xf numFmtId="49" fontId="2" fillId="2" borderId="16" xfId="16" applyNumberFormat="1" applyFont="1" applyFill="1" applyBorder="1" applyAlignment="1">
      <alignment horizontal="center"/>
    </xf>
    <xf numFmtId="49" fontId="2" fillId="2" borderId="25" xfId="16" applyNumberFormat="1" applyFont="1" applyFill="1" applyBorder="1" applyAlignment="1">
      <alignment horizontal="center"/>
    </xf>
    <xf numFmtId="49" fontId="2" fillId="2" borderId="20" xfId="16" applyNumberFormat="1" applyFont="1" applyFill="1" applyBorder="1" applyAlignment="1">
      <alignment horizontal="center"/>
    </xf>
    <xf numFmtId="49" fontId="2" fillId="2" borderId="26" xfId="16" applyNumberFormat="1" applyFont="1" applyFill="1" applyBorder="1" applyAlignment="1">
      <alignment horizontal="center"/>
    </xf>
    <xf numFmtId="165" fontId="2" fillId="2" borderId="16" xfId="16" applyNumberFormat="1" applyFont="1" applyFill="1" applyBorder="1" applyAlignment="1">
      <alignment horizontal="right"/>
    </xf>
    <xf numFmtId="0" fontId="15" fillId="2" borderId="0" xfId="16" applyFont="1" applyFill="1"/>
    <xf numFmtId="0" fontId="1" fillId="2" borderId="16" xfId="16" applyFont="1" applyFill="1" applyBorder="1" applyAlignment="1">
      <alignment horizontal="center" vertical="top"/>
    </xf>
    <xf numFmtId="49" fontId="1" fillId="2" borderId="16" xfId="11" applyNumberFormat="1" applyFont="1" applyFill="1" applyBorder="1" applyAlignment="1">
      <alignment horizontal="center" wrapText="1"/>
    </xf>
    <xf numFmtId="49" fontId="1" fillId="2" borderId="16" xfId="11" applyNumberFormat="1" applyFont="1" applyFill="1" applyBorder="1" applyAlignment="1">
      <alignment horizontal="center"/>
    </xf>
    <xf numFmtId="49" fontId="1" fillId="2" borderId="17" xfId="16" applyNumberFormat="1" applyFont="1" applyFill="1" applyBorder="1" applyAlignment="1">
      <alignment horizontal="center"/>
    </xf>
    <xf numFmtId="165" fontId="1" fillId="2" borderId="16" xfId="16" applyNumberFormat="1" applyFont="1" applyFill="1" applyBorder="1" applyAlignment="1">
      <alignment horizontal="right"/>
    </xf>
    <xf numFmtId="0" fontId="8" fillId="2" borderId="0" xfId="16" applyFont="1" applyFill="1"/>
    <xf numFmtId="49" fontId="1" fillId="2" borderId="25" xfId="11" applyNumberFormat="1" applyFont="1" applyFill="1" applyBorder="1" applyAlignment="1">
      <alignment horizontal="center"/>
    </xf>
    <xf numFmtId="49" fontId="1" fillId="2" borderId="20" xfId="16" applyNumberFormat="1" applyFont="1" applyFill="1" applyBorder="1" applyAlignment="1">
      <alignment horizontal="center"/>
    </xf>
    <xf numFmtId="49" fontId="1" fillId="2" borderId="26" xfId="16" applyNumberFormat="1" applyFont="1" applyFill="1" applyBorder="1" applyAlignment="1">
      <alignment horizontal="center"/>
    </xf>
    <xf numFmtId="49" fontId="1" fillId="2" borderId="25" xfId="6" applyNumberFormat="1" applyFont="1" applyFill="1" applyBorder="1" applyAlignment="1">
      <alignment horizontal="center"/>
    </xf>
    <xf numFmtId="49" fontId="1" fillId="2" borderId="18" xfId="16" applyNumberFormat="1" applyFont="1" applyFill="1" applyBorder="1" applyAlignment="1">
      <alignment wrapText="1"/>
    </xf>
    <xf numFmtId="49" fontId="1" fillId="2" borderId="18" xfId="6" applyNumberFormat="1" applyFont="1" applyFill="1" applyBorder="1" applyAlignment="1">
      <alignment horizontal="center"/>
    </xf>
    <xf numFmtId="49" fontId="1" fillId="2" borderId="19" xfId="8" applyNumberFormat="1" applyFont="1" applyFill="1" applyBorder="1" applyAlignment="1">
      <alignment wrapText="1"/>
    </xf>
    <xf numFmtId="0" fontId="1" fillId="2" borderId="16" xfId="5" applyFont="1" applyFill="1" applyBorder="1" applyAlignment="1">
      <alignment horizontal="center" vertical="top"/>
    </xf>
    <xf numFmtId="49" fontId="1" fillId="2" borderId="19" xfId="5" applyNumberFormat="1" applyFont="1" applyFill="1" applyBorder="1" applyAlignment="1">
      <alignment horizontal="left" wrapText="1"/>
    </xf>
    <xf numFmtId="49" fontId="1" fillId="2" borderId="16" xfId="5" applyNumberFormat="1" applyFont="1" applyFill="1" applyBorder="1" applyAlignment="1">
      <alignment horizontal="center" wrapText="1"/>
    </xf>
    <xf numFmtId="0" fontId="8" fillId="2" borderId="0" xfId="5" applyFont="1" applyFill="1"/>
    <xf numFmtId="49" fontId="1" fillId="2" borderId="19" xfId="16" applyNumberFormat="1" applyFont="1" applyFill="1" applyBorder="1" applyAlignment="1">
      <alignment horizontal="left" wrapText="1"/>
    </xf>
    <xf numFmtId="0" fontId="15" fillId="2" borderId="0" xfId="5" applyFont="1" applyFill="1"/>
    <xf numFmtId="165" fontId="10" fillId="2" borderId="0" xfId="0" applyNumberFormat="1" applyFont="1" applyFill="1"/>
    <xf numFmtId="165" fontId="11" fillId="2" borderId="0" xfId="0" applyNumberFormat="1" applyFont="1" applyFill="1"/>
    <xf numFmtId="49" fontId="2" fillId="2" borderId="3" xfId="0" applyNumberFormat="1" applyFont="1" applyFill="1" applyBorder="1" applyAlignment="1">
      <alignment horizontal="left" wrapText="1"/>
    </xf>
    <xf numFmtId="49" fontId="1" fillId="2" borderId="1" xfId="6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167" fontId="8" fillId="2" borderId="0" xfId="7" applyNumberFormat="1" applyFont="1" applyFill="1"/>
    <xf numFmtId="0" fontId="22" fillId="2" borderId="0" xfId="0" applyFont="1" applyFill="1"/>
    <xf numFmtId="167" fontId="22" fillId="2" borderId="0" xfId="0" applyNumberFormat="1" applyFont="1" applyFill="1"/>
    <xf numFmtId="165" fontId="11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7" fontId="3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wrapText="1"/>
    </xf>
    <xf numFmtId="171" fontId="8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0" fontId="1" fillId="2" borderId="5" xfId="0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/>
    </xf>
    <xf numFmtId="49" fontId="1" fillId="2" borderId="16" xfId="12" applyNumberFormat="1" applyFont="1" applyFill="1" applyBorder="1" applyAlignment="1">
      <alignment horizontal="center" wrapText="1"/>
    </xf>
    <xf numFmtId="49" fontId="1" fillId="2" borderId="16" xfId="12" applyNumberFormat="1" applyFont="1" applyFill="1" applyBorder="1" applyAlignment="1">
      <alignment horizontal="center"/>
    </xf>
    <xf numFmtId="49" fontId="1" fillId="2" borderId="17" xfId="12" applyNumberFormat="1" applyFont="1" applyFill="1" applyBorder="1" applyAlignment="1">
      <alignment horizontal="center"/>
    </xf>
    <xf numFmtId="49" fontId="1" fillId="2" borderId="18" xfId="12" applyNumberFormat="1" applyFont="1" applyFill="1" applyBorder="1" applyAlignment="1">
      <alignment horizontal="center"/>
    </xf>
    <xf numFmtId="49" fontId="1" fillId="2" borderId="19" xfId="12" applyNumberFormat="1" applyFont="1" applyFill="1" applyBorder="1" applyAlignment="1">
      <alignment horizontal="center"/>
    </xf>
    <xf numFmtId="171" fontId="8" fillId="2" borderId="0" xfId="16" applyNumberFormat="1" applyFont="1" applyFill="1"/>
    <xf numFmtId="49" fontId="1" fillId="2" borderId="0" xfId="16" applyNumberFormat="1" applyFont="1" applyFill="1" applyBorder="1" applyAlignment="1">
      <alignment horizontal="center"/>
    </xf>
    <xf numFmtId="0" fontId="1" fillId="2" borderId="21" xfId="14" applyFont="1" applyFill="1" applyBorder="1" applyAlignment="1">
      <alignment horizontal="center" vertical="top"/>
    </xf>
    <xf numFmtId="49" fontId="1" fillId="2" borderId="22" xfId="14" applyNumberFormat="1" applyFont="1" applyFill="1" applyBorder="1" applyAlignment="1">
      <alignment wrapText="1"/>
    </xf>
    <xf numFmtId="49" fontId="1" fillId="2" borderId="27" xfId="11" applyNumberFormat="1" applyFont="1" applyFill="1" applyBorder="1" applyAlignment="1">
      <alignment horizontal="center" wrapText="1"/>
    </xf>
    <xf numFmtId="49" fontId="1" fillId="2" borderId="27" xfId="11" applyNumberFormat="1" applyFont="1" applyFill="1" applyBorder="1" applyAlignment="1">
      <alignment horizontal="center"/>
    </xf>
    <xf numFmtId="165" fontId="1" fillId="2" borderId="21" xfId="14" applyNumberFormat="1" applyFont="1" applyFill="1" applyBorder="1" applyAlignment="1">
      <alignment horizontal="right"/>
    </xf>
    <xf numFmtId="171" fontId="8" fillId="2" borderId="0" xfId="14" applyNumberFormat="1" applyFont="1" applyFill="1"/>
    <xf numFmtId="0" fontId="8" fillId="2" borderId="0" xfId="14" applyFont="1" applyFill="1"/>
    <xf numFmtId="0" fontId="1" fillId="2" borderId="16" xfId="14" applyFont="1" applyFill="1" applyBorder="1" applyAlignment="1">
      <alignment horizontal="center" vertical="top"/>
    </xf>
    <xf numFmtId="49" fontId="1" fillId="2" borderId="18" xfId="14" applyNumberFormat="1" applyFont="1" applyFill="1" applyBorder="1" applyAlignment="1">
      <alignment wrapText="1"/>
    </xf>
    <xf numFmtId="165" fontId="1" fillId="2" borderId="16" xfId="14" applyNumberFormat="1" applyFont="1" applyFill="1" applyBorder="1" applyAlignment="1">
      <alignment horizontal="right"/>
    </xf>
    <xf numFmtId="49" fontId="1" fillId="2" borderId="20" xfId="16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horizontal="center"/>
    </xf>
    <xf numFmtId="49" fontId="1" fillId="2" borderId="23" xfId="14" applyNumberFormat="1" applyFont="1" applyFill="1" applyBorder="1" applyAlignment="1">
      <alignment horizontal="center"/>
    </xf>
    <xf numFmtId="49" fontId="1" fillId="2" borderId="16" xfId="16" applyNumberFormat="1" applyFont="1" applyFill="1" applyBorder="1" applyAlignment="1">
      <alignment wrapText="1"/>
    </xf>
    <xf numFmtId="0" fontId="1" fillId="2" borderId="23" xfId="14" applyFont="1" applyFill="1" applyBorder="1" applyAlignment="1">
      <alignment horizontal="center" vertical="top"/>
    </xf>
    <xf numFmtId="49" fontId="1" fillId="2" borderId="23" xfId="11" applyNumberFormat="1" applyFont="1" applyFill="1" applyBorder="1" applyAlignment="1">
      <alignment horizontal="center" wrapText="1"/>
    </xf>
    <xf numFmtId="49" fontId="1" fillId="2" borderId="19" xfId="6" applyNumberFormat="1" applyFont="1" applyFill="1" applyBorder="1" applyAlignment="1">
      <alignment horizontal="left" wrapText="1"/>
    </xf>
    <xf numFmtId="165" fontId="1" fillId="2" borderId="16" xfId="5" applyNumberFormat="1" applyFont="1" applyFill="1" applyBorder="1" applyAlignment="1">
      <alignment horizontal="right"/>
    </xf>
    <xf numFmtId="168" fontId="10" fillId="2" borderId="0" xfId="0" applyNumberFormat="1" applyFont="1" applyFill="1"/>
    <xf numFmtId="168" fontId="15" fillId="2" borderId="0" xfId="0" applyNumberFormat="1" applyFont="1" applyFill="1"/>
    <xf numFmtId="4" fontId="1" fillId="2" borderId="3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right"/>
    </xf>
    <xf numFmtId="0" fontId="30" fillId="2" borderId="0" xfId="0" applyFont="1" applyFill="1" applyBorder="1"/>
    <xf numFmtId="165" fontId="11" fillId="2" borderId="0" xfId="0" applyNumberFormat="1" applyFont="1" applyFill="1" applyBorder="1"/>
    <xf numFmtId="165" fontId="10" fillId="2" borderId="0" xfId="0" applyNumberFormat="1" applyFont="1" applyFill="1" applyBorder="1"/>
    <xf numFmtId="165" fontId="1" fillId="2" borderId="1" xfId="7" applyNumberFormat="1" applyFont="1" applyFill="1" applyBorder="1"/>
    <xf numFmtId="167" fontId="1" fillId="2" borderId="0" xfId="7" applyNumberFormat="1" applyFont="1" applyFill="1" applyBorder="1" applyAlignment="1">
      <alignment horizontal="right"/>
    </xf>
    <xf numFmtId="167" fontId="1" fillId="2" borderId="1" xfId="3" applyNumberFormat="1" applyFont="1" applyFill="1" applyBorder="1" applyAlignment="1">
      <alignment horizontal="center" vertical="center"/>
    </xf>
    <xf numFmtId="171" fontId="33" fillId="2" borderId="0" xfId="7" applyNumberFormat="1" applyFont="1" applyFill="1"/>
    <xf numFmtId="49" fontId="2" fillId="2" borderId="19" xfId="8" applyNumberFormat="1" applyFont="1" applyFill="1" applyBorder="1" applyAlignment="1">
      <alignment wrapText="1"/>
    </xf>
    <xf numFmtId="49" fontId="2" fillId="2" borderId="17" xfId="11" applyNumberFormat="1" applyFont="1" applyFill="1" applyBorder="1" applyAlignment="1">
      <alignment horizontal="center"/>
    </xf>
    <xf numFmtId="49" fontId="2" fillId="2" borderId="18" xfId="16" applyNumberFormat="1" applyFont="1" applyFill="1" applyBorder="1" applyAlignment="1">
      <alignment horizontal="center"/>
    </xf>
    <xf numFmtId="49" fontId="2" fillId="2" borderId="19" xfId="16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4" fillId="2" borderId="0" xfId="0" applyFont="1" applyFill="1" applyBorder="1"/>
    <xf numFmtId="0" fontId="34" fillId="2" borderId="0" xfId="0" applyFont="1" applyFill="1"/>
    <xf numFmtId="0" fontId="3" fillId="2" borderId="0" xfId="0" applyFont="1" applyFill="1" applyAlignment="1">
      <alignment horizontal="right" vertical="top"/>
    </xf>
    <xf numFmtId="0" fontId="23" fillId="2" borderId="0" xfId="0" applyFont="1" applyFill="1" applyAlignment="1">
      <alignment vertical="top"/>
    </xf>
    <xf numFmtId="49" fontId="11" fillId="2" borderId="0" xfId="7" applyNumberFormat="1" applyFont="1" applyFill="1" applyBorder="1" applyAlignment="1">
      <alignment horizontal="center" vertical="top"/>
    </xf>
    <xf numFmtId="167" fontId="3" fillId="2" borderId="0" xfId="7" applyNumberFormat="1" applyFont="1" applyFill="1" applyAlignment="1">
      <alignment horizontal="right" vertical="top"/>
    </xf>
    <xf numFmtId="0" fontId="2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49" fontId="10" fillId="2" borderId="0" xfId="7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169" fontId="1" fillId="2" borderId="0" xfId="1" applyNumberFormat="1" applyFont="1" applyFill="1" applyAlignment="1">
      <alignment horizontal="right"/>
    </xf>
    <xf numFmtId="169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right"/>
    </xf>
    <xf numFmtId="166" fontId="1" fillId="2" borderId="1" xfId="1" applyNumberFormat="1" applyFont="1" applyFill="1" applyBorder="1" applyAlignment="1"/>
    <xf numFmtId="166" fontId="2" fillId="2" borderId="1" xfId="10" applyNumberFormat="1" applyFont="1" applyFill="1" applyBorder="1" applyAlignment="1">
      <alignment vertical="top"/>
    </xf>
    <xf numFmtId="169" fontId="1" fillId="2" borderId="0" xfId="1" applyNumberFormat="1" applyFont="1" applyFill="1"/>
    <xf numFmtId="169" fontId="1" fillId="2" borderId="0" xfId="7" applyNumberFormat="1" applyFont="1" applyFill="1" applyBorder="1"/>
    <xf numFmtId="0" fontId="1" fillId="2" borderId="0" xfId="1" applyFont="1" applyFill="1"/>
    <xf numFmtId="166" fontId="4" fillId="2" borderId="1" xfId="0" applyNumberFormat="1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vertical="top"/>
    </xf>
    <xf numFmtId="166" fontId="1" fillId="2" borderId="1" xfId="1" applyNumberFormat="1" applyFont="1" applyFill="1" applyBorder="1" applyAlignment="1">
      <alignment horizontal="right" vertical="top"/>
    </xf>
    <xf numFmtId="166" fontId="1" fillId="2" borderId="1" xfId="1" applyNumberFormat="1" applyFont="1" applyFill="1" applyBorder="1" applyAlignment="1">
      <alignment vertical="top"/>
    </xf>
    <xf numFmtId="166" fontId="1" fillId="0" borderId="1" xfId="1" applyNumberFormat="1" applyFont="1" applyFill="1" applyBorder="1" applyAlignment="1">
      <alignment vertical="top"/>
    </xf>
    <xf numFmtId="49" fontId="35" fillId="2" borderId="0" xfId="7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0" fontId="36" fillId="2" borderId="0" xfId="0" applyFont="1" applyFill="1"/>
    <xf numFmtId="0" fontId="37" fillId="2" borderId="1" xfId="0" applyFont="1" applyFill="1" applyBorder="1" applyAlignment="1">
      <alignment horizontal="center" vertical="top"/>
    </xf>
    <xf numFmtId="0" fontId="38" fillId="2" borderId="0" xfId="0" applyFont="1" applyFill="1"/>
    <xf numFmtId="49" fontId="1" fillId="2" borderId="0" xfId="0" applyNumberFormat="1" applyFont="1" applyFill="1" applyBorder="1" applyAlignment="1">
      <alignment horizontal="left" vertical="top" wrapText="1"/>
    </xf>
    <xf numFmtId="165" fontId="1" fillId="2" borderId="0" xfId="7" applyNumberFormat="1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4" fontId="10" fillId="2" borderId="0" xfId="0" applyNumberFormat="1" applyFont="1" applyFill="1"/>
    <xf numFmtId="165" fontId="1" fillId="2" borderId="23" xfId="16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/>
    <xf numFmtId="165" fontId="2" fillId="2" borderId="1" xfId="10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/>
    </xf>
    <xf numFmtId="165" fontId="1" fillId="2" borderId="1" xfId="3" applyNumberFormat="1" applyFont="1" applyFill="1" applyBorder="1" applyAlignment="1">
      <alignment horizontal="right" wrapText="1"/>
    </xf>
    <xf numFmtId="0" fontId="2" fillId="2" borderId="1" xfId="3" applyFont="1" applyFill="1" applyBorder="1" applyAlignment="1">
      <alignment wrapText="1"/>
    </xf>
    <xf numFmtId="165" fontId="2" fillId="2" borderId="1" xfId="3" applyNumberFormat="1" applyFont="1" applyFill="1" applyBorder="1" applyAlignment="1">
      <alignment horizontal="right" wrapText="1"/>
    </xf>
    <xf numFmtId="0" fontId="1" fillId="2" borderId="1" xfId="3" applyFont="1" applyFill="1" applyBorder="1" applyAlignment="1">
      <alignment wrapText="1"/>
    </xf>
    <xf numFmtId="49" fontId="1" fillId="2" borderId="1" xfId="3" applyNumberFormat="1" applyFont="1" applyFill="1" applyBorder="1" applyAlignment="1">
      <alignment horizontal="center" vertical="top"/>
    </xf>
    <xf numFmtId="49" fontId="2" fillId="2" borderId="1" xfId="3" applyNumberFormat="1" applyFont="1" applyFill="1" applyBorder="1" applyAlignment="1">
      <alignment horizontal="center" vertical="top"/>
    </xf>
    <xf numFmtId="49" fontId="3" fillId="2" borderId="1" xfId="3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wrapText="1"/>
    </xf>
    <xf numFmtId="165" fontId="3" fillId="2" borderId="1" xfId="3" applyNumberFormat="1" applyFont="1" applyFill="1" applyBorder="1" applyAlignment="1">
      <alignment horizontal="right" wrapText="1"/>
    </xf>
    <xf numFmtId="49" fontId="1" fillId="2" borderId="1" xfId="11" applyNumberFormat="1" applyFont="1" applyFill="1" applyBorder="1" applyAlignment="1">
      <alignment wrapText="1"/>
    </xf>
    <xf numFmtId="49" fontId="1" fillId="2" borderId="1" xfId="3" applyNumberFormat="1" applyFont="1" applyFill="1" applyBorder="1" applyAlignment="1">
      <alignment horizontal="center"/>
    </xf>
    <xf numFmtId="1" fontId="1" fillId="2" borderId="1" xfId="3" applyNumberFormat="1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left" vertical="top" wrapText="1"/>
    </xf>
    <xf numFmtId="0" fontId="29" fillId="2" borderId="0" xfId="0" applyFont="1" applyFill="1" applyBorder="1"/>
    <xf numFmtId="0" fontId="29" fillId="2" borderId="0" xfId="0" applyFont="1" applyFill="1"/>
    <xf numFmtId="0" fontId="13" fillId="2" borderId="0" xfId="3" applyFont="1" applyFill="1"/>
    <xf numFmtId="49" fontId="1" fillId="2" borderId="23" xfId="16" applyNumberFormat="1" applyFont="1" applyFill="1" applyBorder="1" applyAlignment="1">
      <alignment horizontal="center"/>
    </xf>
    <xf numFmtId="49" fontId="1" fillId="2" borderId="26" xfId="5" applyNumberFormat="1" applyFont="1" applyFill="1" applyBorder="1" applyAlignment="1">
      <alignment wrapText="1"/>
    </xf>
    <xf numFmtId="165" fontId="1" fillId="2" borderId="0" xfId="1" applyNumberFormat="1" applyFont="1" applyFill="1"/>
    <xf numFmtId="174" fontId="3" fillId="0" borderId="12" xfId="0" applyNumberFormat="1" applyFont="1" applyFill="1" applyBorder="1" applyAlignment="1">
      <alignment vertical="top"/>
    </xf>
    <xf numFmtId="174" fontId="3" fillId="2" borderId="12" xfId="0" applyNumberFormat="1" applyFont="1" applyFill="1" applyBorder="1" applyAlignment="1">
      <alignment vertical="top"/>
    </xf>
    <xf numFmtId="174" fontId="3" fillId="2" borderId="13" xfId="0" applyNumberFormat="1" applyFont="1" applyFill="1" applyBorder="1" applyAlignment="1">
      <alignment vertical="top"/>
    </xf>
    <xf numFmtId="174" fontId="3" fillId="0" borderId="11" xfId="0" applyNumberFormat="1" applyFont="1" applyFill="1" applyBorder="1" applyAlignment="1">
      <alignment vertical="top"/>
    </xf>
    <xf numFmtId="0" fontId="3" fillId="0" borderId="10" xfId="3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vertical="top"/>
    </xf>
    <xf numFmtId="0" fontId="2" fillId="2" borderId="5" xfId="7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horizontal="center" wrapText="1"/>
    </xf>
    <xf numFmtId="165" fontId="1" fillId="2" borderId="5" xfId="7" applyNumberFormat="1" applyFont="1" applyFill="1" applyBorder="1" applyAlignment="1">
      <alignment horizontal="right"/>
    </xf>
    <xf numFmtId="49" fontId="1" fillId="2" borderId="1" xfId="16" applyNumberFormat="1" applyFont="1" applyFill="1" applyBorder="1" applyAlignment="1">
      <alignment horizontal="center"/>
    </xf>
    <xf numFmtId="49" fontId="1" fillId="2" borderId="3" xfId="16" applyNumberFormat="1" applyFont="1" applyFill="1" applyBorder="1" applyAlignment="1">
      <alignment horizontal="center"/>
    </xf>
    <xf numFmtId="2" fontId="19" fillId="2" borderId="0" xfId="0" applyNumberFormat="1" applyFont="1" applyFill="1"/>
    <xf numFmtId="0" fontId="3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/>
    <xf numFmtId="0" fontId="39" fillId="2" borderId="0" xfId="0" applyFont="1" applyFill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49" fontId="1" fillId="2" borderId="0" xfId="16" applyNumberFormat="1" applyFont="1" applyFill="1" applyBorder="1" applyAlignment="1">
      <alignment wrapText="1"/>
    </xf>
    <xf numFmtId="49" fontId="1" fillId="2" borderId="0" xfId="12" applyNumberFormat="1" applyFont="1" applyFill="1" applyBorder="1" applyAlignment="1">
      <alignment horizontal="center"/>
    </xf>
    <xf numFmtId="49" fontId="1" fillId="2" borderId="23" xfId="12" applyNumberFormat="1" applyFont="1" applyFill="1" applyBorder="1" applyAlignment="1">
      <alignment horizontal="center"/>
    </xf>
    <xf numFmtId="49" fontId="1" fillId="2" borderId="1" xfId="12" applyNumberFormat="1" applyFont="1" applyFill="1" applyBorder="1" applyAlignment="1">
      <alignment horizontal="center"/>
    </xf>
    <xf numFmtId="49" fontId="1" fillId="2" borderId="28" xfId="12" applyNumberFormat="1" applyFont="1" applyFill="1" applyBorder="1" applyAlignment="1">
      <alignment horizontal="center"/>
    </xf>
    <xf numFmtId="0" fontId="1" fillId="2" borderId="23" xfId="16" applyFont="1" applyFill="1" applyBorder="1" applyAlignment="1">
      <alignment horizontal="center" vertical="top"/>
    </xf>
    <xf numFmtId="49" fontId="1" fillId="2" borderId="26" xfId="16" applyNumberFormat="1" applyFont="1" applyFill="1" applyBorder="1" applyAlignment="1">
      <alignment wrapText="1"/>
    </xf>
    <xf numFmtId="0" fontId="1" fillId="2" borderId="1" xfId="16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left" wrapText="1"/>
    </xf>
    <xf numFmtId="49" fontId="1" fillId="2" borderId="10" xfId="7" applyNumberFormat="1" applyFont="1" applyFill="1" applyBorder="1" applyAlignment="1">
      <alignment horizontal="center"/>
    </xf>
    <xf numFmtId="49" fontId="1" fillId="2" borderId="29" xfId="14" applyNumberFormat="1" applyFont="1" applyFill="1" applyBorder="1" applyAlignment="1">
      <alignment wrapText="1"/>
    </xf>
    <xf numFmtId="49" fontId="1" fillId="2" borderId="29" xfId="16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165" fontId="3" fillId="2" borderId="1" xfId="7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3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6" fillId="2" borderId="0" xfId="3" applyFont="1" applyFill="1"/>
    <xf numFmtId="0" fontId="1" fillId="0" borderId="5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justify" vertical="top" wrapText="1"/>
    </xf>
    <xf numFmtId="165" fontId="1" fillId="0" borderId="5" xfId="3" applyNumberFormat="1" applyFont="1" applyBorder="1" applyAlignment="1">
      <alignment horizontal="center"/>
    </xf>
    <xf numFmtId="0" fontId="1" fillId="0" borderId="0" xfId="3" applyFont="1" applyBorder="1" applyAlignment="1">
      <alignment horizontal="left" wrapText="1"/>
    </xf>
    <xf numFmtId="165" fontId="1" fillId="0" borderId="12" xfId="3" applyNumberFormat="1" applyFont="1" applyBorder="1" applyAlignment="1">
      <alignment horizontal="center"/>
    </xf>
    <xf numFmtId="0" fontId="1" fillId="0" borderId="4" xfId="3" applyFont="1" applyBorder="1" applyAlignment="1">
      <alignment horizontal="left" wrapText="1"/>
    </xf>
    <xf numFmtId="166" fontId="1" fillId="0" borderId="8" xfId="3" applyNumberFormat="1" applyFont="1" applyBorder="1" applyAlignment="1">
      <alignment horizontal="center"/>
    </xf>
    <xf numFmtId="166" fontId="1" fillId="0" borderId="11" xfId="3" applyNumberFormat="1" applyFont="1" applyBorder="1" applyAlignment="1">
      <alignment horizontal="center"/>
    </xf>
    <xf numFmtId="166" fontId="1" fillId="0" borderId="10" xfId="3" applyNumberFormat="1" applyFont="1" applyBorder="1" applyAlignment="1">
      <alignment horizontal="center"/>
    </xf>
    <xf numFmtId="0" fontId="3" fillId="2" borderId="1" xfId="5" applyFont="1" applyFill="1" applyBorder="1" applyAlignment="1">
      <alignment horizontal="left" vertical="top" wrapText="1"/>
    </xf>
    <xf numFmtId="165" fontId="3" fillId="2" borderId="1" xfId="5" applyNumberFormat="1" applyFont="1" applyFill="1" applyBorder="1" applyAlignment="1">
      <alignment horizontal="right" wrapText="1"/>
    </xf>
    <xf numFmtId="0" fontId="1" fillId="0" borderId="0" xfId="1" applyFont="1" applyFill="1"/>
    <xf numFmtId="0" fontId="1" fillId="0" borderId="1" xfId="7" applyFont="1" applyFill="1" applyBorder="1" applyAlignment="1">
      <alignment horizontal="center" vertical="top"/>
    </xf>
    <xf numFmtId="49" fontId="1" fillId="2" borderId="3" xfId="7" applyNumberFormat="1" applyFont="1" applyFill="1" applyBorder="1" applyAlignment="1">
      <alignment wrapText="1"/>
    </xf>
    <xf numFmtId="0" fontId="31" fillId="2" borderId="0" xfId="1" applyFont="1" applyFill="1"/>
    <xf numFmtId="0" fontId="2" fillId="2" borderId="1" xfId="7" applyFont="1" applyFill="1" applyBorder="1" applyAlignment="1">
      <alignment vertical="top" wrapText="1"/>
    </xf>
    <xf numFmtId="166" fontId="2" fillId="2" borderId="1" xfId="1" applyNumberFormat="1" applyFont="1" applyFill="1" applyBorder="1" applyAlignment="1">
      <alignment horizontal="right" vertical="top"/>
    </xf>
    <xf numFmtId="0" fontId="1" fillId="2" borderId="1" xfId="7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2" fillId="2" borderId="0" xfId="1" applyFont="1" applyFill="1"/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1" xfId="5" applyFont="1" applyFill="1" applyBorder="1" applyAlignment="1">
      <alignment vertical="top" wrapText="1"/>
    </xf>
    <xf numFmtId="0" fontId="3" fillId="2" borderId="1" xfId="5" applyFont="1" applyFill="1" applyBorder="1" applyAlignment="1">
      <alignment vertical="top" wrapText="1"/>
    </xf>
    <xf numFmtId="0" fontId="1" fillId="2" borderId="0" xfId="7" applyFont="1" applyFill="1" applyAlignment="1">
      <alignment horizontal="right"/>
    </xf>
    <xf numFmtId="0" fontId="1" fillId="2" borderId="0" xfId="3" applyFont="1" applyFill="1"/>
    <xf numFmtId="167" fontId="13" fillId="2" borderId="0" xfId="3" applyNumberFormat="1" applyFont="1" applyFill="1"/>
    <xf numFmtId="0" fontId="3" fillId="2" borderId="1" xfId="3" applyFont="1" applyFill="1" applyBorder="1" applyAlignment="1">
      <alignment horizontal="center" vertical="center" wrapText="1"/>
    </xf>
    <xf numFmtId="167" fontId="3" fillId="2" borderId="1" xfId="3" applyNumberFormat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/>
    </xf>
    <xf numFmtId="1" fontId="3" fillId="2" borderId="1" xfId="7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/>
    </xf>
    <xf numFmtId="165" fontId="4" fillId="2" borderId="1" xfId="3" applyNumberFormat="1" applyFont="1" applyFill="1" applyBorder="1" applyAlignment="1">
      <alignment horizontal="right" wrapText="1"/>
    </xf>
    <xf numFmtId="0" fontId="3" fillId="2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/>
    </xf>
    <xf numFmtId="0" fontId="1" fillId="2" borderId="1" xfId="3" applyFont="1" applyFill="1" applyBorder="1" applyAlignment="1"/>
    <xf numFmtId="49" fontId="3" fillId="2" borderId="1" xfId="9" applyNumberFormat="1" applyFont="1" applyFill="1" applyBorder="1" applyAlignment="1">
      <alignment wrapText="1"/>
    </xf>
    <xf numFmtId="49" fontId="1" fillId="2" borderId="1" xfId="7" applyNumberFormat="1" applyFont="1" applyFill="1" applyBorder="1" applyAlignment="1">
      <alignment horizontal="left" wrapText="1"/>
    </xf>
    <xf numFmtId="165" fontId="2" fillId="2" borderId="1" xfId="3" applyNumberFormat="1" applyFont="1" applyFill="1" applyBorder="1" applyAlignment="1"/>
    <xf numFmtId="0" fontId="13" fillId="2" borderId="1" xfId="3" applyFont="1" applyFill="1" applyBorder="1" applyAlignment="1">
      <alignment vertical="top"/>
    </xf>
    <xf numFmtId="165" fontId="1" fillId="2" borderId="1" xfId="3" applyNumberFormat="1" applyFont="1" applyFill="1" applyBorder="1" applyAlignment="1"/>
    <xf numFmtId="49" fontId="3" fillId="2" borderId="3" xfId="7" applyNumberFormat="1" applyFont="1" applyFill="1" applyBorder="1" applyAlignment="1">
      <alignment wrapText="1"/>
    </xf>
    <xf numFmtId="49" fontId="3" fillId="2" borderId="2" xfId="7" applyNumberFormat="1" applyFont="1" applyFill="1" applyBorder="1" applyAlignment="1">
      <alignment horizontal="center"/>
    </xf>
    <xf numFmtId="49" fontId="3" fillId="2" borderId="9" xfId="7" applyNumberFormat="1" applyFont="1" applyFill="1" applyBorder="1" applyAlignment="1">
      <alignment horizontal="center"/>
    </xf>
    <xf numFmtId="49" fontId="3" fillId="2" borderId="3" xfId="7" applyNumberFormat="1" applyFont="1" applyFill="1" applyBorder="1" applyAlignment="1">
      <alignment horizontal="center"/>
    </xf>
    <xf numFmtId="49" fontId="3" fillId="2" borderId="1" xfId="7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wrapText="1"/>
    </xf>
    <xf numFmtId="49" fontId="1" fillId="2" borderId="26" xfId="14" applyNumberFormat="1" applyFont="1" applyFill="1" applyBorder="1" applyAlignment="1">
      <alignment wrapText="1"/>
    </xf>
    <xf numFmtId="49" fontId="1" fillId="2" borderId="1" xfId="14" applyNumberFormat="1" applyFont="1" applyFill="1" applyBorder="1" applyAlignment="1">
      <alignment wrapText="1"/>
    </xf>
    <xf numFmtId="49" fontId="2" fillId="2" borderId="1" xfId="4" applyNumberFormat="1" applyFont="1" applyFill="1" applyBorder="1" applyAlignment="1" applyProtection="1">
      <alignment horizontal="left" vertical="top" wrapText="1"/>
      <protection hidden="1"/>
    </xf>
    <xf numFmtId="49" fontId="1" fillId="2" borderId="19" xfId="14" applyNumberFormat="1" applyFont="1" applyFill="1" applyBorder="1" applyAlignment="1">
      <alignment wrapText="1"/>
    </xf>
    <xf numFmtId="49" fontId="1" fillId="2" borderId="30" xfId="14" applyNumberFormat="1" applyFont="1" applyFill="1" applyBorder="1" applyAlignment="1">
      <alignment wrapText="1"/>
    </xf>
    <xf numFmtId="49" fontId="1" fillId="2" borderId="13" xfId="14" applyNumberFormat="1" applyFont="1" applyFill="1" applyBorder="1" applyAlignment="1">
      <alignment wrapText="1"/>
    </xf>
    <xf numFmtId="49" fontId="3" fillId="2" borderId="1" xfId="7" applyNumberFormat="1" applyFont="1" applyFill="1" applyBorder="1" applyAlignment="1">
      <alignment horizontal="left" wrapText="1"/>
    </xf>
    <xf numFmtId="49" fontId="3" fillId="2" borderId="1" xfId="7" applyNumberFormat="1" applyFont="1" applyFill="1" applyBorder="1" applyAlignment="1">
      <alignment horizontal="center" wrapText="1"/>
    </xf>
    <xf numFmtId="49" fontId="2" fillId="2" borderId="2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wrapText="1"/>
    </xf>
    <xf numFmtId="169" fontId="1" fillId="2" borderId="0" xfId="7" applyNumberFormat="1" applyFont="1" applyFill="1" applyBorder="1" applyAlignment="1">
      <alignment horizontal="right"/>
    </xf>
    <xf numFmtId="0" fontId="3" fillId="2" borderId="3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vertical="top"/>
    </xf>
    <xf numFmtId="0" fontId="4" fillId="2" borderId="5" xfId="3" applyFont="1" applyFill="1" applyBorder="1" applyAlignment="1">
      <alignment vertical="top" wrapText="1"/>
    </xf>
    <xf numFmtId="174" fontId="4" fillId="2" borderId="5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horizontal="center" vertical="top"/>
    </xf>
    <xf numFmtId="0" fontId="4" fillId="2" borderId="11" xfId="3" applyFont="1" applyFill="1" applyBorder="1" applyAlignment="1">
      <alignment vertical="top" wrapText="1"/>
    </xf>
    <xf numFmtId="174" fontId="4" fillId="2" borderId="12" xfId="13" applyNumberFormat="1" applyFont="1" applyFill="1" applyBorder="1" applyAlignment="1">
      <alignment horizontal="right" vertical="center"/>
    </xf>
    <xf numFmtId="0" fontId="3" fillId="2" borderId="12" xfId="3" applyFont="1" applyFill="1" applyBorder="1" applyAlignment="1">
      <alignment horizontal="center" vertical="top"/>
    </xf>
    <xf numFmtId="0" fontId="3" fillId="2" borderId="11" xfId="3" applyFont="1" applyFill="1" applyBorder="1" applyAlignment="1">
      <alignment vertical="top" wrapText="1"/>
    </xf>
    <xf numFmtId="174" fontId="3" fillId="2" borderId="12" xfId="13" applyNumberFormat="1" applyFont="1" applyFill="1" applyBorder="1" applyAlignment="1">
      <alignment horizontal="right" vertical="center"/>
    </xf>
    <xf numFmtId="0" fontId="4" fillId="2" borderId="12" xfId="3" applyFont="1" applyFill="1" applyBorder="1" applyAlignment="1">
      <alignment wrapText="1"/>
    </xf>
    <xf numFmtId="0" fontId="3" fillId="2" borderId="12" xfId="3" applyFont="1" applyFill="1" applyBorder="1" applyAlignment="1">
      <alignment wrapText="1"/>
    </xf>
    <xf numFmtId="174" fontId="3" fillId="2" borderId="12" xfId="0" applyNumberFormat="1" applyFont="1" applyFill="1" applyBorder="1"/>
    <xf numFmtId="0" fontId="3" fillId="2" borderId="12" xfId="3" applyFont="1" applyFill="1" applyBorder="1" applyAlignment="1">
      <alignment vertical="top" wrapText="1"/>
    </xf>
    <xf numFmtId="0" fontId="3" fillId="2" borderId="13" xfId="3" applyFont="1" applyFill="1" applyBorder="1" applyAlignment="1">
      <alignment horizontal="center" vertical="top"/>
    </xf>
    <xf numFmtId="0" fontId="3" fillId="2" borderId="13" xfId="3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wrapText="1"/>
    </xf>
    <xf numFmtId="174" fontId="1" fillId="2" borderId="0" xfId="3" applyNumberFormat="1" applyFont="1" applyFill="1" applyBorder="1" applyAlignment="1"/>
    <xf numFmtId="165" fontId="1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/>
    </xf>
    <xf numFmtId="165" fontId="42" fillId="2" borderId="1" xfId="0" applyNumberFormat="1" applyFont="1" applyFill="1" applyBorder="1" applyAlignment="1">
      <alignment horizontal="right"/>
    </xf>
    <xf numFmtId="165" fontId="43" fillId="2" borderId="1" xfId="0" applyNumberFormat="1" applyFont="1" applyFill="1" applyBorder="1" applyAlignment="1">
      <alignment horizontal="right"/>
    </xf>
    <xf numFmtId="165" fontId="43" fillId="2" borderId="16" xfId="16" applyNumberFormat="1" applyFont="1" applyFill="1" applyBorder="1" applyAlignment="1">
      <alignment horizontal="right"/>
    </xf>
    <xf numFmtId="165" fontId="42" fillId="2" borderId="16" xfId="16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vertical="center" wrapText="1"/>
    </xf>
    <xf numFmtId="168" fontId="3" fillId="2" borderId="1" xfId="0" applyNumberFormat="1" applyFont="1" applyFill="1" applyBorder="1" applyAlignment="1">
      <alignment horizontal="center" wrapText="1"/>
    </xf>
    <xf numFmtId="0" fontId="2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top"/>
    </xf>
    <xf numFmtId="165" fontId="4" fillId="2" borderId="1" xfId="7" applyNumberFormat="1" applyFont="1" applyFill="1" applyBorder="1" applyAlignment="1">
      <alignment horizontal="right"/>
    </xf>
    <xf numFmtId="0" fontId="3" fillId="0" borderId="0" xfId="3" applyFont="1" applyFill="1"/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vertical="center"/>
    </xf>
    <xf numFmtId="165" fontId="3" fillId="2" borderId="1" xfId="0" applyNumberFormat="1" applyFont="1" applyFill="1" applyBorder="1"/>
    <xf numFmtId="0" fontId="45" fillId="2" borderId="0" xfId="0" applyFont="1" applyFill="1" applyAlignment="1">
      <alignment horizontal="right"/>
    </xf>
    <xf numFmtId="173" fontId="23" fillId="2" borderId="0" xfId="0" applyNumberFormat="1" applyFont="1" applyFill="1"/>
    <xf numFmtId="165" fontId="23" fillId="2" borderId="0" xfId="0" applyNumberFormat="1" applyFont="1" applyFill="1"/>
    <xf numFmtId="166" fontId="46" fillId="2" borderId="0" xfId="0" applyNumberFormat="1" applyFont="1" applyFill="1" applyAlignment="1">
      <alignment horizontal="right"/>
    </xf>
    <xf numFmtId="176" fontId="3" fillId="2" borderId="1" xfId="0" applyNumberFormat="1" applyFont="1" applyFill="1" applyBorder="1"/>
    <xf numFmtId="165" fontId="2" fillId="2" borderId="1" xfId="19" applyNumberFormat="1" applyFont="1" applyFill="1" applyBorder="1" applyAlignment="1">
      <alignment horizontal="right" vertical="top"/>
    </xf>
    <xf numFmtId="165" fontId="1" fillId="2" borderId="1" xfId="19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right"/>
    </xf>
    <xf numFmtId="165" fontId="1" fillId="2" borderId="16" xfId="12" applyNumberFormat="1" applyFont="1" applyFill="1" applyBorder="1" applyAlignment="1">
      <alignment horizontal="center"/>
    </xf>
    <xf numFmtId="165" fontId="1" fillId="2" borderId="23" xfId="14" applyNumberFormat="1" applyFont="1" applyFill="1" applyBorder="1" applyAlignment="1">
      <alignment horizontal="right"/>
    </xf>
    <xf numFmtId="165" fontId="1" fillId="2" borderId="1" xfId="16" applyNumberFormat="1" applyFont="1" applyFill="1" applyBorder="1" applyAlignment="1">
      <alignment horizontal="right"/>
    </xf>
    <xf numFmtId="165" fontId="1" fillId="2" borderId="1" xfId="12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165" fontId="47" fillId="2" borderId="1" xfId="19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166" fontId="1" fillId="2" borderId="0" xfId="1" applyNumberFormat="1" applyFont="1" applyFill="1"/>
    <xf numFmtId="0" fontId="1" fillId="2" borderId="1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vertical="top"/>
    </xf>
    <xf numFmtId="0" fontId="1" fillId="2" borderId="0" xfId="7" applyFont="1" applyFill="1" applyBorder="1"/>
    <xf numFmtId="0" fontId="1" fillId="2" borderId="0" xfId="7" applyFont="1" applyFill="1" applyAlignment="1">
      <alignment wrapText="1"/>
    </xf>
    <xf numFmtId="170" fontId="26" fillId="2" borderId="0" xfId="3" applyNumberFormat="1" applyFont="1" applyFill="1"/>
    <xf numFmtId="0" fontId="14" fillId="2" borderId="0" xfId="3" applyFont="1" applyFill="1"/>
    <xf numFmtId="49" fontId="1" fillId="2" borderId="3" xfId="5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65" fontId="6" fillId="4" borderId="1" xfId="1" applyNumberFormat="1" applyFont="1" applyFill="1" applyBorder="1" applyAlignment="1">
      <alignment vertical="top"/>
    </xf>
    <xf numFmtId="165" fontId="1" fillId="2" borderId="21" xfId="16" applyNumberFormat="1" applyFont="1" applyFill="1" applyBorder="1" applyAlignment="1">
      <alignment horizontal="right"/>
    </xf>
    <xf numFmtId="0" fontId="48" fillId="2" borderId="1" xfId="0" applyFont="1" applyFill="1" applyBorder="1" applyAlignment="1">
      <alignment horizontal="center" vertical="top"/>
    </xf>
    <xf numFmtId="0" fontId="49" fillId="2" borderId="0" xfId="0" applyFont="1" applyFill="1"/>
    <xf numFmtId="165" fontId="1" fillId="5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" fontId="2" fillId="2" borderId="0" xfId="2" applyNumberFormat="1" applyFont="1" applyFill="1" applyAlignment="1">
      <alignment horizontal="center" wrapText="1"/>
    </xf>
    <xf numFmtId="49" fontId="1" fillId="2" borderId="2" xfId="7" applyNumberFormat="1" applyFont="1" applyFill="1" applyBorder="1" applyAlignment="1">
      <alignment horizontal="center"/>
    </xf>
    <xf numFmtId="49" fontId="1" fillId="2" borderId="9" xfId="7" applyNumberFormat="1" applyFont="1" applyFill="1" applyBorder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7" fontId="1" fillId="2" borderId="1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center" wrapText="1"/>
    </xf>
    <xf numFmtId="49" fontId="1" fillId="2" borderId="1" xfId="7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 vertical="top"/>
    </xf>
    <xf numFmtId="165" fontId="1" fillId="2" borderId="1" xfId="14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1" xfId="0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vertical="top"/>
    </xf>
    <xf numFmtId="0" fontId="1" fillId="2" borderId="1" xfId="1" applyFont="1" applyFill="1" applyBorder="1" applyAlignment="1">
      <alignment wrapText="1"/>
    </xf>
    <xf numFmtId="165" fontId="1" fillId="5" borderId="16" xfId="16" applyNumberFormat="1" applyFont="1" applyFill="1" applyBorder="1" applyAlignment="1">
      <alignment horizontal="right"/>
    </xf>
    <xf numFmtId="165" fontId="1" fillId="5" borderId="23" xfId="14" applyNumberFormat="1" applyFont="1" applyFill="1" applyBorder="1" applyAlignment="1">
      <alignment horizontal="right"/>
    </xf>
    <xf numFmtId="165" fontId="3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vertical="top"/>
    </xf>
    <xf numFmtId="49" fontId="1" fillId="5" borderId="3" xfId="0" applyNumberFormat="1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5" fillId="5" borderId="0" xfId="0" applyFont="1" applyFill="1"/>
    <xf numFmtId="0" fontId="6" fillId="5" borderId="1" xfId="1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 wrapText="1"/>
    </xf>
    <xf numFmtId="165" fontId="6" fillId="5" borderId="1" xfId="0" applyNumberFormat="1" applyFont="1" applyFill="1" applyBorder="1" applyAlignment="1">
      <alignment horizontal="right" vertical="top"/>
    </xf>
    <xf numFmtId="0" fontId="6" fillId="5" borderId="0" xfId="0" applyFont="1" applyFill="1" applyAlignment="1">
      <alignment horizontal="center" vertical="top"/>
    </xf>
    <xf numFmtId="0" fontId="3" fillId="5" borderId="0" xfId="0" applyFont="1" applyFill="1"/>
    <xf numFmtId="0" fontId="6" fillId="5" borderId="1" xfId="0" applyFont="1" applyFill="1" applyBorder="1" applyAlignment="1">
      <alignment horizontal="left" vertical="top" wrapText="1"/>
    </xf>
    <xf numFmtId="165" fontId="6" fillId="5" borderId="1" xfId="1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7" borderId="16" xfId="16" applyFont="1" applyFill="1" applyBorder="1" applyAlignment="1">
      <alignment horizontal="center" vertical="top"/>
    </xf>
    <xf numFmtId="49" fontId="1" fillId="7" borderId="19" xfId="16" applyNumberFormat="1" applyFont="1" applyFill="1" applyBorder="1" applyAlignment="1">
      <alignment wrapText="1"/>
    </xf>
    <xf numFmtId="49" fontId="1" fillId="7" borderId="16" xfId="11" applyNumberFormat="1" applyFont="1" applyFill="1" applyBorder="1" applyAlignment="1">
      <alignment horizontal="center" wrapText="1"/>
    </xf>
    <xf numFmtId="49" fontId="1" fillId="7" borderId="16" xfId="11" applyNumberFormat="1" applyFont="1" applyFill="1" applyBorder="1" applyAlignment="1">
      <alignment horizontal="center"/>
    </xf>
    <xf numFmtId="49" fontId="1" fillId="7" borderId="17" xfId="6" applyNumberFormat="1" applyFont="1" applyFill="1" applyBorder="1" applyAlignment="1">
      <alignment horizontal="center"/>
    </xf>
    <xf numFmtId="49" fontId="1" fillId="7" borderId="18" xfId="16" applyNumberFormat="1" applyFont="1" applyFill="1" applyBorder="1" applyAlignment="1">
      <alignment horizontal="center"/>
    </xf>
    <xf numFmtId="49" fontId="1" fillId="7" borderId="19" xfId="16" applyNumberFormat="1" applyFont="1" applyFill="1" applyBorder="1" applyAlignment="1">
      <alignment horizontal="center"/>
    </xf>
    <xf numFmtId="49" fontId="1" fillId="7" borderId="16" xfId="16" applyNumberFormat="1" applyFont="1" applyFill="1" applyBorder="1" applyAlignment="1">
      <alignment horizontal="center"/>
    </xf>
    <xf numFmtId="165" fontId="1" fillId="7" borderId="17" xfId="16" applyNumberFormat="1" applyFont="1" applyFill="1" applyBorder="1" applyAlignment="1">
      <alignment horizontal="right"/>
    </xf>
    <xf numFmtId="165" fontId="1" fillId="7" borderId="1" xfId="0" applyNumberFormat="1" applyFont="1" applyFill="1" applyBorder="1" applyAlignment="1">
      <alignment horizontal="right"/>
    </xf>
    <xf numFmtId="171" fontId="8" fillId="7" borderId="0" xfId="16" applyNumberFormat="1" applyFont="1" applyFill="1"/>
    <xf numFmtId="0" fontId="8" fillId="7" borderId="0" xfId="16" applyFont="1" applyFill="1"/>
    <xf numFmtId="0" fontId="1" fillId="7" borderId="1" xfId="0" applyFont="1" applyFill="1" applyBorder="1" applyAlignment="1">
      <alignment horizontal="center" vertical="top"/>
    </xf>
    <xf numFmtId="49" fontId="1" fillId="7" borderId="3" xfId="5" applyNumberFormat="1" applyFont="1" applyFill="1" applyBorder="1" applyAlignment="1">
      <alignment horizontal="left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9" xfId="0" applyNumberFormat="1" applyFont="1" applyFill="1" applyBorder="1" applyAlignment="1">
      <alignment horizontal="center"/>
    </xf>
    <xf numFmtId="49" fontId="1" fillId="7" borderId="3" xfId="0" applyNumberFormat="1" applyFont="1" applyFill="1" applyBorder="1" applyAlignment="1">
      <alignment horizontal="center"/>
    </xf>
    <xf numFmtId="49" fontId="1" fillId="7" borderId="17" xfId="11" applyNumberFormat="1" applyFont="1" applyFill="1" applyBorder="1" applyAlignment="1">
      <alignment horizontal="center"/>
    </xf>
    <xf numFmtId="49" fontId="1" fillId="7" borderId="19" xfId="16" applyNumberFormat="1" applyFont="1" applyFill="1" applyBorder="1" applyAlignment="1">
      <alignment horizontal="center" wrapText="1"/>
    </xf>
    <xf numFmtId="165" fontId="1" fillId="7" borderId="16" xfId="16" applyNumberFormat="1" applyFont="1" applyFill="1" applyBorder="1" applyAlignment="1">
      <alignment horizontal="right"/>
    </xf>
    <xf numFmtId="165" fontId="3" fillId="2" borderId="0" xfId="19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 vertical="top"/>
    </xf>
    <xf numFmtId="165" fontId="3" fillId="2" borderId="1" xfId="19" applyNumberFormat="1" applyFont="1" applyFill="1" applyBorder="1" applyAlignment="1">
      <alignment horizontal="center" wrapText="1"/>
    </xf>
    <xf numFmtId="165" fontId="1" fillId="2" borderId="0" xfId="7" applyNumberFormat="1" applyFont="1" applyFill="1" applyAlignment="1">
      <alignment horizontal="right"/>
    </xf>
    <xf numFmtId="165" fontId="27" fillId="2" borderId="1" xfId="0" applyNumberFormat="1" applyFont="1" applyFill="1" applyBorder="1"/>
    <xf numFmtId="49" fontId="1" fillId="7" borderId="3" xfId="0" applyNumberFormat="1" applyFont="1" applyFill="1" applyBorder="1" applyAlignment="1">
      <alignment wrapText="1"/>
    </xf>
    <xf numFmtId="168" fontId="10" fillId="7" borderId="0" xfId="0" applyNumberFormat="1" applyFont="1" applyFill="1"/>
    <xf numFmtId="0" fontId="10" fillId="7" borderId="0" xfId="0" applyFont="1" applyFill="1"/>
    <xf numFmtId="0" fontId="8" fillId="7" borderId="0" xfId="0" applyFont="1" applyFill="1"/>
    <xf numFmtId="49" fontId="1" fillId="7" borderId="19" xfId="5" applyNumberFormat="1" applyFont="1" applyFill="1" applyBorder="1" applyAlignment="1">
      <alignment wrapText="1"/>
    </xf>
    <xf numFmtId="165" fontId="1" fillId="2" borderId="2" xfId="0" applyNumberFormat="1" applyFont="1" applyFill="1" applyBorder="1" applyAlignment="1">
      <alignment horizontal="right"/>
    </xf>
    <xf numFmtId="165" fontId="1" fillId="7" borderId="1" xfId="16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5" fontId="1" fillId="8" borderId="16" xfId="16" applyNumberFormat="1" applyFont="1" applyFill="1" applyBorder="1" applyAlignment="1">
      <alignment horizontal="right"/>
    </xf>
    <xf numFmtId="165" fontId="50" fillId="2" borderId="1" xfId="0" applyNumberFormat="1" applyFont="1" applyFill="1" applyBorder="1" applyAlignment="1">
      <alignment horizontal="right" vertical="top"/>
    </xf>
    <xf numFmtId="165" fontId="50" fillId="2" borderId="1" xfId="0" applyNumberFormat="1" applyFont="1" applyFill="1" applyBorder="1" applyAlignment="1">
      <alignment horizontal="right"/>
    </xf>
    <xf numFmtId="165" fontId="31" fillId="2" borderId="1" xfId="0" applyNumberFormat="1" applyFont="1" applyFill="1" applyBorder="1" applyAlignment="1">
      <alignment horizontal="right"/>
    </xf>
    <xf numFmtId="165" fontId="50" fillId="2" borderId="16" xfId="16" applyNumberFormat="1" applyFont="1" applyFill="1" applyBorder="1" applyAlignment="1">
      <alignment horizontal="right"/>
    </xf>
    <xf numFmtId="165" fontId="31" fillId="2" borderId="16" xfId="16" applyNumberFormat="1" applyFont="1" applyFill="1" applyBorder="1" applyAlignment="1">
      <alignment horizontal="right"/>
    </xf>
    <xf numFmtId="165" fontId="31" fillId="8" borderId="16" xfId="16" applyNumberFormat="1" applyFont="1" applyFill="1" applyBorder="1" applyAlignment="1">
      <alignment horizontal="right"/>
    </xf>
    <xf numFmtId="165" fontId="1" fillId="7" borderId="1" xfId="7" applyNumberFormat="1" applyFont="1" applyFill="1" applyBorder="1" applyAlignment="1">
      <alignment horizontal="right"/>
    </xf>
    <xf numFmtId="49" fontId="1" fillId="6" borderId="1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49" fontId="1" fillId="6" borderId="9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165" fontId="1" fillId="5" borderId="1" xfId="7" applyNumberFormat="1" applyFont="1" applyFill="1" applyBorder="1" applyAlignment="1">
      <alignment horizontal="right"/>
    </xf>
    <xf numFmtId="49" fontId="1" fillId="7" borderId="17" xfId="16" applyNumberFormat="1" applyFont="1" applyFill="1" applyBorder="1" applyAlignment="1">
      <alignment horizontal="center"/>
    </xf>
    <xf numFmtId="165" fontId="1" fillId="7" borderId="25" xfId="16" applyNumberFormat="1" applyFont="1" applyFill="1" applyBorder="1" applyAlignment="1">
      <alignment horizontal="right"/>
    </xf>
    <xf numFmtId="165" fontId="1" fillId="7" borderId="5" xfId="16" applyNumberFormat="1" applyFont="1" applyFill="1" applyBorder="1" applyAlignment="1">
      <alignment horizontal="right"/>
    </xf>
    <xf numFmtId="165" fontId="42" fillId="2" borderId="1" xfId="19" applyNumberFormat="1" applyFont="1" applyFill="1" applyBorder="1" applyAlignment="1">
      <alignment horizontal="right" vertical="top"/>
    </xf>
    <xf numFmtId="165" fontId="43" fillId="2" borderId="1" xfId="19" applyNumberFormat="1" applyFont="1" applyFill="1" applyBorder="1" applyAlignment="1">
      <alignment horizontal="right"/>
    </xf>
    <xf numFmtId="165" fontId="43" fillId="7" borderId="1" xfId="0" applyNumberFormat="1" applyFont="1" applyFill="1" applyBorder="1" applyAlignment="1">
      <alignment horizontal="right"/>
    </xf>
    <xf numFmtId="165" fontId="43" fillId="2" borderId="5" xfId="0" applyNumberFormat="1" applyFont="1" applyFill="1" applyBorder="1" applyAlignment="1">
      <alignment horizontal="right"/>
    </xf>
    <xf numFmtId="165" fontId="43" fillId="2" borderId="21" xfId="14" applyNumberFormat="1" applyFont="1" applyFill="1" applyBorder="1" applyAlignment="1">
      <alignment horizontal="right"/>
    </xf>
    <xf numFmtId="165" fontId="43" fillId="2" borderId="16" xfId="14" applyNumberFormat="1" applyFont="1" applyFill="1" applyBorder="1" applyAlignment="1">
      <alignment horizontal="right"/>
    </xf>
    <xf numFmtId="165" fontId="43" fillId="2" borderId="23" xfId="14" applyNumberFormat="1" applyFont="1" applyFill="1" applyBorder="1" applyAlignment="1">
      <alignment horizontal="right"/>
    </xf>
    <xf numFmtId="165" fontId="43" fillId="2" borderId="1" xfId="14" applyNumberFormat="1" applyFont="1" applyFill="1" applyBorder="1" applyAlignment="1">
      <alignment horizontal="right"/>
    </xf>
    <xf numFmtId="165" fontId="43" fillId="2" borderId="19" xfId="14" applyNumberFormat="1" applyFont="1" applyFill="1" applyBorder="1" applyAlignment="1">
      <alignment horizontal="right"/>
    </xf>
    <xf numFmtId="165" fontId="43" fillId="7" borderId="17" xfId="16" applyNumberFormat="1" applyFont="1" applyFill="1" applyBorder="1" applyAlignment="1">
      <alignment horizontal="right"/>
    </xf>
    <xf numFmtId="165" fontId="43" fillId="7" borderId="25" xfId="16" applyNumberFormat="1" applyFont="1" applyFill="1" applyBorder="1" applyAlignment="1">
      <alignment horizontal="right"/>
    </xf>
    <xf numFmtId="165" fontId="43" fillId="7" borderId="1" xfId="16" applyNumberFormat="1" applyFont="1" applyFill="1" applyBorder="1" applyAlignment="1">
      <alignment horizontal="right"/>
    </xf>
    <xf numFmtId="165" fontId="43" fillId="2" borderId="21" xfId="16" applyNumberFormat="1" applyFont="1" applyFill="1" applyBorder="1" applyAlignment="1">
      <alignment horizontal="right"/>
    </xf>
    <xf numFmtId="165" fontId="43" fillId="7" borderId="16" xfId="16" applyNumberFormat="1" applyFont="1" applyFill="1" applyBorder="1" applyAlignment="1">
      <alignment horizontal="right"/>
    </xf>
    <xf numFmtId="165" fontId="43" fillId="2" borderId="23" xfId="16" applyNumberFormat="1" applyFont="1" applyFill="1" applyBorder="1" applyAlignment="1">
      <alignment horizontal="right"/>
    </xf>
    <xf numFmtId="165" fontId="43" fillId="2" borderId="16" xfId="5" applyNumberFormat="1" applyFont="1" applyFill="1" applyBorder="1" applyAlignment="1">
      <alignment horizontal="right"/>
    </xf>
    <xf numFmtId="165" fontId="43" fillId="5" borderId="1" xfId="0" applyNumberFormat="1" applyFont="1" applyFill="1" applyBorder="1" applyAlignment="1">
      <alignment horizontal="right"/>
    </xf>
    <xf numFmtId="165" fontId="43" fillId="2" borderId="1" xfId="16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justify" vertical="top" wrapText="1"/>
    </xf>
    <xf numFmtId="0" fontId="3" fillId="7" borderId="0" xfId="0" applyFont="1" applyFill="1" applyBorder="1"/>
    <xf numFmtId="0" fontId="23" fillId="7" borderId="0" xfId="0" applyFont="1" applyFill="1"/>
    <xf numFmtId="0" fontId="3" fillId="7" borderId="1" xfId="0" applyFont="1" applyFill="1" applyBorder="1" applyAlignment="1">
      <alignment horizontal="center" vertical="center"/>
    </xf>
    <xf numFmtId="0" fontId="3" fillId="7" borderId="0" xfId="0" applyFont="1" applyFill="1"/>
    <xf numFmtId="0" fontId="6" fillId="7" borderId="1" xfId="0" applyFont="1" applyFill="1" applyBorder="1" applyAlignment="1">
      <alignment vertical="top" wrapText="1"/>
    </xf>
    <xf numFmtId="165" fontId="6" fillId="7" borderId="1" xfId="0" applyNumberFormat="1" applyFont="1" applyFill="1" applyBorder="1" applyAlignment="1">
      <alignment horizontal="right" vertical="top"/>
    </xf>
    <xf numFmtId="49" fontId="1" fillId="6" borderId="19" xfId="11" applyNumberFormat="1" applyFont="1" applyFill="1" applyBorder="1" applyAlignment="1">
      <alignment wrapText="1"/>
    </xf>
    <xf numFmtId="49" fontId="1" fillId="6" borderId="16" xfId="11" applyNumberFormat="1" applyFont="1" applyFill="1" applyBorder="1" applyAlignment="1">
      <alignment horizontal="center" wrapText="1"/>
    </xf>
    <xf numFmtId="49" fontId="1" fillId="6" borderId="16" xfId="11" applyNumberFormat="1" applyFont="1" applyFill="1" applyBorder="1" applyAlignment="1">
      <alignment horizontal="center"/>
    </xf>
    <xf numFmtId="49" fontId="1" fillId="6" borderId="17" xfId="11" applyNumberFormat="1" applyFont="1" applyFill="1" applyBorder="1" applyAlignment="1">
      <alignment horizontal="center"/>
    </xf>
    <xf numFmtId="49" fontId="1" fillId="6" borderId="18" xfId="16" applyNumberFormat="1" applyFont="1" applyFill="1" applyBorder="1" applyAlignment="1">
      <alignment horizontal="center"/>
    </xf>
    <xf numFmtId="49" fontId="1" fillId="6" borderId="19" xfId="16" applyNumberFormat="1" applyFont="1" applyFill="1" applyBorder="1" applyAlignment="1">
      <alignment horizontal="center" wrapText="1"/>
    </xf>
    <xf numFmtId="49" fontId="1" fillId="6" borderId="16" xfId="16" applyNumberFormat="1" applyFont="1" applyFill="1" applyBorder="1" applyAlignment="1">
      <alignment horizontal="center"/>
    </xf>
    <xf numFmtId="165" fontId="43" fillId="6" borderId="17" xfId="16" applyNumberFormat="1" applyFont="1" applyFill="1" applyBorder="1" applyAlignment="1">
      <alignment horizontal="right"/>
    </xf>
    <xf numFmtId="165" fontId="1" fillId="6" borderId="19" xfId="16" applyNumberFormat="1" applyFont="1" applyFill="1" applyBorder="1" applyAlignment="1">
      <alignment horizontal="right"/>
    </xf>
    <xf numFmtId="165" fontId="31" fillId="2" borderId="17" xfId="16" applyNumberFormat="1" applyFont="1" applyFill="1" applyBorder="1" applyAlignment="1">
      <alignment horizontal="right"/>
    </xf>
    <xf numFmtId="165" fontId="1" fillId="6" borderId="1" xfId="7" applyNumberFormat="1" applyFont="1" applyFill="1" applyBorder="1" applyAlignment="1">
      <alignment horizontal="right"/>
    </xf>
    <xf numFmtId="49" fontId="1" fillId="6" borderId="19" xfId="16" applyNumberFormat="1" applyFont="1" applyFill="1" applyBorder="1" applyAlignment="1">
      <alignment horizontal="center"/>
    </xf>
    <xf numFmtId="165" fontId="31" fillId="6" borderId="17" xfId="16" applyNumberFormat="1" applyFont="1" applyFill="1" applyBorder="1" applyAlignment="1">
      <alignment horizontal="right"/>
    </xf>
    <xf numFmtId="165" fontId="1" fillId="6" borderId="16" xfId="16" applyNumberFormat="1" applyFont="1" applyFill="1" applyBorder="1" applyAlignment="1">
      <alignment horizontal="right"/>
    </xf>
    <xf numFmtId="165" fontId="1" fillId="6" borderId="19" xfId="14" applyNumberFormat="1" applyFont="1" applyFill="1" applyBorder="1" applyAlignment="1">
      <alignment horizontal="right"/>
    </xf>
    <xf numFmtId="49" fontId="1" fillId="6" borderId="19" xfId="16" applyNumberFormat="1" applyFont="1" applyFill="1" applyBorder="1" applyAlignment="1">
      <alignment wrapText="1"/>
    </xf>
    <xf numFmtId="165" fontId="43" fillId="6" borderId="16" xfId="16" applyNumberFormat="1" applyFont="1" applyFill="1" applyBorder="1" applyAlignment="1">
      <alignment horizontal="right"/>
    </xf>
    <xf numFmtId="49" fontId="1" fillId="6" borderId="19" xfId="5" applyNumberFormat="1" applyFont="1" applyFill="1" applyBorder="1" applyAlignment="1">
      <alignment wrapText="1"/>
    </xf>
    <xf numFmtId="165" fontId="1" fillId="9" borderId="1" xfId="0" applyNumberFormat="1" applyFont="1" applyFill="1" applyBorder="1" applyAlignment="1">
      <alignment horizontal="right"/>
    </xf>
    <xf numFmtId="165" fontId="1" fillId="9" borderId="13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wrapText="1"/>
    </xf>
    <xf numFmtId="49" fontId="1" fillId="6" borderId="1" xfId="0" applyNumberFormat="1" applyFont="1" applyFill="1" applyBorder="1" applyAlignment="1">
      <alignment horizontal="center" wrapText="1"/>
    </xf>
    <xf numFmtId="165" fontId="43" fillId="6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177" fontId="11" fillId="2" borderId="1" xfId="0" applyNumberFormat="1" applyFont="1" applyFill="1" applyBorder="1"/>
    <xf numFmtId="0" fontId="51" fillId="2" borderId="0" xfId="3" applyFont="1" applyFill="1"/>
    <xf numFmtId="0" fontId="1" fillId="4" borderId="1" xfId="0" applyFont="1" applyFill="1" applyBorder="1" applyAlignment="1">
      <alignment horizontal="center" vertical="top"/>
    </xf>
    <xf numFmtId="49" fontId="1" fillId="4" borderId="3" xfId="5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2" xfId="6" applyNumberFormat="1" applyFont="1" applyFill="1" applyBorder="1" applyAlignment="1">
      <alignment horizontal="center"/>
    </xf>
    <xf numFmtId="49" fontId="1" fillId="4" borderId="9" xfId="6" applyNumberFormat="1" applyFont="1" applyFill="1" applyBorder="1" applyAlignment="1">
      <alignment horizontal="center"/>
    </xf>
    <xf numFmtId="49" fontId="1" fillId="4" borderId="3" xfId="6" applyNumberFormat="1" applyFont="1" applyFill="1" applyBorder="1" applyAlignment="1">
      <alignment horizontal="center"/>
    </xf>
    <xf numFmtId="49" fontId="1" fillId="4" borderId="1" xfId="6" applyNumberFormat="1" applyFont="1" applyFill="1" applyBorder="1" applyAlignment="1">
      <alignment horizontal="center"/>
    </xf>
    <xf numFmtId="165" fontId="43" fillId="4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0" fontId="8" fillId="4" borderId="0" xfId="0" applyFont="1" applyFill="1"/>
    <xf numFmtId="49" fontId="1" fillId="4" borderId="3" xfId="0" applyNumberFormat="1" applyFont="1" applyFill="1" applyBorder="1" applyAlignment="1">
      <alignment wrapText="1"/>
    </xf>
    <xf numFmtId="49" fontId="1" fillId="4" borderId="2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" xfId="7" applyFont="1" applyFill="1" applyBorder="1" applyAlignment="1">
      <alignment horizontal="center" vertical="top"/>
    </xf>
    <xf numFmtId="49" fontId="1" fillId="4" borderId="19" xfId="11" applyNumberFormat="1" applyFont="1" applyFill="1" applyBorder="1" applyAlignment="1">
      <alignment wrapText="1"/>
    </xf>
    <xf numFmtId="165" fontId="1" fillId="4" borderId="1" xfId="7" applyNumberFormat="1" applyFont="1" applyFill="1" applyBorder="1" applyAlignment="1">
      <alignment horizontal="right"/>
    </xf>
    <xf numFmtId="0" fontId="8" fillId="4" borderId="0" xfId="7" applyFont="1" applyFill="1"/>
    <xf numFmtId="0" fontId="1" fillId="4" borderId="16" xfId="16" applyFont="1" applyFill="1" applyBorder="1" applyAlignment="1">
      <alignment horizontal="center" vertical="top"/>
    </xf>
    <xf numFmtId="49" fontId="1" fillId="4" borderId="16" xfId="11" applyNumberFormat="1" applyFont="1" applyFill="1" applyBorder="1" applyAlignment="1">
      <alignment horizontal="center" wrapText="1"/>
    </xf>
    <xf numFmtId="49" fontId="1" fillId="4" borderId="16" xfId="11" applyNumberFormat="1" applyFont="1" applyFill="1" applyBorder="1" applyAlignment="1">
      <alignment horizontal="center"/>
    </xf>
    <xf numFmtId="49" fontId="1" fillId="4" borderId="17" xfId="11" applyNumberFormat="1" applyFont="1" applyFill="1" applyBorder="1" applyAlignment="1">
      <alignment horizontal="center"/>
    </xf>
    <xf numFmtId="49" fontId="1" fillId="4" borderId="18" xfId="16" applyNumberFormat="1" applyFont="1" applyFill="1" applyBorder="1" applyAlignment="1">
      <alignment horizontal="center"/>
    </xf>
    <xf numFmtId="49" fontId="1" fillId="4" borderId="19" xfId="16" applyNumberFormat="1" applyFont="1" applyFill="1" applyBorder="1" applyAlignment="1">
      <alignment horizontal="center" wrapText="1"/>
    </xf>
    <xf numFmtId="49" fontId="1" fillId="4" borderId="16" xfId="16" applyNumberFormat="1" applyFont="1" applyFill="1" applyBorder="1" applyAlignment="1">
      <alignment horizontal="center"/>
    </xf>
    <xf numFmtId="165" fontId="43" fillId="4" borderId="17" xfId="16" applyNumberFormat="1" applyFont="1" applyFill="1" applyBorder="1" applyAlignment="1">
      <alignment horizontal="right"/>
    </xf>
    <xf numFmtId="165" fontId="1" fillId="4" borderId="19" xfId="16" applyNumberFormat="1" applyFont="1" applyFill="1" applyBorder="1" applyAlignment="1">
      <alignment horizontal="right"/>
    </xf>
    <xf numFmtId="171" fontId="8" fillId="4" borderId="0" xfId="16" applyNumberFormat="1" applyFont="1" applyFill="1"/>
    <xf numFmtId="0" fontId="8" fillId="4" borderId="0" xfId="16" applyFont="1" applyFill="1"/>
    <xf numFmtId="165" fontId="31" fillId="4" borderId="17" xfId="16" applyNumberFormat="1" applyFont="1" applyFill="1" applyBorder="1" applyAlignment="1">
      <alignment horizontal="right"/>
    </xf>
    <xf numFmtId="165" fontId="1" fillId="4" borderId="16" xfId="16" applyNumberFormat="1" applyFont="1" applyFill="1" applyBorder="1" applyAlignment="1">
      <alignment horizontal="right"/>
    </xf>
    <xf numFmtId="168" fontId="15" fillId="7" borderId="0" xfId="0" applyNumberFormat="1" applyFont="1" applyFill="1"/>
    <xf numFmtId="0" fontId="15" fillId="7" borderId="0" xfId="0" applyFont="1" applyFill="1"/>
    <xf numFmtId="0" fontId="3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 wrapText="1"/>
    </xf>
    <xf numFmtId="0" fontId="23" fillId="2" borderId="0" xfId="0" applyFont="1" applyFill="1" applyAlignment="1"/>
    <xf numFmtId="0" fontId="2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justify" wrapText="1"/>
    </xf>
    <xf numFmtId="169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left" wrapText="1"/>
    </xf>
    <xf numFmtId="0" fontId="2" fillId="0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top" wrapText="1"/>
    </xf>
    <xf numFmtId="0" fontId="3" fillId="0" borderId="0" xfId="3" applyFont="1" applyFill="1" applyAlignment="1">
      <alignment horizontal="right" wrapText="1"/>
    </xf>
    <xf numFmtId="0" fontId="1" fillId="0" borderId="0" xfId="7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7" applyFont="1" applyFill="1" applyBorder="1" applyAlignment="1">
      <alignment horizontal="left"/>
    </xf>
    <xf numFmtId="0" fontId="0" fillId="0" borderId="0" xfId="0" applyAlignment="1"/>
    <xf numFmtId="0" fontId="1" fillId="0" borderId="0" xfId="7" applyFont="1" applyFill="1" applyAlignment="1">
      <alignment horizontal="left"/>
    </xf>
    <xf numFmtId="0" fontId="2" fillId="0" borderId="0" xfId="3" applyFont="1" applyFill="1" applyAlignment="1">
      <alignment horizontal="center"/>
    </xf>
    <xf numFmtId="0" fontId="2" fillId="2" borderId="0" xfId="3" applyFont="1" applyFill="1" applyAlignment="1">
      <alignment horizontal="center"/>
    </xf>
    <xf numFmtId="0" fontId="7" fillId="2" borderId="0" xfId="7" applyFont="1" applyFill="1" applyAlignment="1">
      <alignment horizontal="center"/>
    </xf>
    <xf numFmtId="169" fontId="1" fillId="2" borderId="1" xfId="1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1" fontId="2" fillId="2" borderId="0" xfId="2" applyNumberFormat="1" applyFont="1" applyFill="1" applyAlignment="1">
      <alignment horizontal="center" wrapText="1"/>
    </xf>
    <xf numFmtId="49" fontId="1" fillId="2" borderId="6" xfId="7" applyNumberFormat="1" applyFont="1" applyFill="1" applyBorder="1" applyAlignment="1">
      <alignment horizontal="center" vertical="center"/>
    </xf>
    <xf numFmtId="49" fontId="1" fillId="2" borderId="7" xfId="7" applyNumberFormat="1" applyFont="1" applyFill="1" applyBorder="1" applyAlignment="1">
      <alignment horizontal="center" vertical="center"/>
    </xf>
    <xf numFmtId="49" fontId="1" fillId="2" borderId="8" xfId="7" applyNumberFormat="1" applyFont="1" applyFill="1" applyBorder="1" applyAlignment="1">
      <alignment horizontal="center" vertical="center"/>
    </xf>
    <xf numFmtId="49" fontId="1" fillId="2" borderId="2" xfId="7" applyNumberFormat="1" applyFont="1" applyFill="1" applyBorder="1" applyAlignment="1">
      <alignment horizontal="center"/>
    </xf>
    <xf numFmtId="49" fontId="1" fillId="2" borderId="9" xfId="7" applyNumberFormat="1" applyFont="1" applyFill="1" applyBorder="1" applyAlignment="1">
      <alignment horizontal="center"/>
    </xf>
    <xf numFmtId="49" fontId="1" fillId="2" borderId="3" xfId="7" applyNumberFormat="1" applyFont="1" applyFill="1" applyBorder="1" applyAlignment="1">
      <alignment horizontal="center"/>
    </xf>
    <xf numFmtId="167" fontId="1" fillId="2" borderId="1" xfId="7" applyNumberFormat="1" applyFont="1" applyFill="1" applyBorder="1" applyAlignment="1">
      <alignment horizontal="center"/>
    </xf>
    <xf numFmtId="49" fontId="1" fillId="2" borderId="1" xfId="7" applyNumberFormat="1" applyFont="1" applyFill="1" applyBorder="1" applyAlignment="1">
      <alignment horizontal="center" vertical="center" wrapText="1"/>
    </xf>
    <xf numFmtId="49" fontId="1" fillId="2" borderId="1" xfId="7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168" fontId="3" fillId="2" borderId="6" xfId="0" applyNumberFormat="1" applyFont="1" applyFill="1" applyBorder="1" applyAlignment="1">
      <alignment horizontal="center" vertical="center" wrapText="1"/>
    </xf>
    <xf numFmtId="49" fontId="43" fillId="2" borderId="5" xfId="0" applyNumberFormat="1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 wrapText="1"/>
    </xf>
    <xf numFmtId="0" fontId="18" fillId="2" borderId="0" xfId="7" applyFont="1" applyFill="1" applyAlignment="1">
      <alignment horizontal="center" wrapText="1"/>
    </xf>
    <xf numFmtId="167" fontId="3" fillId="0" borderId="2" xfId="7" applyNumberFormat="1" applyFont="1" applyFill="1" applyBorder="1" applyAlignment="1">
      <alignment horizontal="center"/>
    </xf>
    <xf numFmtId="167" fontId="3" fillId="0" borderId="3" xfId="7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67" fontId="3" fillId="0" borderId="1" xfId="7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7" applyFont="1" applyFill="1" applyAlignment="1">
      <alignment horizontal="center" wrapText="1"/>
    </xf>
    <xf numFmtId="0" fontId="1" fillId="0" borderId="2" xfId="7" applyFont="1" applyFill="1" applyBorder="1" applyAlignment="1">
      <alignment horizontal="center" vertical="center"/>
    </xf>
    <xf numFmtId="0" fontId="18" fillId="0" borderId="9" xfId="7" applyFont="1" applyFill="1" applyBorder="1" applyAlignment="1">
      <alignment horizontal="center"/>
    </xf>
    <xf numFmtId="0" fontId="18" fillId="0" borderId="3" xfId="7" applyFont="1" applyFill="1" applyBorder="1" applyAlignment="1">
      <alignment horizontal="center"/>
    </xf>
    <xf numFmtId="0" fontId="2" fillId="0" borderId="2" xfId="7" applyFont="1" applyFill="1" applyBorder="1" applyAlignment="1"/>
    <xf numFmtId="0" fontId="18" fillId="0" borderId="9" xfId="7" applyFont="1" applyFill="1" applyBorder="1" applyAlignment="1"/>
    <xf numFmtId="0" fontId="18" fillId="0" borderId="3" xfId="7" applyFont="1" applyFill="1" applyBorder="1" applyAlignment="1"/>
    <xf numFmtId="0" fontId="1" fillId="0" borderId="9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wrapText="1"/>
    </xf>
    <xf numFmtId="0" fontId="1" fillId="0" borderId="1" xfId="3" applyFont="1" applyBorder="1" applyAlignment="1">
      <alignment horizontal="center" vertical="justify"/>
    </xf>
    <xf numFmtId="0" fontId="2" fillId="0" borderId="0" xfId="3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3" applyFont="1" applyAlignment="1">
      <alignment horizontal="center" wrapText="1"/>
    </xf>
    <xf numFmtId="0" fontId="17" fillId="0" borderId="0" xfId="0" applyFont="1" applyAlignment="1">
      <alignment wrapText="1"/>
    </xf>
    <xf numFmtId="0" fontId="1" fillId="0" borderId="0" xfId="3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2" xfId="3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0" xfId="3" applyFont="1" applyAlignment="1">
      <alignment wrapText="1"/>
    </xf>
    <xf numFmtId="0" fontId="18" fillId="0" borderId="0" xfId="0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/>
    <xf numFmtId="0" fontId="3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5" xfId="3" applyFont="1" applyBorder="1" applyAlignment="1">
      <alignment horizontal="center" vertical="justify"/>
    </xf>
    <xf numFmtId="0" fontId="1" fillId="0" borderId="12" xfId="3" applyFont="1" applyBorder="1" applyAlignment="1">
      <alignment horizontal="center" vertical="justify"/>
    </xf>
    <xf numFmtId="0" fontId="1" fillId="0" borderId="13" xfId="3" applyFont="1" applyBorder="1" applyAlignment="1">
      <alignment horizontal="center" vertical="justify"/>
    </xf>
    <xf numFmtId="0" fontId="17" fillId="0" borderId="0" xfId="0" applyFont="1" applyAlignment="1">
      <alignment horizontal="center" wrapText="1"/>
    </xf>
    <xf numFmtId="0" fontId="1" fillId="0" borderId="5" xfId="3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20">
    <cellStyle name="Excel Built-in Normal" xfId="5"/>
    <cellStyle name="Excel Built-in Normal 1" xfId="11"/>
    <cellStyle name="Excel Built-in Normal 2" xfId="14"/>
    <cellStyle name="Excel Built-in Normal 3" xfId="16"/>
    <cellStyle name="Обычный" xfId="0" builtinId="0"/>
    <cellStyle name="Обычный 2" xfId="7"/>
    <cellStyle name="Обычный 2 2" xfId="8"/>
    <cellStyle name="Обычный 2 2 2" xfId="4"/>
    <cellStyle name="Обычный 2 2 3" xfId="18"/>
    <cellStyle name="Обычный 3" xfId="15"/>
    <cellStyle name="Обычный 3 2" xfId="17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" xfId="19" builtin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FFFFCC"/>
      <color rgb="FF8A0000"/>
      <color rgb="FF0000FF"/>
      <color rgb="FF99FF99"/>
      <color rgb="FFCCECFF"/>
      <color rgb="FFFFCC00"/>
      <color rgb="FFFFCCFF"/>
      <color rgb="FF66FFFF"/>
      <color rgb="FFCC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H225"/>
  <sheetViews>
    <sheetView zoomScale="80" zoomScaleNormal="80" workbookViewId="0">
      <selection activeCell="C2" sqref="C2"/>
    </sheetView>
  </sheetViews>
  <sheetFormatPr defaultColWidth="8.85546875" defaultRowHeight="15"/>
  <cols>
    <col min="1" max="1" width="19.140625" style="499" customWidth="1"/>
    <col min="2" max="2" width="27.5703125" style="499" customWidth="1"/>
    <col min="3" max="3" width="65.28515625" style="496" customWidth="1"/>
    <col min="4" max="16384" width="8.85546875" style="193"/>
  </cols>
  <sheetData>
    <row r="1" spans="1:4" s="555" customFormat="1" ht="18.75">
      <c r="A1" s="193"/>
      <c r="B1" s="193"/>
      <c r="C1" s="444" t="s">
        <v>408</v>
      </c>
    </row>
    <row r="2" spans="1:4" s="555" customFormat="1" ht="18.75">
      <c r="A2" s="193"/>
      <c r="B2" s="193"/>
      <c r="C2" s="444" t="s">
        <v>1028</v>
      </c>
    </row>
    <row r="4" spans="1:4" ht="18.75">
      <c r="C4" s="495" t="s">
        <v>408</v>
      </c>
    </row>
    <row r="5" spans="1:4" ht="18.75">
      <c r="C5" s="495" t="s">
        <v>917</v>
      </c>
    </row>
    <row r="6" spans="1:4" ht="18.75">
      <c r="C6" s="495"/>
    </row>
    <row r="7" spans="1:4" ht="62.25" customHeight="1">
      <c r="A7" s="927" t="s">
        <v>732</v>
      </c>
      <c r="B7" s="928"/>
      <c r="C7" s="928"/>
    </row>
    <row r="9" spans="1:4">
      <c r="A9" s="929"/>
      <c r="B9" s="929"/>
    </row>
    <row r="10" spans="1:4" ht="36" customHeight="1">
      <c r="A10" s="932" t="s">
        <v>0</v>
      </c>
      <c r="B10" s="933"/>
      <c r="C10" s="930" t="s">
        <v>364</v>
      </c>
    </row>
    <row r="11" spans="1:4" ht="225">
      <c r="A11" s="201" t="s">
        <v>676</v>
      </c>
      <c r="B11" s="201" t="s">
        <v>677</v>
      </c>
      <c r="C11" s="931"/>
    </row>
    <row r="12" spans="1:4" ht="18.75">
      <c r="A12" s="201">
        <v>1</v>
      </c>
      <c r="B12" s="201">
        <v>2</v>
      </c>
      <c r="C12" s="196">
        <v>3</v>
      </c>
    </row>
    <row r="13" spans="1:4" ht="54" customHeight="1">
      <c r="A13" s="491">
        <v>804</v>
      </c>
      <c r="B13" s="201"/>
      <c r="C13" s="203" t="s">
        <v>695</v>
      </c>
    </row>
    <row r="14" spans="1:4" ht="93.75" customHeight="1">
      <c r="A14" s="201">
        <v>804</v>
      </c>
      <c r="B14" s="201" t="s">
        <v>634</v>
      </c>
      <c r="C14" s="198" t="s">
        <v>841</v>
      </c>
      <c r="D14" s="571"/>
    </row>
    <row r="15" spans="1:4" ht="23.25" customHeight="1">
      <c r="A15" s="491">
        <v>816</v>
      </c>
      <c r="B15" s="491"/>
      <c r="C15" s="203" t="s">
        <v>696</v>
      </c>
    </row>
    <row r="16" spans="1:4" ht="103.5" customHeight="1">
      <c r="A16" s="201">
        <v>816</v>
      </c>
      <c r="B16" s="201" t="s">
        <v>634</v>
      </c>
      <c r="C16" s="198" t="s">
        <v>841</v>
      </c>
    </row>
    <row r="17" spans="1:3" ht="56.25">
      <c r="A17" s="491">
        <v>819</v>
      </c>
      <c r="B17" s="201"/>
      <c r="C17" s="203" t="s">
        <v>697</v>
      </c>
    </row>
    <row r="18" spans="1:3" ht="93.75" customHeight="1">
      <c r="A18" s="201">
        <v>819</v>
      </c>
      <c r="B18" s="201" t="s">
        <v>634</v>
      </c>
      <c r="C18" s="198" t="s">
        <v>841</v>
      </c>
    </row>
    <row r="19" spans="1:3" ht="37.5">
      <c r="A19" s="491">
        <v>821</v>
      </c>
      <c r="B19" s="201"/>
      <c r="C19" s="203" t="s">
        <v>698</v>
      </c>
    </row>
    <row r="20" spans="1:3" ht="94.5" customHeight="1">
      <c r="A20" s="201">
        <v>821</v>
      </c>
      <c r="B20" s="201" t="s">
        <v>634</v>
      </c>
      <c r="C20" s="198" t="s">
        <v>841</v>
      </c>
    </row>
    <row r="21" spans="1:3" ht="35.25" customHeight="1">
      <c r="A21" s="491">
        <v>828</v>
      </c>
      <c r="B21" s="201"/>
      <c r="C21" s="203" t="s">
        <v>699</v>
      </c>
    </row>
    <row r="22" spans="1:3" ht="97.5" customHeight="1">
      <c r="A22" s="201">
        <v>828</v>
      </c>
      <c r="B22" s="201" t="s">
        <v>634</v>
      </c>
      <c r="C22" s="198" t="s">
        <v>841</v>
      </c>
    </row>
    <row r="23" spans="1:3" ht="37.5">
      <c r="A23" s="492">
        <v>830</v>
      </c>
      <c r="B23" s="201"/>
      <c r="C23" s="203" t="s">
        <v>700</v>
      </c>
    </row>
    <row r="24" spans="1:3" ht="99" customHeight="1">
      <c r="A24" s="201">
        <v>830</v>
      </c>
      <c r="B24" s="201" t="s">
        <v>634</v>
      </c>
      <c r="C24" s="198" t="s">
        <v>841</v>
      </c>
    </row>
    <row r="25" spans="1:3" ht="18.75">
      <c r="A25" s="492">
        <v>833</v>
      </c>
      <c r="B25" s="201"/>
      <c r="C25" s="203" t="s">
        <v>701</v>
      </c>
    </row>
    <row r="26" spans="1:3" ht="94.5" customHeight="1">
      <c r="A26" s="201">
        <v>833</v>
      </c>
      <c r="B26" s="201" t="s">
        <v>634</v>
      </c>
      <c r="C26" s="198" t="s">
        <v>841</v>
      </c>
    </row>
    <row r="27" spans="1:3" ht="37.5">
      <c r="A27" s="491">
        <v>835</v>
      </c>
      <c r="B27" s="201"/>
      <c r="C27" s="203" t="s">
        <v>702</v>
      </c>
    </row>
    <row r="28" spans="1:3" ht="94.5" customHeight="1">
      <c r="A28" s="201">
        <v>835</v>
      </c>
      <c r="B28" s="201" t="s">
        <v>634</v>
      </c>
      <c r="C28" s="198" t="s">
        <v>841</v>
      </c>
    </row>
    <row r="29" spans="1:3" ht="37.5">
      <c r="A29" s="492">
        <v>836</v>
      </c>
      <c r="B29" s="201"/>
      <c r="C29" s="203" t="s">
        <v>703</v>
      </c>
    </row>
    <row r="30" spans="1:3" ht="112.5" customHeight="1">
      <c r="A30" s="201">
        <v>836</v>
      </c>
      <c r="B30" s="201" t="s">
        <v>704</v>
      </c>
      <c r="C30" s="198" t="s">
        <v>848</v>
      </c>
    </row>
    <row r="31" spans="1:3" ht="168.75">
      <c r="A31" s="201">
        <v>836</v>
      </c>
      <c r="B31" s="201" t="s">
        <v>705</v>
      </c>
      <c r="C31" s="198" t="s">
        <v>849</v>
      </c>
    </row>
    <row r="32" spans="1:3" ht="113.25" customHeight="1">
      <c r="A32" s="201">
        <v>836</v>
      </c>
      <c r="B32" s="201" t="s">
        <v>706</v>
      </c>
      <c r="C32" s="198" t="s">
        <v>850</v>
      </c>
    </row>
    <row r="33" spans="1:3" ht="129" customHeight="1">
      <c r="A33" s="201">
        <v>836</v>
      </c>
      <c r="B33" s="201" t="s">
        <v>707</v>
      </c>
      <c r="C33" s="198" t="s">
        <v>851</v>
      </c>
    </row>
    <row r="34" spans="1:3" ht="117" customHeight="1">
      <c r="A34" s="201">
        <v>836</v>
      </c>
      <c r="B34" s="201" t="s">
        <v>708</v>
      </c>
      <c r="C34" s="198" t="s">
        <v>852</v>
      </c>
    </row>
    <row r="35" spans="1:3" ht="112.5" customHeight="1">
      <c r="A35" s="201">
        <v>836</v>
      </c>
      <c r="B35" s="201" t="s">
        <v>709</v>
      </c>
      <c r="C35" s="198" t="s">
        <v>853</v>
      </c>
    </row>
    <row r="36" spans="1:3" ht="112.5" customHeight="1">
      <c r="A36" s="201">
        <v>836</v>
      </c>
      <c r="B36" s="201" t="s">
        <v>710</v>
      </c>
      <c r="C36" s="198" t="s">
        <v>854</v>
      </c>
    </row>
    <row r="37" spans="1:3" ht="110.25" customHeight="1">
      <c r="A37" s="201">
        <v>836</v>
      </c>
      <c r="B37" s="201" t="s">
        <v>712</v>
      </c>
      <c r="C37" s="198" t="s">
        <v>856</v>
      </c>
    </row>
    <row r="38" spans="1:3" ht="132" customHeight="1">
      <c r="A38" s="201">
        <v>836</v>
      </c>
      <c r="B38" s="201" t="s">
        <v>713</v>
      </c>
      <c r="C38" s="229" t="s">
        <v>857</v>
      </c>
    </row>
    <row r="39" spans="1:3" ht="171.75" customHeight="1">
      <c r="A39" s="201">
        <v>836</v>
      </c>
      <c r="B39" s="201" t="s">
        <v>714</v>
      </c>
      <c r="C39" s="198" t="s">
        <v>858</v>
      </c>
    </row>
    <row r="40" spans="1:3" ht="131.25">
      <c r="A40" s="201">
        <v>836</v>
      </c>
      <c r="B40" s="201" t="s">
        <v>715</v>
      </c>
      <c r="C40" s="198" t="s">
        <v>842</v>
      </c>
    </row>
    <row r="41" spans="1:3" ht="114" customHeight="1">
      <c r="A41" s="201">
        <v>836</v>
      </c>
      <c r="B41" s="201" t="s">
        <v>716</v>
      </c>
      <c r="C41" s="198" t="s">
        <v>843</v>
      </c>
    </row>
    <row r="42" spans="1:3" ht="168" customHeight="1">
      <c r="A42" s="201">
        <v>836</v>
      </c>
      <c r="B42" s="201" t="s">
        <v>717</v>
      </c>
      <c r="C42" s="198" t="s">
        <v>844</v>
      </c>
    </row>
    <row r="43" spans="1:3" ht="111.75" customHeight="1">
      <c r="A43" s="201">
        <v>836</v>
      </c>
      <c r="B43" s="201" t="s">
        <v>718</v>
      </c>
      <c r="C43" s="198" t="s">
        <v>845</v>
      </c>
    </row>
    <row r="44" spans="1:3" ht="129" customHeight="1">
      <c r="A44" s="201">
        <v>836</v>
      </c>
      <c r="B44" s="201" t="s">
        <v>719</v>
      </c>
      <c r="C44" s="198" t="s">
        <v>846</v>
      </c>
    </row>
    <row r="45" spans="1:3" ht="195" customHeight="1">
      <c r="A45" s="201">
        <v>836</v>
      </c>
      <c r="B45" s="201" t="s">
        <v>907</v>
      </c>
      <c r="C45" s="198" t="s">
        <v>908</v>
      </c>
    </row>
    <row r="46" spans="1:3" ht="37.5">
      <c r="A46" s="491">
        <v>840</v>
      </c>
      <c r="B46" s="201"/>
      <c r="C46" s="203" t="s">
        <v>720</v>
      </c>
    </row>
    <row r="47" spans="1:3" ht="93" customHeight="1">
      <c r="A47" s="201">
        <v>840</v>
      </c>
      <c r="B47" s="201" t="s">
        <v>634</v>
      </c>
      <c r="C47" s="198" t="s">
        <v>841</v>
      </c>
    </row>
    <row r="48" spans="1:3" ht="37.5">
      <c r="A48" s="491">
        <v>854</v>
      </c>
      <c r="B48" s="201"/>
      <c r="C48" s="203" t="s">
        <v>721</v>
      </c>
    </row>
    <row r="49" spans="1:6" ht="93.75" customHeight="1">
      <c r="A49" s="201">
        <v>854</v>
      </c>
      <c r="B49" s="201" t="s">
        <v>634</v>
      </c>
      <c r="C49" s="198" t="s">
        <v>841</v>
      </c>
    </row>
    <row r="50" spans="1:6" ht="102" customHeight="1">
      <c r="A50" s="201">
        <v>854</v>
      </c>
      <c r="B50" s="201" t="s">
        <v>742</v>
      </c>
      <c r="C50" s="198" t="s">
        <v>743</v>
      </c>
    </row>
    <row r="51" spans="1:6" ht="154.5" customHeight="1">
      <c r="A51" s="201">
        <v>854</v>
      </c>
      <c r="B51" s="201" t="s">
        <v>744</v>
      </c>
      <c r="C51" s="198" t="s">
        <v>847</v>
      </c>
    </row>
    <row r="52" spans="1:6" ht="37.5">
      <c r="A52" s="492">
        <v>902</v>
      </c>
      <c r="B52" s="500"/>
      <c r="C52" s="203" t="s">
        <v>1</v>
      </c>
    </row>
    <row r="53" spans="1:6" s="192" customFormat="1" ht="37.5">
      <c r="A53" s="500">
        <v>902</v>
      </c>
      <c r="B53" s="500" t="s">
        <v>611</v>
      </c>
      <c r="C53" s="198" t="s">
        <v>612</v>
      </c>
      <c r="D53" s="191"/>
      <c r="E53" s="191"/>
      <c r="F53" s="191"/>
    </row>
    <row r="54" spans="1:6" s="192" customFormat="1" ht="56.25">
      <c r="A54" s="500">
        <v>902</v>
      </c>
      <c r="B54" s="500" t="s">
        <v>613</v>
      </c>
      <c r="C54" s="198" t="s">
        <v>614</v>
      </c>
      <c r="D54" s="191"/>
      <c r="E54" s="191"/>
      <c r="F54" s="191"/>
    </row>
    <row r="55" spans="1:6" s="860" customFormat="1" ht="99" customHeight="1">
      <c r="A55" s="859">
        <v>902</v>
      </c>
      <c r="B55" s="859" t="s">
        <v>674</v>
      </c>
      <c r="C55" s="856" t="s">
        <v>675</v>
      </c>
      <c r="D55" s="857"/>
      <c r="E55" s="857"/>
      <c r="F55" s="857"/>
    </row>
    <row r="56" spans="1:6" s="192" customFormat="1" ht="52.5" customHeight="1">
      <c r="A56" s="500">
        <v>902</v>
      </c>
      <c r="B56" s="500" t="s">
        <v>615</v>
      </c>
      <c r="C56" s="198" t="s">
        <v>30</v>
      </c>
      <c r="D56" s="191"/>
      <c r="E56" s="191"/>
      <c r="F56" s="191"/>
    </row>
    <row r="57" spans="1:6" s="192" customFormat="1" ht="39.75" customHeight="1">
      <c r="A57" s="500">
        <v>902</v>
      </c>
      <c r="B57" s="500" t="s">
        <v>616</v>
      </c>
      <c r="C57" s="198" t="s">
        <v>617</v>
      </c>
      <c r="D57" s="191"/>
      <c r="E57" s="191"/>
      <c r="F57" s="191"/>
    </row>
    <row r="58" spans="1:6" ht="113.25" customHeight="1">
      <c r="A58" s="201">
        <v>902</v>
      </c>
      <c r="B58" s="201" t="s">
        <v>704</v>
      </c>
      <c r="C58" s="198" t="s">
        <v>848</v>
      </c>
    </row>
    <row r="59" spans="1:6" ht="168.75">
      <c r="A59" s="201">
        <v>902</v>
      </c>
      <c r="B59" s="201" t="s">
        <v>705</v>
      </c>
      <c r="C59" s="198" t="s">
        <v>849</v>
      </c>
    </row>
    <row r="60" spans="1:6" ht="111.75" customHeight="1">
      <c r="A60" s="201">
        <v>902</v>
      </c>
      <c r="B60" s="201" t="s">
        <v>706</v>
      </c>
      <c r="C60" s="198" t="s">
        <v>850</v>
      </c>
    </row>
    <row r="61" spans="1:6" s="573" customFormat="1" ht="112.9" customHeight="1">
      <c r="A61" s="500">
        <v>902</v>
      </c>
      <c r="B61" s="500" t="s">
        <v>731</v>
      </c>
      <c r="C61" s="198" t="s">
        <v>859</v>
      </c>
      <c r="D61" s="572"/>
      <c r="E61" s="572"/>
      <c r="F61" s="572"/>
    </row>
    <row r="62" spans="1:6" s="192" customFormat="1" ht="117" customHeight="1">
      <c r="A62" s="500">
        <v>902</v>
      </c>
      <c r="B62" s="500" t="s">
        <v>710</v>
      </c>
      <c r="C62" s="198" t="s">
        <v>860</v>
      </c>
      <c r="D62" s="191"/>
      <c r="E62" s="191"/>
      <c r="F62" s="191"/>
    </row>
    <row r="63" spans="1:6" s="554" customFormat="1" ht="119.25" customHeight="1">
      <c r="A63" s="500">
        <v>902</v>
      </c>
      <c r="B63" s="500" t="s">
        <v>711</v>
      </c>
      <c r="C63" s="198" t="s">
        <v>855</v>
      </c>
      <c r="D63" s="553"/>
      <c r="E63" s="553"/>
      <c r="F63" s="553"/>
    </row>
    <row r="64" spans="1:6" s="554" customFormat="1" ht="131.25">
      <c r="A64" s="500">
        <v>902</v>
      </c>
      <c r="B64" s="500" t="s">
        <v>716</v>
      </c>
      <c r="C64" s="229" t="s">
        <v>843</v>
      </c>
      <c r="D64" s="553"/>
      <c r="E64" s="553"/>
      <c r="F64" s="553"/>
    </row>
    <row r="65" spans="1:6" s="192" customFormat="1" ht="113.25" customHeight="1">
      <c r="A65" s="500">
        <v>902</v>
      </c>
      <c r="B65" s="500" t="s">
        <v>718</v>
      </c>
      <c r="C65" s="198" t="s">
        <v>861</v>
      </c>
      <c r="D65" s="191"/>
      <c r="E65" s="191"/>
      <c r="F65" s="191"/>
    </row>
    <row r="66" spans="1:6" s="192" customFormat="1" ht="132.75" customHeight="1">
      <c r="A66" s="500">
        <v>902</v>
      </c>
      <c r="B66" s="500" t="s">
        <v>719</v>
      </c>
      <c r="C66" s="198" t="s">
        <v>862</v>
      </c>
      <c r="D66" s="191"/>
      <c r="E66" s="191"/>
      <c r="F66" s="191"/>
    </row>
    <row r="67" spans="1:6" s="192" customFormat="1" ht="112.5" customHeight="1">
      <c r="A67" s="201">
        <v>902</v>
      </c>
      <c r="B67" s="201" t="s">
        <v>618</v>
      </c>
      <c r="C67" s="198" t="s">
        <v>619</v>
      </c>
      <c r="D67" s="191"/>
      <c r="E67" s="191"/>
      <c r="F67" s="191"/>
    </row>
    <row r="68" spans="1:6" s="192" customFormat="1" ht="115.5" customHeight="1">
      <c r="A68" s="201">
        <v>902</v>
      </c>
      <c r="B68" s="201" t="s">
        <v>620</v>
      </c>
      <c r="C68" s="198" t="s">
        <v>621</v>
      </c>
      <c r="D68" s="191"/>
      <c r="E68" s="191"/>
      <c r="F68" s="191"/>
    </row>
    <row r="69" spans="1:6" s="192" customFormat="1" ht="72.75" customHeight="1">
      <c r="A69" s="201">
        <v>902</v>
      </c>
      <c r="B69" s="201" t="s">
        <v>622</v>
      </c>
      <c r="C69" s="198" t="s">
        <v>623</v>
      </c>
      <c r="D69" s="191"/>
      <c r="E69" s="191"/>
      <c r="F69" s="191"/>
    </row>
    <row r="70" spans="1:6" s="192" customFormat="1" ht="75">
      <c r="A70" s="201">
        <v>902</v>
      </c>
      <c r="B70" s="201" t="s">
        <v>624</v>
      </c>
      <c r="C70" s="198" t="s">
        <v>625</v>
      </c>
      <c r="D70" s="191"/>
      <c r="E70" s="191"/>
      <c r="F70" s="191"/>
    </row>
    <row r="71" spans="1:6" s="192" customFormat="1" ht="222" customHeight="1">
      <c r="A71" s="201">
        <v>902</v>
      </c>
      <c r="B71" s="201" t="s">
        <v>626</v>
      </c>
      <c r="C71" s="198" t="s">
        <v>627</v>
      </c>
      <c r="D71" s="191"/>
      <c r="E71" s="191"/>
      <c r="F71" s="191"/>
    </row>
    <row r="72" spans="1:6" s="192" customFormat="1" ht="208.5" customHeight="1">
      <c r="A72" s="201">
        <v>902</v>
      </c>
      <c r="B72" s="201" t="s">
        <v>628</v>
      </c>
      <c r="C72" s="198" t="s">
        <v>629</v>
      </c>
      <c r="D72" s="191"/>
      <c r="E72" s="191"/>
      <c r="F72" s="191"/>
    </row>
    <row r="73" spans="1:6" s="192" customFormat="1" ht="153" customHeight="1">
      <c r="A73" s="201">
        <v>902</v>
      </c>
      <c r="B73" s="201" t="s">
        <v>630</v>
      </c>
      <c r="C73" s="198" t="s">
        <v>631</v>
      </c>
      <c r="D73" s="191"/>
      <c r="E73" s="191"/>
      <c r="F73" s="191"/>
    </row>
    <row r="74" spans="1:6" s="192" customFormat="1" ht="97.5" customHeight="1">
      <c r="A74" s="201">
        <v>902</v>
      </c>
      <c r="B74" s="201" t="s">
        <v>632</v>
      </c>
      <c r="C74" s="198" t="s">
        <v>633</v>
      </c>
      <c r="D74" s="191"/>
      <c r="E74" s="191"/>
      <c r="F74" s="191"/>
    </row>
    <row r="75" spans="1:6" s="494" customFormat="1" ht="97.5" customHeight="1">
      <c r="A75" s="201">
        <v>902</v>
      </c>
      <c r="B75" s="201" t="s">
        <v>634</v>
      </c>
      <c r="C75" s="229" t="s">
        <v>841</v>
      </c>
      <c r="D75" s="493"/>
      <c r="E75" s="493"/>
      <c r="F75" s="493"/>
    </row>
    <row r="76" spans="1:6" s="192" customFormat="1" ht="40.5" customHeight="1">
      <c r="A76" s="201">
        <v>902</v>
      </c>
      <c r="B76" s="201" t="s">
        <v>635</v>
      </c>
      <c r="C76" s="198" t="s">
        <v>2</v>
      </c>
      <c r="D76" s="191"/>
      <c r="E76" s="191"/>
      <c r="F76" s="191"/>
    </row>
    <row r="77" spans="1:6" s="192" customFormat="1" ht="37.5">
      <c r="A77" s="504" t="s">
        <v>3</v>
      </c>
      <c r="B77" s="500" t="s">
        <v>636</v>
      </c>
      <c r="C77" s="243" t="s">
        <v>529</v>
      </c>
      <c r="D77" s="191"/>
      <c r="E77" s="191"/>
      <c r="F77" s="191"/>
    </row>
    <row r="78" spans="1:6" s="192" customFormat="1" ht="38.25" customHeight="1">
      <c r="A78" s="500">
        <v>902</v>
      </c>
      <c r="B78" s="500" t="s">
        <v>748</v>
      </c>
      <c r="C78" s="243" t="s">
        <v>752</v>
      </c>
      <c r="D78" s="191"/>
      <c r="E78" s="191"/>
      <c r="F78" s="191"/>
    </row>
    <row r="79" spans="1:6" s="192" customFormat="1" ht="156" customHeight="1">
      <c r="A79" s="500">
        <v>902</v>
      </c>
      <c r="B79" s="500" t="s">
        <v>803</v>
      </c>
      <c r="C79" s="243" t="s">
        <v>802</v>
      </c>
      <c r="D79" s="191"/>
      <c r="E79" s="191"/>
      <c r="F79" s="191"/>
    </row>
    <row r="80" spans="1:6" s="192" customFormat="1" ht="117.6" customHeight="1">
      <c r="A80" s="500">
        <v>902</v>
      </c>
      <c r="B80" s="500" t="s">
        <v>807</v>
      </c>
      <c r="C80" s="243" t="s">
        <v>809</v>
      </c>
      <c r="D80" s="191"/>
      <c r="E80" s="191"/>
      <c r="F80" s="191"/>
    </row>
    <row r="81" spans="1:6" ht="27.75" customHeight="1">
      <c r="A81" s="201">
        <v>902</v>
      </c>
      <c r="B81" s="501" t="s">
        <v>542</v>
      </c>
      <c r="C81" s="198" t="s">
        <v>4</v>
      </c>
    </row>
    <row r="82" spans="1:6" ht="56.25">
      <c r="A82" s="201">
        <v>902</v>
      </c>
      <c r="B82" s="500" t="s">
        <v>543</v>
      </c>
      <c r="C82" s="198" t="s">
        <v>5</v>
      </c>
    </row>
    <row r="83" spans="1:6" ht="93.75">
      <c r="A83" s="201">
        <v>902</v>
      </c>
      <c r="B83" s="500" t="s">
        <v>544</v>
      </c>
      <c r="C83" s="198" t="s">
        <v>455</v>
      </c>
    </row>
    <row r="84" spans="1:6" ht="62.25" customHeight="1">
      <c r="A84" s="201">
        <v>902</v>
      </c>
      <c r="B84" s="500" t="s">
        <v>895</v>
      </c>
      <c r="C84" s="630" t="s">
        <v>896</v>
      </c>
    </row>
    <row r="85" spans="1:6" ht="117.75" customHeight="1">
      <c r="A85" s="500">
        <v>902</v>
      </c>
      <c r="B85" s="500" t="s">
        <v>637</v>
      </c>
      <c r="C85" s="243" t="s">
        <v>638</v>
      </c>
    </row>
    <row r="86" spans="1:6" ht="59.25" customHeight="1">
      <c r="A86" s="500">
        <v>902</v>
      </c>
      <c r="B86" s="500" t="s">
        <v>639</v>
      </c>
      <c r="C86" s="243" t="s">
        <v>640</v>
      </c>
    </row>
    <row r="87" spans="1:6" ht="39.75" customHeight="1">
      <c r="A87" s="500">
        <v>902</v>
      </c>
      <c r="B87" s="500" t="s">
        <v>641</v>
      </c>
      <c r="C87" s="243" t="s">
        <v>642</v>
      </c>
    </row>
    <row r="88" spans="1:6" ht="78" customHeight="1">
      <c r="A88" s="201">
        <v>902</v>
      </c>
      <c r="B88" s="500" t="s">
        <v>594</v>
      </c>
      <c r="C88" s="198" t="s">
        <v>456</v>
      </c>
    </row>
    <row r="89" spans="1:6" ht="75">
      <c r="A89" s="201">
        <v>902</v>
      </c>
      <c r="B89" s="500" t="s">
        <v>564</v>
      </c>
      <c r="C89" s="198" t="s">
        <v>457</v>
      </c>
    </row>
    <row r="90" spans="1:6" s="192" customFormat="1" ht="59.25" customHeight="1">
      <c r="A90" s="500">
        <v>902</v>
      </c>
      <c r="B90" s="500" t="s">
        <v>361</v>
      </c>
      <c r="C90" s="198" t="s">
        <v>863</v>
      </c>
      <c r="D90" s="191"/>
      <c r="E90" s="191"/>
      <c r="F90" s="191"/>
    </row>
    <row r="91" spans="1:6" s="192" customFormat="1" ht="56.25">
      <c r="A91" s="500">
        <v>902</v>
      </c>
      <c r="B91" s="500" t="s">
        <v>6</v>
      </c>
      <c r="C91" s="198" t="s">
        <v>7</v>
      </c>
      <c r="D91" s="191"/>
      <c r="E91" s="191"/>
      <c r="F91" s="191"/>
    </row>
    <row r="92" spans="1:6" s="192" customFormat="1" ht="75">
      <c r="A92" s="500">
        <v>902</v>
      </c>
      <c r="B92" s="500" t="s">
        <v>8</v>
      </c>
      <c r="C92" s="198" t="s">
        <v>881</v>
      </c>
      <c r="D92" s="191"/>
      <c r="E92" s="191"/>
      <c r="F92" s="191"/>
    </row>
    <row r="93" spans="1:6" s="192" customFormat="1" ht="58.9" customHeight="1">
      <c r="A93" s="201">
        <v>902</v>
      </c>
      <c r="B93" s="500" t="s">
        <v>9</v>
      </c>
      <c r="C93" s="198" t="s">
        <v>866</v>
      </c>
      <c r="D93" s="191"/>
      <c r="E93" s="191"/>
      <c r="F93" s="191"/>
    </row>
    <row r="94" spans="1:6" s="192" customFormat="1" ht="75">
      <c r="A94" s="201">
        <v>902</v>
      </c>
      <c r="B94" s="500" t="s">
        <v>418</v>
      </c>
      <c r="C94" s="198" t="s">
        <v>417</v>
      </c>
      <c r="D94" s="191"/>
      <c r="E94" s="191"/>
      <c r="F94" s="191"/>
    </row>
    <row r="95" spans="1:6" s="192" customFormat="1" ht="72" customHeight="1">
      <c r="A95" s="201">
        <v>902</v>
      </c>
      <c r="B95" s="500" t="s">
        <v>419</v>
      </c>
      <c r="C95" s="198" t="s">
        <v>420</v>
      </c>
      <c r="D95" s="191"/>
      <c r="E95" s="191"/>
      <c r="F95" s="191"/>
    </row>
    <row r="96" spans="1:6" ht="51.75" customHeight="1">
      <c r="A96" s="492">
        <v>905</v>
      </c>
      <c r="B96" s="500"/>
      <c r="C96" s="203" t="s">
        <v>10</v>
      </c>
    </row>
    <row r="97" spans="1:6" ht="39.75" customHeight="1">
      <c r="A97" s="500">
        <v>905</v>
      </c>
      <c r="B97" s="500" t="s">
        <v>615</v>
      </c>
      <c r="C97" s="198" t="s">
        <v>30</v>
      </c>
      <c r="D97" s="244"/>
      <c r="E97" s="244"/>
      <c r="F97" s="244"/>
    </row>
    <row r="98" spans="1:6" ht="40.5" customHeight="1">
      <c r="A98" s="500">
        <v>905</v>
      </c>
      <c r="B98" s="500" t="s">
        <v>616</v>
      </c>
      <c r="C98" s="198" t="s">
        <v>617</v>
      </c>
      <c r="D98" s="244"/>
      <c r="E98" s="244"/>
      <c r="F98" s="244"/>
    </row>
    <row r="99" spans="1:6" s="573" customFormat="1" ht="112.5">
      <c r="A99" s="500">
        <v>905</v>
      </c>
      <c r="B99" s="500" t="s">
        <v>731</v>
      </c>
      <c r="C99" s="198" t="s">
        <v>859</v>
      </c>
      <c r="D99" s="572"/>
      <c r="E99" s="572"/>
      <c r="F99" s="572"/>
    </row>
    <row r="100" spans="1:6" ht="187.5">
      <c r="A100" s="500">
        <v>905</v>
      </c>
      <c r="B100" s="500" t="s">
        <v>643</v>
      </c>
      <c r="C100" s="198" t="s">
        <v>868</v>
      </c>
      <c r="D100" s="244"/>
      <c r="E100" s="244"/>
      <c r="F100" s="244"/>
    </row>
    <row r="101" spans="1:6" ht="337.5">
      <c r="A101" s="500">
        <v>905</v>
      </c>
      <c r="B101" s="201" t="s">
        <v>644</v>
      </c>
      <c r="C101" s="198" t="s">
        <v>869</v>
      </c>
      <c r="D101" s="244"/>
      <c r="E101" s="244"/>
      <c r="F101" s="244"/>
    </row>
    <row r="102" spans="1:6" ht="112.5">
      <c r="A102" s="500">
        <v>905</v>
      </c>
      <c r="B102" s="500" t="s">
        <v>645</v>
      </c>
      <c r="C102" s="198" t="s">
        <v>870</v>
      </c>
      <c r="D102" s="244"/>
      <c r="E102" s="244"/>
      <c r="F102" s="244"/>
    </row>
    <row r="103" spans="1:6" s="192" customFormat="1" ht="62.25" customHeight="1">
      <c r="A103" s="201">
        <v>905</v>
      </c>
      <c r="B103" s="201" t="s">
        <v>624</v>
      </c>
      <c r="C103" s="198" t="s">
        <v>625</v>
      </c>
      <c r="D103" s="191"/>
      <c r="E103" s="191"/>
      <c r="F103" s="191"/>
    </row>
    <row r="104" spans="1:6" s="192" customFormat="1" ht="35.25" customHeight="1">
      <c r="A104" s="201">
        <v>905</v>
      </c>
      <c r="B104" s="201" t="s">
        <v>635</v>
      </c>
      <c r="C104" s="198" t="s">
        <v>2</v>
      </c>
      <c r="D104" s="191"/>
      <c r="E104" s="191"/>
      <c r="F104" s="191"/>
    </row>
    <row r="105" spans="1:6" ht="57" customHeight="1">
      <c r="A105" s="500">
        <v>905</v>
      </c>
      <c r="B105" s="500" t="s">
        <v>545</v>
      </c>
      <c r="C105" s="198" t="s">
        <v>681</v>
      </c>
    </row>
    <row r="106" spans="1:6" ht="58.5" customHeight="1">
      <c r="A106" s="500">
        <v>905</v>
      </c>
      <c r="B106" s="500" t="s">
        <v>546</v>
      </c>
      <c r="C106" s="198" t="s">
        <v>11</v>
      </c>
    </row>
    <row r="107" spans="1:6" ht="32.25" customHeight="1">
      <c r="A107" s="500">
        <v>905</v>
      </c>
      <c r="B107" s="500" t="s">
        <v>542</v>
      </c>
      <c r="C107" s="198" t="s">
        <v>4</v>
      </c>
    </row>
    <row r="108" spans="1:6" ht="99.75" customHeight="1">
      <c r="A108" s="500">
        <v>905</v>
      </c>
      <c r="B108" s="500" t="s">
        <v>547</v>
      </c>
      <c r="C108" s="198" t="s">
        <v>16</v>
      </c>
    </row>
    <row r="109" spans="1:6" ht="48" customHeight="1">
      <c r="A109" s="500">
        <v>905</v>
      </c>
      <c r="B109" s="500" t="s">
        <v>550</v>
      </c>
      <c r="C109" s="198" t="s">
        <v>21</v>
      </c>
    </row>
    <row r="110" spans="1:6" ht="136.9" customHeight="1">
      <c r="A110" s="500">
        <v>905</v>
      </c>
      <c r="B110" s="500" t="s">
        <v>566</v>
      </c>
      <c r="C110" s="230" t="s">
        <v>491</v>
      </c>
    </row>
    <row r="111" spans="1:6" ht="77.25" customHeight="1">
      <c r="A111" s="201">
        <v>905</v>
      </c>
      <c r="B111" s="500" t="s">
        <v>564</v>
      </c>
      <c r="C111" s="198" t="s">
        <v>457</v>
      </c>
    </row>
    <row r="112" spans="1:6" ht="42.75" customHeight="1">
      <c r="A112" s="500">
        <v>905</v>
      </c>
      <c r="B112" s="500" t="s">
        <v>12</v>
      </c>
      <c r="C112" s="198" t="s">
        <v>13</v>
      </c>
    </row>
    <row r="113" spans="1:6" ht="41.25" customHeight="1">
      <c r="A113" s="500">
        <v>905</v>
      </c>
      <c r="B113" s="500" t="s">
        <v>14</v>
      </c>
      <c r="C113" s="198" t="s">
        <v>15</v>
      </c>
    </row>
    <row r="114" spans="1:6" ht="37.5">
      <c r="A114" s="492">
        <v>910</v>
      </c>
      <c r="B114" s="500"/>
      <c r="C114" s="203" t="s">
        <v>55</v>
      </c>
    </row>
    <row r="115" spans="1:6" ht="42.75" customHeight="1">
      <c r="A115" s="201">
        <v>910</v>
      </c>
      <c r="B115" s="201" t="s">
        <v>616</v>
      </c>
      <c r="C115" s="198" t="s">
        <v>617</v>
      </c>
    </row>
    <row r="116" spans="1:6" ht="112.5">
      <c r="A116" s="201">
        <v>910</v>
      </c>
      <c r="B116" s="201" t="s">
        <v>646</v>
      </c>
      <c r="C116" s="198" t="s">
        <v>871</v>
      </c>
    </row>
    <row r="117" spans="1:6" s="573" customFormat="1" ht="96" customHeight="1">
      <c r="A117" s="500">
        <v>910</v>
      </c>
      <c r="B117" s="500" t="s">
        <v>731</v>
      </c>
      <c r="C117" s="198" t="s">
        <v>859</v>
      </c>
      <c r="D117" s="572"/>
      <c r="E117" s="572"/>
      <c r="F117" s="572"/>
    </row>
    <row r="118" spans="1:6" ht="170.25" customHeight="1">
      <c r="A118" s="201">
        <v>910</v>
      </c>
      <c r="B118" s="201" t="s">
        <v>643</v>
      </c>
      <c r="C118" s="198" t="s">
        <v>868</v>
      </c>
    </row>
    <row r="119" spans="1:6" ht="337.5">
      <c r="A119" s="500">
        <v>910</v>
      </c>
      <c r="B119" s="201" t="s">
        <v>644</v>
      </c>
      <c r="C119" s="198" t="s">
        <v>869</v>
      </c>
      <c r="D119" s="244"/>
      <c r="E119" s="244"/>
      <c r="F119" s="244"/>
    </row>
    <row r="120" spans="1:6" s="192" customFormat="1" ht="115.5" customHeight="1">
      <c r="A120" s="201">
        <v>910</v>
      </c>
      <c r="B120" s="201" t="s">
        <v>645</v>
      </c>
      <c r="C120" s="198" t="s">
        <v>870</v>
      </c>
      <c r="D120" s="191"/>
      <c r="E120" s="191"/>
      <c r="F120" s="191"/>
    </row>
    <row r="121" spans="1:6" s="192" customFormat="1" ht="78.75" customHeight="1">
      <c r="A121" s="201">
        <v>910</v>
      </c>
      <c r="B121" s="201" t="s">
        <v>722</v>
      </c>
      <c r="C121" s="198" t="s">
        <v>723</v>
      </c>
      <c r="D121" s="191"/>
      <c r="E121" s="191"/>
      <c r="F121" s="191"/>
    </row>
    <row r="122" spans="1:6" s="192" customFormat="1" ht="42.75" customHeight="1">
      <c r="A122" s="500">
        <v>910</v>
      </c>
      <c r="B122" s="201" t="s">
        <v>635</v>
      </c>
      <c r="C122" s="198" t="s">
        <v>2</v>
      </c>
      <c r="D122" s="191"/>
      <c r="E122" s="191"/>
      <c r="F122" s="191"/>
    </row>
    <row r="123" spans="1:6" ht="96" customHeight="1">
      <c r="A123" s="500">
        <v>910</v>
      </c>
      <c r="B123" s="500" t="s">
        <v>547</v>
      </c>
      <c r="C123" s="198" t="s">
        <v>16</v>
      </c>
    </row>
    <row r="124" spans="1:6" ht="74.25" customHeight="1">
      <c r="A124" s="500">
        <v>910</v>
      </c>
      <c r="B124" s="500" t="s">
        <v>564</v>
      </c>
      <c r="C124" s="198" t="s">
        <v>457</v>
      </c>
    </row>
    <row r="125" spans="1:6" ht="56.25">
      <c r="A125" s="491">
        <v>921</v>
      </c>
      <c r="B125" s="201"/>
      <c r="C125" s="203" t="s">
        <v>17</v>
      </c>
    </row>
    <row r="126" spans="1:6" s="192" customFormat="1" ht="75">
      <c r="A126" s="500">
        <v>921</v>
      </c>
      <c r="B126" s="500" t="s">
        <v>170</v>
      </c>
      <c r="C126" s="198" t="s">
        <v>647</v>
      </c>
      <c r="D126" s="191"/>
      <c r="E126" s="191"/>
      <c r="F126" s="191"/>
    </row>
    <row r="127" spans="1:6" s="192" customFormat="1" ht="75">
      <c r="A127" s="500">
        <v>921</v>
      </c>
      <c r="B127" s="500" t="s">
        <v>648</v>
      </c>
      <c r="C127" s="198" t="s">
        <v>649</v>
      </c>
      <c r="D127" s="191"/>
      <c r="E127" s="191"/>
      <c r="F127" s="191"/>
    </row>
    <row r="128" spans="1:6" s="192" customFormat="1" ht="133.5" customHeight="1">
      <c r="A128" s="500">
        <v>921</v>
      </c>
      <c r="B128" s="201" t="s">
        <v>650</v>
      </c>
      <c r="C128" s="198" t="s">
        <v>882</v>
      </c>
      <c r="D128" s="191"/>
      <c r="E128" s="191"/>
      <c r="F128" s="191"/>
    </row>
    <row r="129" spans="1:6" s="192" customFormat="1" ht="60.75" customHeight="1">
      <c r="A129" s="500">
        <v>921</v>
      </c>
      <c r="B129" s="500" t="s">
        <v>362</v>
      </c>
      <c r="C129" s="198" t="s">
        <v>18</v>
      </c>
      <c r="D129" s="191"/>
      <c r="E129" s="191"/>
      <c r="F129" s="191"/>
    </row>
    <row r="130" spans="1:6" s="192" customFormat="1" ht="78.75" customHeight="1">
      <c r="A130" s="500">
        <v>921</v>
      </c>
      <c r="B130" s="500" t="s">
        <v>172</v>
      </c>
      <c r="C130" s="198" t="s">
        <v>651</v>
      </c>
      <c r="D130" s="191"/>
      <c r="E130" s="191"/>
      <c r="F130" s="191"/>
    </row>
    <row r="131" spans="1:6" s="192" customFormat="1" ht="118.5" customHeight="1">
      <c r="A131" s="500">
        <v>921</v>
      </c>
      <c r="B131" s="500" t="s">
        <v>421</v>
      </c>
      <c r="C131" s="198" t="s">
        <v>422</v>
      </c>
      <c r="D131" s="191"/>
      <c r="E131" s="191"/>
      <c r="F131" s="191"/>
    </row>
    <row r="132" spans="1:6" s="192" customFormat="1" ht="56.25" customHeight="1">
      <c r="A132" s="500">
        <v>921</v>
      </c>
      <c r="B132" s="500" t="s">
        <v>615</v>
      </c>
      <c r="C132" s="198" t="s">
        <v>30</v>
      </c>
      <c r="D132" s="191"/>
      <c r="E132" s="191"/>
      <c r="F132" s="191"/>
    </row>
    <row r="133" spans="1:6" s="192" customFormat="1" ht="56.25">
      <c r="A133" s="500">
        <v>921</v>
      </c>
      <c r="B133" s="500" t="s">
        <v>652</v>
      </c>
      <c r="C133" s="198" t="s">
        <v>515</v>
      </c>
      <c r="D133" s="191"/>
      <c r="E133" s="191"/>
      <c r="F133" s="191"/>
    </row>
    <row r="134" spans="1:6" s="192" customFormat="1" ht="42" customHeight="1">
      <c r="A134" s="500">
        <v>921</v>
      </c>
      <c r="B134" s="500" t="s">
        <v>616</v>
      </c>
      <c r="C134" s="198" t="s">
        <v>617</v>
      </c>
      <c r="D134" s="191"/>
      <c r="E134" s="191"/>
      <c r="F134" s="191"/>
    </row>
    <row r="135" spans="1:6" s="192" customFormat="1" ht="131.25">
      <c r="A135" s="500">
        <v>921</v>
      </c>
      <c r="B135" s="500" t="s">
        <v>653</v>
      </c>
      <c r="C135" s="198" t="s">
        <v>654</v>
      </c>
      <c r="D135" s="191"/>
      <c r="E135" s="191"/>
      <c r="F135" s="191"/>
    </row>
    <row r="136" spans="1:6" s="192" customFormat="1" ht="135" customHeight="1">
      <c r="A136" s="500">
        <v>921</v>
      </c>
      <c r="B136" s="500" t="s">
        <v>655</v>
      </c>
      <c r="C136" s="198" t="s">
        <v>656</v>
      </c>
      <c r="D136" s="191"/>
      <c r="E136" s="191"/>
      <c r="F136" s="191"/>
    </row>
    <row r="137" spans="1:6" s="192" customFormat="1" ht="110.25" customHeight="1">
      <c r="A137" s="500">
        <v>921</v>
      </c>
      <c r="B137" s="500" t="s">
        <v>657</v>
      </c>
      <c r="C137" s="198" t="s">
        <v>658</v>
      </c>
      <c r="D137" s="191"/>
      <c r="E137" s="191"/>
      <c r="F137" s="191"/>
    </row>
    <row r="138" spans="1:6" s="192" customFormat="1" ht="129" customHeight="1">
      <c r="A138" s="500">
        <v>921</v>
      </c>
      <c r="B138" s="500" t="s">
        <v>659</v>
      </c>
      <c r="C138" s="198" t="s">
        <v>660</v>
      </c>
      <c r="D138" s="191"/>
      <c r="E138" s="191"/>
      <c r="F138" s="191"/>
    </row>
    <row r="139" spans="1:6" s="192" customFormat="1" ht="92.25" customHeight="1">
      <c r="A139" s="500">
        <v>921</v>
      </c>
      <c r="B139" s="201" t="s">
        <v>661</v>
      </c>
      <c r="C139" s="198" t="s">
        <v>662</v>
      </c>
      <c r="D139" s="191"/>
      <c r="E139" s="191"/>
      <c r="F139" s="191"/>
    </row>
    <row r="140" spans="1:6" s="192" customFormat="1" ht="78.75" customHeight="1">
      <c r="A140" s="500">
        <v>921</v>
      </c>
      <c r="B140" s="201" t="s">
        <v>663</v>
      </c>
      <c r="C140" s="198" t="s">
        <v>664</v>
      </c>
      <c r="D140" s="191"/>
      <c r="E140" s="191"/>
      <c r="F140" s="191"/>
    </row>
    <row r="141" spans="1:6" s="192" customFormat="1" ht="130.5" customHeight="1">
      <c r="A141" s="500">
        <v>921</v>
      </c>
      <c r="B141" s="201" t="s">
        <v>665</v>
      </c>
      <c r="C141" s="198" t="s">
        <v>666</v>
      </c>
      <c r="D141" s="191"/>
      <c r="E141" s="191"/>
      <c r="F141" s="191"/>
    </row>
    <row r="142" spans="1:6" s="192" customFormat="1" ht="75">
      <c r="A142" s="500">
        <v>921</v>
      </c>
      <c r="B142" s="201" t="s">
        <v>667</v>
      </c>
      <c r="C142" s="198" t="s">
        <v>668</v>
      </c>
      <c r="D142" s="191"/>
      <c r="E142" s="191"/>
      <c r="F142" s="191"/>
    </row>
    <row r="143" spans="1:6" s="573" customFormat="1" ht="111.75" customHeight="1">
      <c r="A143" s="500">
        <v>921</v>
      </c>
      <c r="B143" s="500" t="s">
        <v>731</v>
      </c>
      <c r="C143" s="229" t="s">
        <v>859</v>
      </c>
      <c r="D143" s="572"/>
      <c r="E143" s="572"/>
      <c r="F143" s="572"/>
    </row>
    <row r="144" spans="1:6" s="192" customFormat="1" ht="111" customHeight="1">
      <c r="A144" s="201">
        <v>921</v>
      </c>
      <c r="B144" s="201" t="s">
        <v>620</v>
      </c>
      <c r="C144" s="198" t="s">
        <v>669</v>
      </c>
      <c r="D144" s="191"/>
      <c r="E144" s="191"/>
      <c r="F144" s="191"/>
    </row>
    <row r="145" spans="1:6" s="192" customFormat="1" ht="58.5" customHeight="1">
      <c r="A145" s="201">
        <v>921</v>
      </c>
      <c r="B145" s="201" t="s">
        <v>624</v>
      </c>
      <c r="C145" s="198" t="s">
        <v>625</v>
      </c>
      <c r="D145" s="191"/>
      <c r="E145" s="191"/>
      <c r="F145" s="191"/>
    </row>
    <row r="146" spans="1:6" s="192" customFormat="1" ht="93" customHeight="1">
      <c r="A146" s="201">
        <v>921</v>
      </c>
      <c r="B146" s="201" t="s">
        <v>670</v>
      </c>
      <c r="C146" s="198" t="s">
        <v>671</v>
      </c>
      <c r="D146" s="191"/>
      <c r="E146" s="191"/>
      <c r="F146" s="191"/>
    </row>
    <row r="147" spans="1:6" s="192" customFormat="1" ht="42.75" customHeight="1">
      <c r="A147" s="201">
        <v>921</v>
      </c>
      <c r="B147" s="201" t="s">
        <v>635</v>
      </c>
      <c r="C147" s="198" t="s">
        <v>2</v>
      </c>
      <c r="D147" s="191"/>
      <c r="E147" s="191"/>
      <c r="F147" s="191"/>
    </row>
    <row r="148" spans="1:6" s="192" customFormat="1" ht="37.5">
      <c r="A148" s="500">
        <v>921</v>
      </c>
      <c r="B148" s="500" t="s">
        <v>636</v>
      </c>
      <c r="C148" s="243" t="s">
        <v>529</v>
      </c>
      <c r="D148" s="191"/>
      <c r="E148" s="191"/>
      <c r="F148" s="191"/>
    </row>
    <row r="149" spans="1:6" s="192" customFormat="1" ht="56.25">
      <c r="A149" s="201">
        <v>921</v>
      </c>
      <c r="B149" s="500" t="s">
        <v>672</v>
      </c>
      <c r="C149" s="198" t="s">
        <v>673</v>
      </c>
      <c r="D149" s="246"/>
      <c r="E149" s="191"/>
      <c r="F149" s="245"/>
    </row>
    <row r="150" spans="1:6" s="248" customFormat="1" ht="56.25">
      <c r="A150" s="505">
        <v>921</v>
      </c>
      <c r="B150" s="502" t="s">
        <v>596</v>
      </c>
      <c r="C150" s="247" t="s">
        <v>597</v>
      </c>
    </row>
    <row r="151" spans="1:6" ht="27.75" customHeight="1">
      <c r="A151" s="201">
        <v>921</v>
      </c>
      <c r="B151" s="500" t="s">
        <v>542</v>
      </c>
      <c r="C151" s="198" t="s">
        <v>4</v>
      </c>
    </row>
    <row r="152" spans="1:6" ht="56.25">
      <c r="A152" s="201">
        <v>921</v>
      </c>
      <c r="B152" s="500" t="s">
        <v>543</v>
      </c>
      <c r="C152" s="198" t="s">
        <v>5</v>
      </c>
    </row>
    <row r="153" spans="1:6" ht="93.75">
      <c r="A153" s="201">
        <v>921</v>
      </c>
      <c r="B153" s="500" t="s">
        <v>548</v>
      </c>
      <c r="C153" s="198" t="s">
        <v>19</v>
      </c>
    </row>
    <row r="154" spans="1:6" ht="34.5" customHeight="1">
      <c r="A154" s="201">
        <v>921</v>
      </c>
      <c r="B154" s="500" t="s">
        <v>549</v>
      </c>
      <c r="C154" s="198" t="s">
        <v>20</v>
      </c>
    </row>
    <row r="155" spans="1:6" ht="37.5">
      <c r="A155" s="201">
        <v>921</v>
      </c>
      <c r="B155" s="201" t="s">
        <v>550</v>
      </c>
      <c r="C155" s="198" t="s">
        <v>21</v>
      </c>
    </row>
    <row r="156" spans="1:6" ht="75">
      <c r="A156" s="201">
        <v>921</v>
      </c>
      <c r="B156" s="500" t="s">
        <v>564</v>
      </c>
      <c r="C156" s="198" t="s">
        <v>457</v>
      </c>
    </row>
    <row r="157" spans="1:6" ht="44.25" customHeight="1">
      <c r="A157" s="491">
        <v>925</v>
      </c>
      <c r="B157" s="201"/>
      <c r="C157" s="203" t="s">
        <v>23</v>
      </c>
    </row>
    <row r="158" spans="1:6" s="192" customFormat="1" ht="112.5">
      <c r="A158" s="500">
        <v>925</v>
      </c>
      <c r="B158" s="500" t="s">
        <v>674</v>
      </c>
      <c r="C158" s="198" t="s">
        <v>675</v>
      </c>
      <c r="D158" s="191"/>
      <c r="E158" s="191"/>
      <c r="F158" s="191"/>
    </row>
    <row r="159" spans="1:6" s="192" customFormat="1" ht="56.25">
      <c r="A159" s="500">
        <v>925</v>
      </c>
      <c r="B159" s="500" t="s">
        <v>652</v>
      </c>
      <c r="C159" s="198" t="s">
        <v>515</v>
      </c>
      <c r="D159" s="191"/>
      <c r="E159" s="191"/>
      <c r="F159" s="191"/>
    </row>
    <row r="160" spans="1:6" s="192" customFormat="1" ht="40.5" customHeight="1">
      <c r="A160" s="500">
        <v>925</v>
      </c>
      <c r="B160" s="500" t="s">
        <v>616</v>
      </c>
      <c r="C160" s="198" t="s">
        <v>617</v>
      </c>
      <c r="D160" s="191"/>
      <c r="E160" s="191"/>
      <c r="F160" s="191"/>
    </row>
    <row r="161" spans="1:6" s="192" customFormat="1" ht="111.75" customHeight="1">
      <c r="A161" s="500">
        <v>925</v>
      </c>
      <c r="B161" s="500" t="s">
        <v>657</v>
      </c>
      <c r="C161" s="198" t="s">
        <v>658</v>
      </c>
      <c r="D161" s="191"/>
      <c r="E161" s="191"/>
      <c r="F161" s="191"/>
    </row>
    <row r="162" spans="1:6" s="573" customFormat="1" ht="110.25" customHeight="1">
      <c r="A162" s="500">
        <v>925</v>
      </c>
      <c r="B162" s="500" t="s">
        <v>731</v>
      </c>
      <c r="C162" s="198" t="s">
        <v>859</v>
      </c>
      <c r="D162" s="572"/>
      <c r="E162" s="572"/>
      <c r="F162" s="572"/>
    </row>
    <row r="163" spans="1:6" s="192" customFormat="1" ht="112.5">
      <c r="A163" s="500">
        <v>925</v>
      </c>
      <c r="B163" s="500" t="s">
        <v>618</v>
      </c>
      <c r="C163" s="198" t="s">
        <v>619</v>
      </c>
      <c r="D163" s="191"/>
      <c r="E163" s="191"/>
      <c r="F163" s="191"/>
    </row>
    <row r="164" spans="1:6" s="192" customFormat="1" ht="112.5">
      <c r="A164" s="201">
        <v>925</v>
      </c>
      <c r="B164" s="201" t="s">
        <v>620</v>
      </c>
      <c r="C164" s="198" t="s">
        <v>621</v>
      </c>
      <c r="D164" s="191"/>
      <c r="E164" s="191"/>
      <c r="F164" s="191"/>
    </row>
    <row r="165" spans="1:6" s="192" customFormat="1" ht="60.75" customHeight="1">
      <c r="A165" s="201">
        <v>925</v>
      </c>
      <c r="B165" s="201" t="s">
        <v>624</v>
      </c>
      <c r="C165" s="198" t="s">
        <v>625</v>
      </c>
      <c r="D165" s="191"/>
      <c r="E165" s="191"/>
      <c r="F165" s="191"/>
    </row>
    <row r="166" spans="1:6" s="192" customFormat="1" ht="37.5">
      <c r="A166" s="201">
        <v>925</v>
      </c>
      <c r="B166" s="201" t="s">
        <v>635</v>
      </c>
      <c r="C166" s="198" t="s">
        <v>2</v>
      </c>
      <c r="D166" s="191"/>
      <c r="E166" s="191"/>
      <c r="F166" s="191"/>
    </row>
    <row r="167" spans="1:6" s="192" customFormat="1" ht="37.5">
      <c r="A167" s="500">
        <v>925</v>
      </c>
      <c r="B167" s="500" t="s">
        <v>636</v>
      </c>
      <c r="C167" s="243" t="s">
        <v>529</v>
      </c>
      <c r="D167" s="191"/>
      <c r="E167" s="191"/>
      <c r="F167" s="191"/>
    </row>
    <row r="168" spans="1:6" ht="133.5" customHeight="1">
      <c r="A168" s="201">
        <v>925</v>
      </c>
      <c r="B168" s="500" t="s">
        <v>595</v>
      </c>
      <c r="C168" s="230" t="s">
        <v>766</v>
      </c>
    </row>
    <row r="169" spans="1:6" ht="98.25" customHeight="1">
      <c r="A169" s="201">
        <v>925</v>
      </c>
      <c r="B169" s="500" t="s">
        <v>760</v>
      </c>
      <c r="C169" s="198" t="s">
        <v>761</v>
      </c>
    </row>
    <row r="170" spans="1:6" ht="23.25" customHeight="1">
      <c r="A170" s="201">
        <v>925</v>
      </c>
      <c r="B170" s="500" t="s">
        <v>542</v>
      </c>
      <c r="C170" s="198" t="s">
        <v>4</v>
      </c>
    </row>
    <row r="171" spans="1:6" ht="56.25">
      <c r="A171" s="201">
        <v>925</v>
      </c>
      <c r="B171" s="500" t="s">
        <v>543</v>
      </c>
      <c r="C171" s="198" t="s">
        <v>5</v>
      </c>
    </row>
    <row r="172" spans="1:6" ht="111.75" customHeight="1">
      <c r="A172" s="201">
        <v>925</v>
      </c>
      <c r="B172" s="500" t="s">
        <v>551</v>
      </c>
      <c r="C172" s="198" t="s">
        <v>24</v>
      </c>
    </row>
    <row r="173" spans="1:6" ht="99.75" customHeight="1">
      <c r="A173" s="201">
        <v>925</v>
      </c>
      <c r="B173" s="500" t="s">
        <v>759</v>
      </c>
      <c r="C173" s="198" t="s">
        <v>793</v>
      </c>
    </row>
    <row r="174" spans="1:6" ht="45" customHeight="1">
      <c r="A174" s="201">
        <v>925</v>
      </c>
      <c r="B174" s="201" t="s">
        <v>550</v>
      </c>
      <c r="C174" s="198" t="s">
        <v>21</v>
      </c>
    </row>
    <row r="175" spans="1:6" ht="57" customHeight="1">
      <c r="A175" s="201">
        <v>925</v>
      </c>
      <c r="B175" s="500" t="s">
        <v>639</v>
      </c>
      <c r="C175" s="198" t="s">
        <v>640</v>
      </c>
    </row>
    <row r="176" spans="1:6" ht="58.5" customHeight="1">
      <c r="A176" s="201">
        <v>925</v>
      </c>
      <c r="B176" s="500" t="s">
        <v>563</v>
      </c>
      <c r="C176" s="198" t="s">
        <v>22</v>
      </c>
    </row>
    <row r="177" spans="1:6" ht="75.75" customHeight="1">
      <c r="A177" s="201">
        <v>925</v>
      </c>
      <c r="B177" s="500" t="s">
        <v>872</v>
      </c>
      <c r="C177" s="198" t="s">
        <v>873</v>
      </c>
    </row>
    <row r="178" spans="1:6" ht="112.5">
      <c r="A178" s="201">
        <v>925</v>
      </c>
      <c r="B178" s="500" t="s">
        <v>989</v>
      </c>
      <c r="C178" s="198" t="s">
        <v>991</v>
      </c>
    </row>
    <row r="179" spans="1:6" ht="112.5">
      <c r="A179" s="201">
        <v>925</v>
      </c>
      <c r="B179" s="500" t="s">
        <v>990</v>
      </c>
      <c r="C179" s="198" t="s">
        <v>992</v>
      </c>
    </row>
    <row r="180" spans="1:6" ht="81" customHeight="1">
      <c r="A180" s="201">
        <v>925</v>
      </c>
      <c r="B180" s="500" t="s">
        <v>564</v>
      </c>
      <c r="C180" s="198" t="s">
        <v>457</v>
      </c>
    </row>
    <row r="181" spans="1:6" ht="56.25">
      <c r="A181" s="491">
        <v>926</v>
      </c>
      <c r="B181" s="201"/>
      <c r="C181" s="203" t="s">
        <v>25</v>
      </c>
    </row>
    <row r="182" spans="1:6" ht="100.5" customHeight="1">
      <c r="A182" s="500">
        <v>926</v>
      </c>
      <c r="B182" s="500" t="s">
        <v>674</v>
      </c>
      <c r="C182" s="198" t="s">
        <v>675</v>
      </c>
    </row>
    <row r="183" spans="1:6" ht="40.5" customHeight="1">
      <c r="A183" s="500">
        <v>926</v>
      </c>
      <c r="B183" s="500" t="s">
        <v>615</v>
      </c>
      <c r="C183" s="198" t="s">
        <v>30</v>
      </c>
    </row>
    <row r="184" spans="1:6" s="192" customFormat="1" ht="45.75" customHeight="1">
      <c r="A184" s="500">
        <v>926</v>
      </c>
      <c r="B184" s="500" t="s">
        <v>616</v>
      </c>
      <c r="C184" s="198" t="s">
        <v>617</v>
      </c>
      <c r="D184" s="191"/>
      <c r="E184" s="191"/>
      <c r="F184" s="191"/>
    </row>
    <row r="185" spans="1:6" s="573" customFormat="1" ht="111" customHeight="1">
      <c r="A185" s="500">
        <v>926</v>
      </c>
      <c r="B185" s="500" t="s">
        <v>731</v>
      </c>
      <c r="C185" s="198" t="s">
        <v>859</v>
      </c>
      <c r="D185" s="572"/>
      <c r="E185" s="572"/>
      <c r="F185" s="572"/>
    </row>
    <row r="186" spans="1:6" s="192" customFormat="1" ht="109.5" customHeight="1">
      <c r="A186" s="201">
        <v>926</v>
      </c>
      <c r="B186" s="201" t="s">
        <v>620</v>
      </c>
      <c r="C186" s="198" t="s">
        <v>669</v>
      </c>
      <c r="D186" s="191"/>
      <c r="E186" s="191"/>
      <c r="F186" s="191"/>
    </row>
    <row r="187" spans="1:6" s="192" customFormat="1" ht="63" customHeight="1">
      <c r="A187" s="201">
        <v>926</v>
      </c>
      <c r="B187" s="201" t="s">
        <v>624</v>
      </c>
      <c r="C187" s="198" t="s">
        <v>625</v>
      </c>
      <c r="D187" s="191"/>
      <c r="E187" s="191"/>
      <c r="F187" s="191"/>
    </row>
    <row r="188" spans="1:6" s="192" customFormat="1" ht="37.5">
      <c r="A188" s="201">
        <v>926</v>
      </c>
      <c r="B188" s="201" t="s">
        <v>635</v>
      </c>
      <c r="C188" s="198" t="s">
        <v>2</v>
      </c>
      <c r="D188" s="191"/>
      <c r="E188" s="191"/>
      <c r="F188" s="191"/>
    </row>
    <row r="189" spans="1:6" ht="37.5">
      <c r="A189" s="201">
        <v>926</v>
      </c>
      <c r="B189" s="500" t="s">
        <v>542</v>
      </c>
      <c r="C189" s="198" t="s">
        <v>4</v>
      </c>
    </row>
    <row r="190" spans="1:6" ht="96" customHeight="1">
      <c r="A190" s="201">
        <v>926</v>
      </c>
      <c r="B190" s="500" t="s">
        <v>547</v>
      </c>
      <c r="C190" s="198" t="s">
        <v>16</v>
      </c>
    </row>
    <row r="191" spans="1:6" ht="37.5">
      <c r="A191" s="201">
        <v>926</v>
      </c>
      <c r="B191" s="500" t="s">
        <v>550</v>
      </c>
      <c r="C191" s="198" t="s">
        <v>21</v>
      </c>
    </row>
    <row r="192" spans="1:6" ht="56.25">
      <c r="A192" s="201">
        <v>926</v>
      </c>
      <c r="B192" s="500" t="s">
        <v>639</v>
      </c>
      <c r="C192" s="198" t="s">
        <v>640</v>
      </c>
    </row>
    <row r="193" spans="1:6" ht="56.25">
      <c r="A193" s="201">
        <v>926</v>
      </c>
      <c r="B193" s="500" t="s">
        <v>563</v>
      </c>
      <c r="C193" s="198" t="s">
        <v>22</v>
      </c>
    </row>
    <row r="194" spans="1:6" ht="58.5" customHeight="1">
      <c r="A194" s="196">
        <v>926</v>
      </c>
      <c r="B194" s="199" t="s">
        <v>875</v>
      </c>
      <c r="C194" s="198" t="s">
        <v>874</v>
      </c>
    </row>
    <row r="195" spans="1:6" ht="79.5" customHeight="1">
      <c r="A195" s="201">
        <v>926</v>
      </c>
      <c r="B195" s="500" t="s">
        <v>564</v>
      </c>
      <c r="C195" s="198" t="s">
        <v>457</v>
      </c>
    </row>
    <row r="196" spans="1:6" ht="59.25" customHeight="1">
      <c r="A196" s="491">
        <v>929</v>
      </c>
      <c r="B196" s="500"/>
      <c r="C196" s="203" t="s">
        <v>26</v>
      </c>
    </row>
    <row r="197" spans="1:6" s="858" customFormat="1" ht="98.25" customHeight="1">
      <c r="A197" s="855">
        <v>929</v>
      </c>
      <c r="B197" s="855" t="s">
        <v>674</v>
      </c>
      <c r="C197" s="856" t="s">
        <v>675</v>
      </c>
      <c r="D197" s="857"/>
    </row>
    <row r="198" spans="1:6" ht="37.5">
      <c r="A198" s="201">
        <v>929</v>
      </c>
      <c r="B198" s="201" t="s">
        <v>616</v>
      </c>
      <c r="C198" s="198" t="s">
        <v>617</v>
      </c>
    </row>
    <row r="199" spans="1:6" ht="131.25">
      <c r="A199" s="500">
        <v>929</v>
      </c>
      <c r="B199" s="500" t="s">
        <v>657</v>
      </c>
      <c r="C199" s="198" t="s">
        <v>658</v>
      </c>
      <c r="D199" s="244"/>
      <c r="E199" s="244"/>
      <c r="F199" s="244"/>
    </row>
    <row r="200" spans="1:6" s="573" customFormat="1" ht="116.25" customHeight="1">
      <c r="A200" s="500">
        <v>929</v>
      </c>
      <c r="B200" s="500" t="s">
        <v>731</v>
      </c>
      <c r="C200" s="198" t="s">
        <v>859</v>
      </c>
      <c r="D200" s="572"/>
      <c r="E200" s="572"/>
      <c r="F200" s="572"/>
    </row>
    <row r="201" spans="1:6" s="573" customFormat="1" ht="111" customHeight="1">
      <c r="A201" s="500">
        <v>929</v>
      </c>
      <c r="B201" s="500" t="s">
        <v>618</v>
      </c>
      <c r="C201" s="198" t="s">
        <v>619</v>
      </c>
      <c r="D201" s="572"/>
      <c r="E201" s="572"/>
      <c r="F201" s="572"/>
    </row>
    <row r="202" spans="1:6" ht="37.5">
      <c r="A202" s="500">
        <v>929</v>
      </c>
      <c r="B202" s="201" t="s">
        <v>635</v>
      </c>
      <c r="C202" s="198" t="s">
        <v>2</v>
      </c>
      <c r="D202" s="244"/>
      <c r="E202" s="244"/>
      <c r="F202" s="244"/>
    </row>
    <row r="203" spans="1:6" ht="37.5">
      <c r="A203" s="500">
        <v>929</v>
      </c>
      <c r="B203" s="500" t="s">
        <v>636</v>
      </c>
      <c r="C203" s="243" t="s">
        <v>529</v>
      </c>
      <c r="D203" s="244"/>
      <c r="E203" s="244"/>
      <c r="F203" s="244"/>
    </row>
    <row r="204" spans="1:6" ht="57.75" customHeight="1">
      <c r="A204" s="500">
        <v>929</v>
      </c>
      <c r="B204" s="501" t="s">
        <v>889</v>
      </c>
      <c r="C204" s="230" t="s">
        <v>890</v>
      </c>
      <c r="D204" s="244"/>
      <c r="E204" s="244"/>
      <c r="F204" s="244"/>
    </row>
    <row r="205" spans="1:6" ht="30" customHeight="1">
      <c r="A205" s="201">
        <v>929</v>
      </c>
      <c r="B205" s="500" t="s">
        <v>542</v>
      </c>
      <c r="C205" s="198" t="s">
        <v>4</v>
      </c>
    </row>
    <row r="206" spans="1:6" ht="56.25">
      <c r="A206" s="500">
        <v>929</v>
      </c>
      <c r="B206" s="500" t="s">
        <v>543</v>
      </c>
      <c r="C206" s="198" t="s">
        <v>5</v>
      </c>
    </row>
    <row r="207" spans="1:6" ht="75">
      <c r="A207" s="201">
        <v>929</v>
      </c>
      <c r="B207" s="500" t="s">
        <v>564</v>
      </c>
      <c r="C207" s="198" t="s">
        <v>457</v>
      </c>
    </row>
    <row r="208" spans="1:6" ht="43.5" customHeight="1">
      <c r="A208" s="491">
        <v>934</v>
      </c>
      <c r="B208" s="500"/>
      <c r="C208" s="203" t="s">
        <v>27</v>
      </c>
    </row>
    <row r="209" spans="1:8" s="192" customFormat="1" ht="37.5">
      <c r="A209" s="201">
        <v>934</v>
      </c>
      <c r="B209" s="201" t="s">
        <v>616</v>
      </c>
      <c r="C209" s="198" t="s">
        <v>617</v>
      </c>
      <c r="D209" s="191"/>
      <c r="E209" s="191"/>
      <c r="F209" s="191"/>
    </row>
    <row r="210" spans="1:8" s="573" customFormat="1" ht="114" customHeight="1">
      <c r="A210" s="500">
        <v>934</v>
      </c>
      <c r="B210" s="500" t="s">
        <v>731</v>
      </c>
      <c r="C210" s="198" t="s">
        <v>859</v>
      </c>
      <c r="D210" s="572"/>
      <c r="E210" s="572"/>
      <c r="F210" s="572"/>
    </row>
    <row r="211" spans="1:8" s="192" customFormat="1" ht="59.25" customHeight="1">
      <c r="A211" s="201">
        <v>934</v>
      </c>
      <c r="B211" s="201" t="s">
        <v>624</v>
      </c>
      <c r="C211" s="198" t="s">
        <v>625</v>
      </c>
      <c r="D211" s="191"/>
      <c r="E211" s="191"/>
      <c r="F211" s="191"/>
    </row>
    <row r="212" spans="1:8" s="192" customFormat="1" ht="37.5">
      <c r="A212" s="500">
        <v>934</v>
      </c>
      <c r="B212" s="201" t="s">
        <v>635</v>
      </c>
      <c r="C212" s="198" t="s">
        <v>2</v>
      </c>
      <c r="D212" s="191"/>
      <c r="E212" s="191"/>
      <c r="F212" s="191"/>
    </row>
    <row r="213" spans="1:8" ht="43.5" customHeight="1">
      <c r="A213" s="491">
        <v>953</v>
      </c>
      <c r="B213" s="201"/>
      <c r="C213" s="203" t="s">
        <v>28</v>
      </c>
    </row>
    <row r="214" spans="1:8" ht="37.5">
      <c r="A214" s="500">
        <v>953</v>
      </c>
      <c r="B214" s="201" t="s">
        <v>616</v>
      </c>
      <c r="C214" s="198" t="s">
        <v>617</v>
      </c>
    </row>
    <row r="215" spans="1:8" s="192" customFormat="1" ht="37.5">
      <c r="A215" s="500">
        <v>953</v>
      </c>
      <c r="B215" s="201" t="s">
        <v>635</v>
      </c>
      <c r="C215" s="198" t="s">
        <v>2</v>
      </c>
      <c r="D215" s="191"/>
      <c r="E215" s="191"/>
      <c r="F215" s="191"/>
    </row>
    <row r="216" spans="1:8" ht="56.25">
      <c r="A216" s="201">
        <v>953</v>
      </c>
      <c r="B216" s="500" t="s">
        <v>543</v>
      </c>
      <c r="C216" s="198" t="s">
        <v>5</v>
      </c>
    </row>
    <row r="217" spans="1:8" ht="75.75" customHeight="1">
      <c r="A217" s="201">
        <v>953</v>
      </c>
      <c r="B217" s="500" t="s">
        <v>552</v>
      </c>
      <c r="C217" s="198" t="s">
        <v>29</v>
      </c>
    </row>
    <row r="218" spans="1:8" ht="75">
      <c r="A218" s="201">
        <v>953</v>
      </c>
      <c r="B218" s="500" t="s">
        <v>564</v>
      </c>
      <c r="C218" s="198" t="s">
        <v>457</v>
      </c>
    </row>
    <row r="220" spans="1:8" ht="18.75">
      <c r="A220" s="926" t="s">
        <v>363</v>
      </c>
      <c r="B220" s="926"/>
      <c r="C220" s="926"/>
    </row>
    <row r="223" spans="1:8" s="209" customFormat="1" ht="18.75">
      <c r="A223" s="506" t="s">
        <v>467</v>
      </c>
      <c r="B223" s="503"/>
      <c r="C223" s="497"/>
      <c r="D223" s="206"/>
      <c r="E223" s="206"/>
      <c r="F223" s="206"/>
      <c r="G223" s="207"/>
      <c r="H223" s="208"/>
    </row>
    <row r="224" spans="1:8" s="209" customFormat="1" ht="18.75">
      <c r="A224" s="506" t="s">
        <v>468</v>
      </c>
      <c r="B224" s="503"/>
      <c r="C224" s="497"/>
      <c r="D224" s="206"/>
      <c r="E224" s="206"/>
      <c r="F224" s="206"/>
      <c r="G224" s="207"/>
      <c r="H224" s="208"/>
    </row>
    <row r="225" spans="1:6" s="209" customFormat="1" ht="18.75">
      <c r="A225" s="507" t="s">
        <v>469</v>
      </c>
      <c r="B225" s="503"/>
      <c r="C225" s="498" t="s">
        <v>494</v>
      </c>
      <c r="D225" s="206"/>
      <c r="E225" s="206"/>
      <c r="F225" s="206"/>
    </row>
  </sheetData>
  <mergeCells count="5">
    <mergeCell ref="A220:C220"/>
    <mergeCell ref="A7:C7"/>
    <mergeCell ref="A9:B9"/>
    <mergeCell ref="C10:C11"/>
    <mergeCell ref="A10:B10"/>
  </mergeCells>
  <printOptions horizontalCentered="1"/>
  <pageMargins left="1.1811023622047245" right="0.39370078740157483" top="0.78740157480314965" bottom="0.39370078740157483" header="0.11811023622047245" footer="0.11811023622047245"/>
  <pageSetup paperSize="9" scale="75" fitToHeight="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L566"/>
  <sheetViews>
    <sheetView zoomScale="80" zoomScaleNormal="80" workbookViewId="0">
      <selection activeCell="H2" sqref="H2"/>
    </sheetView>
  </sheetViews>
  <sheetFormatPr defaultColWidth="9.140625" defaultRowHeight="15.75"/>
  <cols>
    <col min="1" max="1" width="4.5703125" style="274" customWidth="1"/>
    <col min="2" max="2" width="62.42578125" style="275" customWidth="1"/>
    <col min="3" max="3" width="3.140625" style="276" customWidth="1"/>
    <col min="4" max="4" width="2" style="276" customWidth="1"/>
    <col min="5" max="5" width="3.140625" style="276" customWidth="1"/>
    <col min="6" max="6" width="8.7109375" style="276" customWidth="1"/>
    <col min="7" max="7" width="5.5703125" style="277" customWidth="1"/>
    <col min="8" max="8" width="15.7109375" style="280" customWidth="1"/>
    <col min="9" max="9" width="9.140625" style="279"/>
    <col min="10" max="10" width="17.7109375" style="279" customWidth="1"/>
    <col min="11" max="16384" width="9.140625" style="279"/>
  </cols>
  <sheetData>
    <row r="1" spans="1:12" s="193" customFormat="1" ht="18.75">
      <c r="H1" s="444" t="s">
        <v>539</v>
      </c>
      <c r="K1" s="706"/>
      <c r="L1" s="707"/>
    </row>
    <row r="2" spans="1:12" s="193" customFormat="1" ht="18.75">
      <c r="H2" s="444" t="s">
        <v>1029</v>
      </c>
      <c r="K2" s="706"/>
      <c r="L2" s="708"/>
    </row>
    <row r="4" spans="1:12" ht="18.75">
      <c r="H4" s="278" t="s">
        <v>540</v>
      </c>
    </row>
    <row r="5" spans="1:12" ht="18.75">
      <c r="H5" s="495" t="s">
        <v>917</v>
      </c>
    </row>
    <row r="8" spans="1:12" ht="72" customHeight="1">
      <c r="A8" s="959" t="s">
        <v>771</v>
      </c>
      <c r="B8" s="959"/>
      <c r="C8" s="959"/>
      <c r="D8" s="959"/>
      <c r="E8" s="959"/>
      <c r="F8" s="959"/>
      <c r="G8" s="959"/>
      <c r="H8" s="959"/>
    </row>
    <row r="9" spans="1:12">
      <c r="A9" s="279"/>
      <c r="B9" s="279"/>
      <c r="C9" s="274"/>
      <c r="D9" s="274"/>
      <c r="E9" s="274"/>
      <c r="F9" s="274"/>
      <c r="G9" s="280"/>
    </row>
    <row r="10" spans="1:12" ht="18.75">
      <c r="A10" s="281"/>
      <c r="B10" s="282"/>
      <c r="C10" s="283"/>
      <c r="D10" s="283"/>
      <c r="E10" s="283"/>
      <c r="F10" s="283"/>
      <c r="G10" s="279"/>
      <c r="H10" s="284" t="s">
        <v>42</v>
      </c>
    </row>
    <row r="11" spans="1:12" ht="37.15" customHeight="1">
      <c r="A11" s="748" t="s">
        <v>43</v>
      </c>
      <c r="B11" s="749" t="s">
        <v>44</v>
      </c>
      <c r="C11" s="960" t="s">
        <v>48</v>
      </c>
      <c r="D11" s="961"/>
      <c r="E11" s="961"/>
      <c r="F11" s="962"/>
      <c r="G11" s="749" t="s">
        <v>49</v>
      </c>
      <c r="H11" s="285" t="s">
        <v>33</v>
      </c>
    </row>
    <row r="12" spans="1:12" ht="18.75">
      <c r="A12" s="286">
        <v>1</v>
      </c>
      <c r="B12" s="287">
        <v>2</v>
      </c>
      <c r="C12" s="963" t="s">
        <v>50</v>
      </c>
      <c r="D12" s="964"/>
      <c r="E12" s="964"/>
      <c r="F12" s="965"/>
      <c r="G12" s="288" t="s">
        <v>51</v>
      </c>
      <c r="H12" s="289">
        <v>5</v>
      </c>
    </row>
    <row r="13" spans="1:12" ht="19.5" customHeight="1">
      <c r="A13" s="290"/>
      <c r="B13" s="291" t="s">
        <v>224</v>
      </c>
      <c r="C13" s="292"/>
      <c r="D13" s="292"/>
      <c r="E13" s="292"/>
      <c r="F13" s="292"/>
      <c r="G13" s="293"/>
      <c r="H13" s="294">
        <f>H14+H142+H196+H231+H256+H290+H312+H347+H396+H405+H411+H421+H429+H435+H505+H547+H383+H499+H513</f>
        <v>1639630.0900000003</v>
      </c>
      <c r="J13" s="295">
        <f>H13-'прил12(ведом 21)'!M14</f>
        <v>0</v>
      </c>
    </row>
    <row r="14" spans="1:12" s="302" customFormat="1" ht="56.25">
      <c r="A14" s="296">
        <v>1</v>
      </c>
      <c r="B14" s="297" t="s">
        <v>227</v>
      </c>
      <c r="C14" s="298" t="s">
        <v>59</v>
      </c>
      <c r="D14" s="298" t="s">
        <v>62</v>
      </c>
      <c r="E14" s="298" t="s">
        <v>63</v>
      </c>
      <c r="F14" s="299" t="s">
        <v>64</v>
      </c>
      <c r="G14" s="300"/>
      <c r="H14" s="301">
        <f>H15+H79+H106</f>
        <v>1122528.8600000001</v>
      </c>
    </row>
    <row r="15" spans="1:12" ht="18.75" customHeight="1">
      <c r="A15" s="290"/>
      <c r="B15" s="303" t="s">
        <v>228</v>
      </c>
      <c r="C15" s="745" t="s">
        <v>59</v>
      </c>
      <c r="D15" s="745" t="s">
        <v>65</v>
      </c>
      <c r="E15" s="745" t="s">
        <v>63</v>
      </c>
      <c r="F15" s="746" t="s">
        <v>64</v>
      </c>
      <c r="G15" s="288"/>
      <c r="H15" s="304">
        <f>H16+H37+H76</f>
        <v>988898.20000000007</v>
      </c>
    </row>
    <row r="16" spans="1:12" ht="17.25" customHeight="1">
      <c r="A16" s="290"/>
      <c r="B16" s="303" t="s">
        <v>307</v>
      </c>
      <c r="C16" s="750" t="s">
        <v>59</v>
      </c>
      <c r="D16" s="751" t="s">
        <v>65</v>
      </c>
      <c r="E16" s="751" t="s">
        <v>57</v>
      </c>
      <c r="F16" s="752" t="s">
        <v>64</v>
      </c>
      <c r="G16" s="288"/>
      <c r="H16" s="304">
        <f>H26+H29+H31+H17+H21+H23+H19+H33+H35</f>
        <v>365963</v>
      </c>
    </row>
    <row r="17" spans="1:8" ht="37.5">
      <c r="A17" s="290"/>
      <c r="B17" s="303" t="s">
        <v>795</v>
      </c>
      <c r="C17" s="750" t="s">
        <v>59</v>
      </c>
      <c r="D17" s="751" t="s">
        <v>65</v>
      </c>
      <c r="E17" s="751" t="s">
        <v>57</v>
      </c>
      <c r="F17" s="752" t="s">
        <v>112</v>
      </c>
      <c r="G17" s="149"/>
      <c r="H17" s="304">
        <f>H18</f>
        <v>93991.700000000012</v>
      </c>
    </row>
    <row r="18" spans="1:8" ht="37.5" customHeight="1">
      <c r="A18" s="290"/>
      <c r="B18" s="303" t="s">
        <v>97</v>
      </c>
      <c r="C18" s="750" t="s">
        <v>59</v>
      </c>
      <c r="D18" s="751" t="s">
        <v>65</v>
      </c>
      <c r="E18" s="751" t="s">
        <v>57</v>
      </c>
      <c r="F18" s="752" t="s">
        <v>112</v>
      </c>
      <c r="G18" s="149" t="s">
        <v>98</v>
      </c>
      <c r="H18" s="304">
        <f>'прил12(ведом 21)'!M389</f>
        <v>93991.700000000012</v>
      </c>
    </row>
    <row r="19" spans="1:8" ht="24.75" customHeight="1">
      <c r="A19" s="290"/>
      <c r="B19" s="163" t="s">
        <v>796</v>
      </c>
      <c r="C19" s="750" t="s">
        <v>59</v>
      </c>
      <c r="D19" s="751" t="s">
        <v>65</v>
      </c>
      <c r="E19" s="751" t="s">
        <v>57</v>
      </c>
      <c r="F19" s="752" t="s">
        <v>479</v>
      </c>
      <c r="G19" s="149"/>
      <c r="H19" s="304">
        <f>H20</f>
        <v>2631.1</v>
      </c>
    </row>
    <row r="20" spans="1:8" ht="38.25" customHeight="1">
      <c r="A20" s="290"/>
      <c r="B20" s="163" t="s">
        <v>97</v>
      </c>
      <c r="C20" s="750" t="s">
        <v>59</v>
      </c>
      <c r="D20" s="751" t="s">
        <v>65</v>
      </c>
      <c r="E20" s="751" t="s">
        <v>57</v>
      </c>
      <c r="F20" s="752" t="s">
        <v>479</v>
      </c>
      <c r="G20" s="149" t="s">
        <v>98</v>
      </c>
      <c r="H20" s="304">
        <f>'прил12(ведом 21)'!M391</f>
        <v>2631.1</v>
      </c>
    </row>
    <row r="21" spans="1:8" ht="38.25" customHeight="1">
      <c r="A21" s="290"/>
      <c r="B21" s="163" t="s">
        <v>229</v>
      </c>
      <c r="C21" s="750" t="s">
        <v>59</v>
      </c>
      <c r="D21" s="751" t="s">
        <v>65</v>
      </c>
      <c r="E21" s="751" t="s">
        <v>57</v>
      </c>
      <c r="F21" s="752" t="s">
        <v>313</v>
      </c>
      <c r="G21" s="149"/>
      <c r="H21" s="304">
        <f>H22</f>
        <v>14111.9</v>
      </c>
    </row>
    <row r="22" spans="1:8" ht="41.25" customHeight="1">
      <c r="A22" s="290"/>
      <c r="B22" s="163" t="s">
        <v>97</v>
      </c>
      <c r="C22" s="750" t="s">
        <v>59</v>
      </c>
      <c r="D22" s="751" t="s">
        <v>65</v>
      </c>
      <c r="E22" s="751" t="s">
        <v>57</v>
      </c>
      <c r="F22" s="752" t="s">
        <v>313</v>
      </c>
      <c r="G22" s="149" t="s">
        <v>98</v>
      </c>
      <c r="H22" s="304">
        <f>'прил12(ведом 21)'!M393</f>
        <v>14111.9</v>
      </c>
    </row>
    <row r="23" spans="1:8" ht="36" customHeight="1">
      <c r="A23" s="290"/>
      <c r="B23" s="163" t="s">
        <v>230</v>
      </c>
      <c r="C23" s="750" t="s">
        <v>59</v>
      </c>
      <c r="D23" s="751" t="s">
        <v>65</v>
      </c>
      <c r="E23" s="751" t="s">
        <v>57</v>
      </c>
      <c r="F23" s="752" t="s">
        <v>314</v>
      </c>
      <c r="G23" s="149"/>
      <c r="H23" s="304">
        <f>H24+H25</f>
        <v>3250.9999999999995</v>
      </c>
    </row>
    <row r="24" spans="1:8" ht="39" customHeight="1">
      <c r="A24" s="290"/>
      <c r="B24" s="306" t="s">
        <v>225</v>
      </c>
      <c r="C24" s="750" t="s">
        <v>59</v>
      </c>
      <c r="D24" s="751" t="s">
        <v>65</v>
      </c>
      <c r="E24" s="751" t="s">
        <v>57</v>
      </c>
      <c r="F24" s="752" t="s">
        <v>314</v>
      </c>
      <c r="G24" s="149" t="s">
        <v>226</v>
      </c>
      <c r="H24" s="304">
        <f>'прил12(ведом 21)'!M352</f>
        <v>3192.7999999999997</v>
      </c>
    </row>
    <row r="25" spans="1:8" s="910" customFormat="1" ht="39" customHeight="1">
      <c r="A25" s="907"/>
      <c r="B25" s="903" t="s">
        <v>97</v>
      </c>
      <c r="C25" s="904" t="s">
        <v>59</v>
      </c>
      <c r="D25" s="905" t="s">
        <v>65</v>
      </c>
      <c r="E25" s="905" t="s">
        <v>57</v>
      </c>
      <c r="F25" s="906" t="s">
        <v>314</v>
      </c>
      <c r="G25" s="895" t="s">
        <v>98</v>
      </c>
      <c r="H25" s="901">
        <f>'прил12(ведом 21)'!M395</f>
        <v>58.2</v>
      </c>
    </row>
    <row r="26" spans="1:8" ht="112.5" customHeight="1">
      <c r="A26" s="290"/>
      <c r="B26" s="303" t="s">
        <v>323</v>
      </c>
      <c r="C26" s="750" t="s">
        <v>59</v>
      </c>
      <c r="D26" s="751" t="s">
        <v>65</v>
      </c>
      <c r="E26" s="751" t="s">
        <v>57</v>
      </c>
      <c r="F26" s="752" t="s">
        <v>324</v>
      </c>
      <c r="G26" s="149"/>
      <c r="H26" s="304">
        <f>SUM(H27:H28)</f>
        <v>8034.2</v>
      </c>
    </row>
    <row r="27" spans="1:8" ht="37.5">
      <c r="A27" s="290"/>
      <c r="B27" s="303" t="s">
        <v>75</v>
      </c>
      <c r="C27" s="750" t="s">
        <v>59</v>
      </c>
      <c r="D27" s="751" t="s">
        <v>65</v>
      </c>
      <c r="E27" s="751" t="s">
        <v>57</v>
      </c>
      <c r="F27" s="752" t="s">
        <v>324</v>
      </c>
      <c r="G27" s="149" t="s">
        <v>76</v>
      </c>
      <c r="H27" s="304">
        <f>'прил12(ведом 21)'!M524</f>
        <v>118.7</v>
      </c>
    </row>
    <row r="28" spans="1:8" ht="22.5" customHeight="1">
      <c r="A28" s="290"/>
      <c r="B28" s="305" t="s">
        <v>141</v>
      </c>
      <c r="C28" s="750" t="s">
        <v>59</v>
      </c>
      <c r="D28" s="751" t="s">
        <v>65</v>
      </c>
      <c r="E28" s="751" t="s">
        <v>57</v>
      </c>
      <c r="F28" s="752" t="s">
        <v>324</v>
      </c>
      <c r="G28" s="149" t="s">
        <v>142</v>
      </c>
      <c r="H28" s="304">
        <f>'прил12(ведом 21)'!M525</f>
        <v>7915.5</v>
      </c>
    </row>
    <row r="29" spans="1:8" ht="18.75">
      <c r="A29" s="290"/>
      <c r="B29" s="303" t="s">
        <v>308</v>
      </c>
      <c r="C29" s="750" t="s">
        <v>59</v>
      </c>
      <c r="D29" s="751" t="s">
        <v>65</v>
      </c>
      <c r="E29" s="751" t="s">
        <v>57</v>
      </c>
      <c r="F29" s="752" t="s">
        <v>309</v>
      </c>
      <c r="G29" s="149"/>
      <c r="H29" s="304">
        <f>H30</f>
        <v>503.3</v>
      </c>
    </row>
    <row r="30" spans="1:8" ht="41.25" customHeight="1">
      <c r="A30" s="290"/>
      <c r="B30" s="303" t="s">
        <v>97</v>
      </c>
      <c r="C30" s="750" t="s">
        <v>59</v>
      </c>
      <c r="D30" s="751" t="s">
        <v>65</v>
      </c>
      <c r="E30" s="751" t="s">
        <v>57</v>
      </c>
      <c r="F30" s="752" t="s">
        <v>309</v>
      </c>
      <c r="G30" s="149" t="s">
        <v>98</v>
      </c>
      <c r="H30" s="304">
        <f>'прил12(ведом 21)'!M397</f>
        <v>503.3</v>
      </c>
    </row>
    <row r="31" spans="1:8" ht="97.5" customHeight="1">
      <c r="A31" s="290"/>
      <c r="B31" s="303" t="s">
        <v>415</v>
      </c>
      <c r="C31" s="750" t="s">
        <v>59</v>
      </c>
      <c r="D31" s="751" t="s">
        <v>65</v>
      </c>
      <c r="E31" s="751" t="s">
        <v>57</v>
      </c>
      <c r="F31" s="752" t="s">
        <v>310</v>
      </c>
      <c r="G31" s="149"/>
      <c r="H31" s="304">
        <f>H32</f>
        <v>212697.8</v>
      </c>
    </row>
    <row r="32" spans="1:8" ht="39.75" customHeight="1">
      <c r="A32" s="290"/>
      <c r="B32" s="305" t="s">
        <v>97</v>
      </c>
      <c r="C32" s="750" t="s">
        <v>59</v>
      </c>
      <c r="D32" s="751" t="s">
        <v>65</v>
      </c>
      <c r="E32" s="751" t="s">
        <v>57</v>
      </c>
      <c r="F32" s="752" t="s">
        <v>310</v>
      </c>
      <c r="G32" s="149" t="s">
        <v>98</v>
      </c>
      <c r="H32" s="304">
        <f>'прил12(ведом 21)'!M399</f>
        <v>212697.8</v>
      </c>
    </row>
    <row r="33" spans="1:8" ht="56.25">
      <c r="A33" s="290"/>
      <c r="B33" s="163" t="s">
        <v>1009</v>
      </c>
      <c r="C33" s="750" t="s">
        <v>59</v>
      </c>
      <c r="D33" s="751" t="s">
        <v>65</v>
      </c>
      <c r="E33" s="751" t="s">
        <v>57</v>
      </c>
      <c r="F33" s="752" t="s">
        <v>1010</v>
      </c>
      <c r="G33" s="149"/>
      <c r="H33" s="304">
        <f>H34</f>
        <v>1420</v>
      </c>
    </row>
    <row r="34" spans="1:8" ht="39.75" customHeight="1">
      <c r="A34" s="290"/>
      <c r="B34" s="305" t="s">
        <v>97</v>
      </c>
      <c r="C34" s="750" t="s">
        <v>59</v>
      </c>
      <c r="D34" s="751" t="s">
        <v>65</v>
      </c>
      <c r="E34" s="751" t="s">
        <v>57</v>
      </c>
      <c r="F34" s="752" t="s">
        <v>1010</v>
      </c>
      <c r="G34" s="149" t="s">
        <v>98</v>
      </c>
      <c r="H34" s="304">
        <f>'прил12(ведом 21)'!M401</f>
        <v>1420</v>
      </c>
    </row>
    <row r="35" spans="1:8" s="910" customFormat="1" ht="18.75">
      <c r="A35" s="907"/>
      <c r="B35" s="908" t="s">
        <v>1027</v>
      </c>
      <c r="C35" s="904" t="s">
        <v>59</v>
      </c>
      <c r="D35" s="905" t="s">
        <v>65</v>
      </c>
      <c r="E35" s="905" t="s">
        <v>57</v>
      </c>
      <c r="F35" s="906" t="s">
        <v>1026</v>
      </c>
      <c r="G35" s="895"/>
      <c r="H35" s="909">
        <f>H36</f>
        <v>29322</v>
      </c>
    </row>
    <row r="36" spans="1:8" ht="37.5">
      <c r="A36" s="290"/>
      <c r="B36" s="863" t="s">
        <v>225</v>
      </c>
      <c r="C36" s="781" t="s">
        <v>59</v>
      </c>
      <c r="D36" s="782" t="s">
        <v>65</v>
      </c>
      <c r="E36" s="782" t="s">
        <v>57</v>
      </c>
      <c r="F36" s="783" t="s">
        <v>1026</v>
      </c>
      <c r="G36" s="149" t="s">
        <v>226</v>
      </c>
      <c r="H36" s="873">
        <f>'прил12(ведом 21)'!M354</f>
        <v>29322</v>
      </c>
    </row>
    <row r="37" spans="1:8" ht="18.75">
      <c r="A37" s="290"/>
      <c r="B37" s="303" t="s">
        <v>312</v>
      </c>
      <c r="C37" s="750" t="s">
        <v>59</v>
      </c>
      <c r="D37" s="751" t="s">
        <v>65</v>
      </c>
      <c r="E37" s="751" t="s">
        <v>59</v>
      </c>
      <c r="F37" s="752" t="s">
        <v>64</v>
      </c>
      <c r="G37" s="149"/>
      <c r="H37" s="304">
        <f>H46+H49+H57+H61+H65+H38+H43+H68+H71+H54+H74</f>
        <v>622485.20000000007</v>
      </c>
    </row>
    <row r="38" spans="1:8" ht="37.5">
      <c r="A38" s="290"/>
      <c r="B38" s="303" t="s">
        <v>795</v>
      </c>
      <c r="C38" s="750" t="s">
        <v>59</v>
      </c>
      <c r="D38" s="751" t="s">
        <v>65</v>
      </c>
      <c r="E38" s="751" t="s">
        <v>59</v>
      </c>
      <c r="F38" s="752" t="s">
        <v>112</v>
      </c>
      <c r="G38" s="149"/>
      <c r="H38" s="304">
        <f>SUM(H39:H42)</f>
        <v>59603.4</v>
      </c>
    </row>
    <row r="39" spans="1:8" ht="93.75">
      <c r="A39" s="290"/>
      <c r="B39" s="163" t="s">
        <v>69</v>
      </c>
      <c r="C39" s="750" t="s">
        <v>59</v>
      </c>
      <c r="D39" s="751" t="s">
        <v>65</v>
      </c>
      <c r="E39" s="751" t="s">
        <v>59</v>
      </c>
      <c r="F39" s="752" t="s">
        <v>112</v>
      </c>
      <c r="G39" s="149" t="s">
        <v>70</v>
      </c>
      <c r="H39" s="304">
        <f>'прил12(ведом 21)'!M415</f>
        <v>899.4</v>
      </c>
    </row>
    <row r="40" spans="1:8" ht="37.5">
      <c r="A40" s="290"/>
      <c r="B40" s="163" t="s">
        <v>75</v>
      </c>
      <c r="C40" s="750" t="s">
        <v>59</v>
      </c>
      <c r="D40" s="751" t="s">
        <v>65</v>
      </c>
      <c r="E40" s="751" t="s">
        <v>59</v>
      </c>
      <c r="F40" s="752" t="s">
        <v>112</v>
      </c>
      <c r="G40" s="149" t="s">
        <v>76</v>
      </c>
      <c r="H40" s="304">
        <f>'прил12(ведом 21)'!M416</f>
        <v>4731.5999999999995</v>
      </c>
    </row>
    <row r="41" spans="1:8" ht="40.5" customHeight="1">
      <c r="A41" s="290"/>
      <c r="B41" s="303" t="s">
        <v>97</v>
      </c>
      <c r="C41" s="750" t="s">
        <v>59</v>
      </c>
      <c r="D41" s="751" t="s">
        <v>65</v>
      </c>
      <c r="E41" s="751" t="s">
        <v>59</v>
      </c>
      <c r="F41" s="752" t="s">
        <v>112</v>
      </c>
      <c r="G41" s="149" t="s">
        <v>98</v>
      </c>
      <c r="H41" s="304">
        <f>'прил12(ведом 21)'!M417</f>
        <v>53329.9</v>
      </c>
    </row>
    <row r="42" spans="1:8" ht="18.75">
      <c r="A42" s="290"/>
      <c r="B42" s="303" t="s">
        <v>77</v>
      </c>
      <c r="C42" s="750" t="s">
        <v>59</v>
      </c>
      <c r="D42" s="751" t="s">
        <v>65</v>
      </c>
      <c r="E42" s="751" t="s">
        <v>59</v>
      </c>
      <c r="F42" s="752" t="s">
        <v>112</v>
      </c>
      <c r="G42" s="149" t="s">
        <v>78</v>
      </c>
      <c r="H42" s="304">
        <f>'прил12(ведом 21)'!M418</f>
        <v>642.5</v>
      </c>
    </row>
    <row r="43" spans="1:8" ht="18.75">
      <c r="A43" s="290"/>
      <c r="B43" s="163" t="s">
        <v>796</v>
      </c>
      <c r="C43" s="750" t="s">
        <v>59</v>
      </c>
      <c r="D43" s="751" t="s">
        <v>65</v>
      </c>
      <c r="E43" s="751" t="s">
        <v>59</v>
      </c>
      <c r="F43" s="752" t="s">
        <v>479</v>
      </c>
      <c r="G43" s="149"/>
      <c r="H43" s="304">
        <f>SUM(H44:H45)</f>
        <v>6373.1000000000013</v>
      </c>
    </row>
    <row r="44" spans="1:8" ht="37.5">
      <c r="A44" s="290"/>
      <c r="B44" s="163" t="s">
        <v>75</v>
      </c>
      <c r="C44" s="750" t="s">
        <v>59</v>
      </c>
      <c r="D44" s="751" t="s">
        <v>65</v>
      </c>
      <c r="E44" s="751" t="s">
        <v>59</v>
      </c>
      <c r="F44" s="752" t="s">
        <v>479</v>
      </c>
      <c r="G44" s="149" t="s">
        <v>76</v>
      </c>
      <c r="H44" s="304">
        <f>'прил12(ведом 21)'!M420</f>
        <v>1748.1999999999998</v>
      </c>
    </row>
    <row r="45" spans="1:8" ht="43.5" customHeight="1">
      <c r="A45" s="290"/>
      <c r="B45" s="303" t="s">
        <v>97</v>
      </c>
      <c r="C45" s="750" t="s">
        <v>59</v>
      </c>
      <c r="D45" s="751" t="s">
        <v>65</v>
      </c>
      <c r="E45" s="751" t="s">
        <v>59</v>
      </c>
      <c r="F45" s="752" t="s">
        <v>479</v>
      </c>
      <c r="G45" s="149" t="s">
        <v>98</v>
      </c>
      <c r="H45" s="304">
        <f>'прил12(ведом 21)'!M421</f>
        <v>4624.9000000000015</v>
      </c>
    </row>
    <row r="46" spans="1:8" ht="42.75" customHeight="1">
      <c r="A46" s="290"/>
      <c r="B46" s="303" t="s">
        <v>229</v>
      </c>
      <c r="C46" s="750" t="s">
        <v>59</v>
      </c>
      <c r="D46" s="751" t="s">
        <v>65</v>
      </c>
      <c r="E46" s="751" t="s">
        <v>59</v>
      </c>
      <c r="F46" s="752" t="s">
        <v>313</v>
      </c>
      <c r="G46" s="149"/>
      <c r="H46" s="304">
        <f>SUM(H47:H48)</f>
        <v>23384.6</v>
      </c>
    </row>
    <row r="47" spans="1:8" ht="37.5">
      <c r="A47" s="290"/>
      <c r="B47" s="163" t="s">
        <v>75</v>
      </c>
      <c r="C47" s="750" t="s">
        <v>59</v>
      </c>
      <c r="D47" s="751" t="s">
        <v>65</v>
      </c>
      <c r="E47" s="751" t="s">
        <v>59</v>
      </c>
      <c r="F47" s="752" t="s">
        <v>313</v>
      </c>
      <c r="G47" s="149" t="s">
        <v>76</v>
      </c>
      <c r="H47" s="304">
        <f>'прил12(ведом 21)'!M423</f>
        <v>3514</v>
      </c>
    </row>
    <row r="48" spans="1:8" ht="42" customHeight="1">
      <c r="A48" s="290"/>
      <c r="B48" s="303" t="s">
        <v>97</v>
      </c>
      <c r="C48" s="750" t="s">
        <v>59</v>
      </c>
      <c r="D48" s="751" t="s">
        <v>65</v>
      </c>
      <c r="E48" s="751" t="s">
        <v>59</v>
      </c>
      <c r="F48" s="752" t="s">
        <v>313</v>
      </c>
      <c r="G48" s="149" t="s">
        <v>98</v>
      </c>
      <c r="H48" s="304">
        <f>'прил12(ведом 21)'!M424</f>
        <v>19870.599999999999</v>
      </c>
    </row>
    <row r="49" spans="1:8" ht="37.5">
      <c r="A49" s="290"/>
      <c r="B49" s="303" t="s">
        <v>230</v>
      </c>
      <c r="C49" s="750" t="s">
        <v>59</v>
      </c>
      <c r="D49" s="751" t="s">
        <v>65</v>
      </c>
      <c r="E49" s="751" t="s">
        <v>59</v>
      </c>
      <c r="F49" s="752" t="s">
        <v>314</v>
      </c>
      <c r="G49" s="149"/>
      <c r="H49" s="304">
        <f>SUM(H50:H53)</f>
        <v>21687.5</v>
      </c>
    </row>
    <row r="50" spans="1:8" ht="37.5">
      <c r="A50" s="290"/>
      <c r="B50" s="163" t="s">
        <v>75</v>
      </c>
      <c r="C50" s="750" t="s">
        <v>59</v>
      </c>
      <c r="D50" s="751" t="s">
        <v>65</v>
      </c>
      <c r="E50" s="751" t="s">
        <v>59</v>
      </c>
      <c r="F50" s="752" t="s">
        <v>314</v>
      </c>
      <c r="G50" s="149" t="s">
        <v>76</v>
      </c>
      <c r="H50" s="304">
        <f>'прил12(ведом 21)'!M426</f>
        <v>337.79999999999995</v>
      </c>
    </row>
    <row r="51" spans="1:8" ht="37.5">
      <c r="A51" s="290"/>
      <c r="B51" s="163" t="s">
        <v>141</v>
      </c>
      <c r="C51" s="750" t="s">
        <v>59</v>
      </c>
      <c r="D51" s="751" t="s">
        <v>65</v>
      </c>
      <c r="E51" s="751" t="s">
        <v>59</v>
      </c>
      <c r="F51" s="752" t="s">
        <v>314</v>
      </c>
      <c r="G51" s="149" t="s">
        <v>142</v>
      </c>
      <c r="H51" s="304">
        <f>'прил12(ведом 21)'!M427</f>
        <v>26.9</v>
      </c>
    </row>
    <row r="52" spans="1:8" ht="37.5">
      <c r="A52" s="290"/>
      <c r="B52" s="306" t="s">
        <v>225</v>
      </c>
      <c r="C52" s="750" t="s">
        <v>59</v>
      </c>
      <c r="D52" s="751" t="s">
        <v>65</v>
      </c>
      <c r="E52" s="751" t="s">
        <v>59</v>
      </c>
      <c r="F52" s="752" t="s">
        <v>314</v>
      </c>
      <c r="G52" s="149" t="s">
        <v>226</v>
      </c>
      <c r="H52" s="304">
        <f>'прил12(ведом 21)'!M428+'прил12(ведом 21)'!M360</f>
        <v>4145.7</v>
      </c>
    </row>
    <row r="53" spans="1:8" ht="42" customHeight="1">
      <c r="A53" s="290"/>
      <c r="B53" s="303" t="s">
        <v>97</v>
      </c>
      <c r="C53" s="750" t="s">
        <v>59</v>
      </c>
      <c r="D53" s="751" t="s">
        <v>65</v>
      </c>
      <c r="E53" s="751" t="s">
        <v>59</v>
      </c>
      <c r="F53" s="752" t="s">
        <v>314</v>
      </c>
      <c r="G53" s="149" t="s">
        <v>98</v>
      </c>
      <c r="H53" s="304">
        <f>'прил12(ведом 21)'!M429</f>
        <v>17177.099999999999</v>
      </c>
    </row>
    <row r="54" spans="1:8" ht="77.25" customHeight="1">
      <c r="A54" s="290"/>
      <c r="B54" s="163" t="s">
        <v>892</v>
      </c>
      <c r="C54" s="750" t="s">
        <v>59</v>
      </c>
      <c r="D54" s="751" t="s">
        <v>65</v>
      </c>
      <c r="E54" s="751" t="s">
        <v>59</v>
      </c>
      <c r="F54" s="752" t="s">
        <v>891</v>
      </c>
      <c r="G54" s="149"/>
      <c r="H54" s="304">
        <f>H55+H56</f>
        <v>36560.199999999997</v>
      </c>
    </row>
    <row r="55" spans="1:8" ht="54.75" customHeight="1">
      <c r="A55" s="290"/>
      <c r="B55" s="163" t="s">
        <v>69</v>
      </c>
      <c r="C55" s="750" t="s">
        <v>59</v>
      </c>
      <c r="D55" s="751" t="s">
        <v>65</v>
      </c>
      <c r="E55" s="751" t="s">
        <v>59</v>
      </c>
      <c r="F55" s="752" t="s">
        <v>891</v>
      </c>
      <c r="G55" s="149" t="s">
        <v>70</v>
      </c>
      <c r="H55" s="304">
        <f>'прил12(ведом 21)'!M431</f>
        <v>2968.6</v>
      </c>
    </row>
    <row r="56" spans="1:8" ht="42" customHeight="1">
      <c r="A56" s="290"/>
      <c r="B56" s="163" t="s">
        <v>97</v>
      </c>
      <c r="C56" s="750" t="s">
        <v>59</v>
      </c>
      <c r="D56" s="751" t="s">
        <v>65</v>
      </c>
      <c r="E56" s="751" t="s">
        <v>59</v>
      </c>
      <c r="F56" s="752" t="s">
        <v>891</v>
      </c>
      <c r="G56" s="149" t="s">
        <v>98</v>
      </c>
      <c r="H56" s="304">
        <f>'прил12(ведом 21)'!M432</f>
        <v>33591.599999999999</v>
      </c>
    </row>
    <row r="57" spans="1:8" ht="18.75">
      <c r="A57" s="290"/>
      <c r="B57" s="303" t="s">
        <v>308</v>
      </c>
      <c r="C57" s="750" t="s">
        <v>59</v>
      </c>
      <c r="D57" s="751" t="s">
        <v>65</v>
      </c>
      <c r="E57" s="751" t="s">
        <v>59</v>
      </c>
      <c r="F57" s="752" t="s">
        <v>309</v>
      </c>
      <c r="G57" s="149"/>
      <c r="H57" s="304">
        <f>SUM(H58:H60)</f>
        <v>1577.8</v>
      </c>
    </row>
    <row r="58" spans="1:8" ht="93.75">
      <c r="A58" s="290"/>
      <c r="B58" s="163" t="s">
        <v>69</v>
      </c>
      <c r="C58" s="750" t="s">
        <v>59</v>
      </c>
      <c r="D58" s="751" t="s">
        <v>65</v>
      </c>
      <c r="E58" s="751" t="s">
        <v>59</v>
      </c>
      <c r="F58" s="752" t="s">
        <v>309</v>
      </c>
      <c r="G58" s="149" t="s">
        <v>70</v>
      </c>
      <c r="H58" s="304">
        <f>'прил12(ведом 21)'!M434</f>
        <v>115.8</v>
      </c>
    </row>
    <row r="59" spans="1:8" ht="24.75" customHeight="1">
      <c r="A59" s="290"/>
      <c r="B59" s="163" t="s">
        <v>141</v>
      </c>
      <c r="C59" s="750" t="s">
        <v>59</v>
      </c>
      <c r="D59" s="751" t="s">
        <v>65</v>
      </c>
      <c r="E59" s="751" t="s">
        <v>59</v>
      </c>
      <c r="F59" s="752" t="s">
        <v>309</v>
      </c>
      <c r="G59" s="149" t="s">
        <v>142</v>
      </c>
      <c r="H59" s="304">
        <f>'прил12(ведом 21)'!M435</f>
        <v>13.9</v>
      </c>
    </row>
    <row r="60" spans="1:8" ht="42" customHeight="1">
      <c r="A60" s="290"/>
      <c r="B60" s="303" t="s">
        <v>97</v>
      </c>
      <c r="C60" s="750" t="s">
        <v>59</v>
      </c>
      <c r="D60" s="751" t="s">
        <v>65</v>
      </c>
      <c r="E60" s="751" t="s">
        <v>59</v>
      </c>
      <c r="F60" s="752" t="s">
        <v>309</v>
      </c>
      <c r="G60" s="149" t="s">
        <v>98</v>
      </c>
      <c r="H60" s="304">
        <f>'прил12(ведом 21)'!M436</f>
        <v>1448.1</v>
      </c>
    </row>
    <row r="61" spans="1:8" ht="99" customHeight="1">
      <c r="A61" s="290"/>
      <c r="B61" s="303" t="s">
        <v>415</v>
      </c>
      <c r="C61" s="750" t="s">
        <v>59</v>
      </c>
      <c r="D61" s="751" t="s">
        <v>65</v>
      </c>
      <c r="E61" s="751" t="s">
        <v>59</v>
      </c>
      <c r="F61" s="752" t="s">
        <v>310</v>
      </c>
      <c r="G61" s="149"/>
      <c r="H61" s="304">
        <f>SUM(H62:H64)</f>
        <v>404790.7</v>
      </c>
    </row>
    <row r="62" spans="1:8" ht="93.75">
      <c r="A62" s="290"/>
      <c r="B62" s="303" t="s">
        <v>69</v>
      </c>
      <c r="C62" s="750" t="s">
        <v>59</v>
      </c>
      <c r="D62" s="751" t="s">
        <v>65</v>
      </c>
      <c r="E62" s="751" t="s">
        <v>59</v>
      </c>
      <c r="F62" s="752" t="s">
        <v>310</v>
      </c>
      <c r="G62" s="149" t="s">
        <v>70</v>
      </c>
      <c r="H62" s="304">
        <f>'прил12(ведом 21)'!M438</f>
        <v>27932.7</v>
      </c>
    </row>
    <row r="63" spans="1:8" ht="37.5">
      <c r="A63" s="290"/>
      <c r="B63" s="303" t="s">
        <v>75</v>
      </c>
      <c r="C63" s="750" t="s">
        <v>59</v>
      </c>
      <c r="D63" s="751" t="s">
        <v>65</v>
      </c>
      <c r="E63" s="751" t="s">
        <v>59</v>
      </c>
      <c r="F63" s="752" t="s">
        <v>310</v>
      </c>
      <c r="G63" s="149" t="s">
        <v>76</v>
      </c>
      <c r="H63" s="304">
        <f>'прил12(ведом 21)'!M439</f>
        <v>1927.7</v>
      </c>
    </row>
    <row r="64" spans="1:8" ht="41.25" customHeight="1">
      <c r="A64" s="290"/>
      <c r="B64" s="303" t="s">
        <v>97</v>
      </c>
      <c r="C64" s="750" t="s">
        <v>59</v>
      </c>
      <c r="D64" s="751" t="s">
        <v>65</v>
      </c>
      <c r="E64" s="751" t="s">
        <v>59</v>
      </c>
      <c r="F64" s="752" t="s">
        <v>310</v>
      </c>
      <c r="G64" s="149" t="s">
        <v>98</v>
      </c>
      <c r="H64" s="304">
        <f>'прил12(ведом 21)'!M440</f>
        <v>374930.3</v>
      </c>
    </row>
    <row r="65" spans="1:8" ht="81" customHeight="1">
      <c r="A65" s="290"/>
      <c r="B65" s="303" t="s">
        <v>231</v>
      </c>
      <c r="C65" s="745" t="s">
        <v>59</v>
      </c>
      <c r="D65" s="745" t="s">
        <v>65</v>
      </c>
      <c r="E65" s="745" t="s">
        <v>59</v>
      </c>
      <c r="F65" s="746" t="s">
        <v>315</v>
      </c>
      <c r="G65" s="288"/>
      <c r="H65" s="304">
        <f>SUM(H66:H67)</f>
        <v>2399</v>
      </c>
    </row>
    <row r="66" spans="1:8" ht="37.5">
      <c r="A66" s="290"/>
      <c r="B66" s="163" t="s">
        <v>75</v>
      </c>
      <c r="C66" s="750" t="s">
        <v>59</v>
      </c>
      <c r="D66" s="751" t="s">
        <v>65</v>
      </c>
      <c r="E66" s="751" t="s">
        <v>59</v>
      </c>
      <c r="F66" s="752" t="s">
        <v>315</v>
      </c>
      <c r="G66" s="149" t="s">
        <v>76</v>
      </c>
      <c r="H66" s="304">
        <f>'прил12(ведом 21)'!M442</f>
        <v>104.8</v>
      </c>
    </row>
    <row r="67" spans="1:8" ht="41.25" customHeight="1">
      <c r="A67" s="290"/>
      <c r="B67" s="303" t="s">
        <v>97</v>
      </c>
      <c r="C67" s="745" t="s">
        <v>59</v>
      </c>
      <c r="D67" s="745" t="s">
        <v>65</v>
      </c>
      <c r="E67" s="745" t="s">
        <v>59</v>
      </c>
      <c r="F67" s="746" t="s">
        <v>315</v>
      </c>
      <c r="G67" s="288" t="s">
        <v>98</v>
      </c>
      <c r="H67" s="304">
        <f>'прил12(ведом 21)'!M443</f>
        <v>2294.1999999999998</v>
      </c>
    </row>
    <row r="68" spans="1:8" ht="56.25">
      <c r="A68" s="290"/>
      <c r="B68" s="163" t="s">
        <v>1009</v>
      </c>
      <c r="C68" s="750" t="s">
        <v>59</v>
      </c>
      <c r="D68" s="751" t="s">
        <v>65</v>
      </c>
      <c r="E68" s="751" t="s">
        <v>59</v>
      </c>
      <c r="F68" s="752" t="s">
        <v>1010</v>
      </c>
      <c r="G68" s="149"/>
      <c r="H68" s="304">
        <f>H69+H70</f>
        <v>6665</v>
      </c>
    </row>
    <row r="69" spans="1:8" ht="41.25" customHeight="1">
      <c r="A69" s="290"/>
      <c r="B69" s="163" t="s">
        <v>75</v>
      </c>
      <c r="C69" s="750" t="s">
        <v>59</v>
      </c>
      <c r="D69" s="751" t="s">
        <v>65</v>
      </c>
      <c r="E69" s="751" t="s">
        <v>59</v>
      </c>
      <c r="F69" s="752" t="s">
        <v>1010</v>
      </c>
      <c r="G69" s="149" t="s">
        <v>76</v>
      </c>
      <c r="H69" s="304">
        <f>'прил12(ведом 21)'!M445</f>
        <v>800</v>
      </c>
    </row>
    <row r="70" spans="1:8" ht="56.25">
      <c r="A70" s="290"/>
      <c r="B70" s="163" t="s">
        <v>97</v>
      </c>
      <c r="C70" s="750" t="s">
        <v>59</v>
      </c>
      <c r="D70" s="751" t="s">
        <v>65</v>
      </c>
      <c r="E70" s="751" t="s">
        <v>59</v>
      </c>
      <c r="F70" s="752" t="s">
        <v>1010</v>
      </c>
      <c r="G70" s="149" t="s">
        <v>98</v>
      </c>
      <c r="H70" s="304">
        <f>'прил12(ведом 21)'!M446</f>
        <v>5865</v>
      </c>
    </row>
    <row r="71" spans="1:8" ht="75" customHeight="1">
      <c r="A71" s="290"/>
      <c r="B71" s="163" t="s">
        <v>765</v>
      </c>
      <c r="C71" s="750" t="s">
        <v>59</v>
      </c>
      <c r="D71" s="751" t="s">
        <v>65</v>
      </c>
      <c r="E71" s="751" t="s">
        <v>59</v>
      </c>
      <c r="F71" s="752" t="s">
        <v>764</v>
      </c>
      <c r="G71" s="149"/>
      <c r="H71" s="304">
        <f>H72+H73</f>
        <v>53475.6</v>
      </c>
    </row>
    <row r="72" spans="1:8" ht="38.25" customHeight="1">
      <c r="A72" s="290"/>
      <c r="B72" s="163" t="s">
        <v>75</v>
      </c>
      <c r="C72" s="750" t="s">
        <v>59</v>
      </c>
      <c r="D72" s="751" t="s">
        <v>65</v>
      </c>
      <c r="E72" s="751" t="s">
        <v>59</v>
      </c>
      <c r="F72" s="752" t="s">
        <v>764</v>
      </c>
      <c r="G72" s="149" t="s">
        <v>76</v>
      </c>
      <c r="H72" s="304">
        <f>'прил12(ведом 21)'!M448</f>
        <v>1613.7</v>
      </c>
    </row>
    <row r="73" spans="1:8" ht="39" customHeight="1">
      <c r="A73" s="290"/>
      <c r="B73" s="163" t="s">
        <v>97</v>
      </c>
      <c r="C73" s="750" t="s">
        <v>59</v>
      </c>
      <c r="D73" s="751" t="s">
        <v>65</v>
      </c>
      <c r="E73" s="751" t="s">
        <v>59</v>
      </c>
      <c r="F73" s="752" t="s">
        <v>764</v>
      </c>
      <c r="G73" s="149" t="s">
        <v>98</v>
      </c>
      <c r="H73" s="304">
        <f>'прил12(ведом 21)'!M449</f>
        <v>51861.9</v>
      </c>
    </row>
    <row r="74" spans="1:8" ht="18.75">
      <c r="A74" s="290"/>
      <c r="B74" s="763" t="s">
        <v>1016</v>
      </c>
      <c r="C74" s="766" t="s">
        <v>59</v>
      </c>
      <c r="D74" s="767" t="s">
        <v>65</v>
      </c>
      <c r="E74" s="767" t="s">
        <v>59</v>
      </c>
      <c r="F74" s="768" t="s">
        <v>1015</v>
      </c>
      <c r="G74" s="149"/>
      <c r="H74" s="304">
        <f>H75</f>
        <v>5968.3</v>
      </c>
    </row>
    <row r="75" spans="1:8" ht="56.25">
      <c r="A75" s="290"/>
      <c r="B75" s="763" t="s">
        <v>97</v>
      </c>
      <c r="C75" s="766" t="s">
        <v>59</v>
      </c>
      <c r="D75" s="767" t="s">
        <v>65</v>
      </c>
      <c r="E75" s="767" t="s">
        <v>59</v>
      </c>
      <c r="F75" s="768" t="s">
        <v>1015</v>
      </c>
      <c r="G75" s="149" t="s">
        <v>98</v>
      </c>
      <c r="H75" s="304">
        <f>'прил12(ведом 21)'!M451</f>
        <v>5968.3</v>
      </c>
    </row>
    <row r="76" spans="1:8" ht="42" customHeight="1">
      <c r="A76" s="290"/>
      <c r="B76" s="163" t="s">
        <v>726</v>
      </c>
      <c r="C76" s="750" t="s">
        <v>59</v>
      </c>
      <c r="D76" s="751" t="s">
        <v>65</v>
      </c>
      <c r="E76" s="751" t="s">
        <v>725</v>
      </c>
      <c r="F76" s="752" t="s">
        <v>64</v>
      </c>
      <c r="G76" s="149"/>
      <c r="H76" s="304">
        <f>H77</f>
        <v>450</v>
      </c>
    </row>
    <row r="77" spans="1:8" ht="42" customHeight="1">
      <c r="A77" s="290"/>
      <c r="B77" s="163" t="s">
        <v>682</v>
      </c>
      <c r="C77" s="750" t="s">
        <v>59</v>
      </c>
      <c r="D77" s="751" t="s">
        <v>65</v>
      </c>
      <c r="E77" s="751" t="s">
        <v>725</v>
      </c>
      <c r="F77" s="752" t="s">
        <v>683</v>
      </c>
      <c r="G77" s="149"/>
      <c r="H77" s="304">
        <f>H78</f>
        <v>450</v>
      </c>
    </row>
    <row r="78" spans="1:8" ht="42" customHeight="1">
      <c r="A78" s="290"/>
      <c r="B78" s="163" t="s">
        <v>97</v>
      </c>
      <c r="C78" s="750" t="s">
        <v>59</v>
      </c>
      <c r="D78" s="751" t="s">
        <v>65</v>
      </c>
      <c r="E78" s="751" t="s">
        <v>725</v>
      </c>
      <c r="F78" s="752" t="s">
        <v>683</v>
      </c>
      <c r="G78" s="149" t="s">
        <v>98</v>
      </c>
      <c r="H78" s="304">
        <f>'прил12(ведом 21)'!M404+'прил12(ведом 21)'!M454</f>
        <v>450</v>
      </c>
    </row>
    <row r="79" spans="1:8" ht="18.75">
      <c r="A79" s="290"/>
      <c r="B79" s="303" t="s">
        <v>232</v>
      </c>
      <c r="C79" s="750" t="s">
        <v>59</v>
      </c>
      <c r="D79" s="751" t="s">
        <v>110</v>
      </c>
      <c r="E79" s="751" t="s">
        <v>63</v>
      </c>
      <c r="F79" s="752" t="s">
        <v>64</v>
      </c>
      <c r="G79" s="288"/>
      <c r="H79" s="304">
        <f>H80+H100+H103</f>
        <v>60708.288</v>
      </c>
    </row>
    <row r="80" spans="1:8" ht="37.5">
      <c r="A80" s="290"/>
      <c r="B80" s="303" t="s">
        <v>316</v>
      </c>
      <c r="C80" s="750" t="s">
        <v>59</v>
      </c>
      <c r="D80" s="751" t="s">
        <v>110</v>
      </c>
      <c r="E80" s="751" t="s">
        <v>57</v>
      </c>
      <c r="F80" s="752" t="s">
        <v>64</v>
      </c>
      <c r="G80" s="288"/>
      <c r="H80" s="304">
        <f>H81+H96+H88+H94+H98+H91+H86</f>
        <v>60522.288</v>
      </c>
    </row>
    <row r="81" spans="1:8" ht="37.5">
      <c r="A81" s="290"/>
      <c r="B81" s="303" t="s">
        <v>795</v>
      </c>
      <c r="C81" s="750" t="s">
        <v>59</v>
      </c>
      <c r="D81" s="751" t="s">
        <v>110</v>
      </c>
      <c r="E81" s="751" t="s">
        <v>57</v>
      </c>
      <c r="F81" s="752" t="s">
        <v>112</v>
      </c>
      <c r="G81" s="149"/>
      <c r="H81" s="304">
        <f>SUM(H82:H85)</f>
        <v>49327.088000000003</v>
      </c>
    </row>
    <row r="82" spans="1:8" ht="93.75">
      <c r="A82" s="290"/>
      <c r="B82" s="163" t="s">
        <v>69</v>
      </c>
      <c r="C82" s="750" t="s">
        <v>59</v>
      </c>
      <c r="D82" s="751" t="s">
        <v>110</v>
      </c>
      <c r="E82" s="751" t="s">
        <v>57</v>
      </c>
      <c r="F82" s="752" t="s">
        <v>112</v>
      </c>
      <c r="G82" s="149" t="s">
        <v>70</v>
      </c>
      <c r="H82" s="304">
        <f>'прил12(ведом 21)'!M465</f>
        <v>18947.600000000002</v>
      </c>
    </row>
    <row r="83" spans="1:8" ht="37.5">
      <c r="A83" s="290"/>
      <c r="B83" s="163" t="s">
        <v>75</v>
      </c>
      <c r="C83" s="750" t="s">
        <v>59</v>
      </c>
      <c r="D83" s="751" t="s">
        <v>110</v>
      </c>
      <c r="E83" s="751" t="s">
        <v>57</v>
      </c>
      <c r="F83" s="752" t="s">
        <v>112</v>
      </c>
      <c r="G83" s="149" t="s">
        <v>76</v>
      </c>
      <c r="H83" s="304">
        <f>'прил12(ведом 21)'!M466</f>
        <v>1619.2469999999998</v>
      </c>
    </row>
    <row r="84" spans="1:8" ht="38.25" customHeight="1">
      <c r="A84" s="290"/>
      <c r="B84" s="303" t="s">
        <v>97</v>
      </c>
      <c r="C84" s="750" t="s">
        <v>59</v>
      </c>
      <c r="D84" s="751" t="s">
        <v>110</v>
      </c>
      <c r="E84" s="751" t="s">
        <v>57</v>
      </c>
      <c r="F84" s="752" t="s">
        <v>112</v>
      </c>
      <c r="G84" s="149" t="s">
        <v>98</v>
      </c>
      <c r="H84" s="304">
        <f>'прил12(ведом 21)'!M467</f>
        <v>28668.796999999999</v>
      </c>
    </row>
    <row r="85" spans="1:8" ht="18.75">
      <c r="A85" s="290"/>
      <c r="B85" s="163" t="s">
        <v>77</v>
      </c>
      <c r="C85" s="750" t="s">
        <v>59</v>
      </c>
      <c r="D85" s="751" t="s">
        <v>110</v>
      </c>
      <c r="E85" s="751" t="s">
        <v>57</v>
      </c>
      <c r="F85" s="752" t="s">
        <v>112</v>
      </c>
      <c r="G85" s="149" t="s">
        <v>78</v>
      </c>
      <c r="H85" s="304">
        <f>'прил12(ведом 21)'!M468</f>
        <v>91.443999999999988</v>
      </c>
    </row>
    <row r="86" spans="1:8" ht="18.75">
      <c r="A86" s="290"/>
      <c r="B86" s="886" t="s">
        <v>796</v>
      </c>
      <c r="C86" s="883" t="s">
        <v>59</v>
      </c>
      <c r="D86" s="884" t="s">
        <v>110</v>
      </c>
      <c r="E86" s="884" t="s">
        <v>57</v>
      </c>
      <c r="F86" s="885" t="s">
        <v>479</v>
      </c>
      <c r="G86" s="149"/>
      <c r="H86" s="304">
        <f>H87</f>
        <v>660.6</v>
      </c>
    </row>
    <row r="87" spans="1:8" ht="38.450000000000003" customHeight="1">
      <c r="A87" s="290"/>
      <c r="B87" s="163" t="s">
        <v>75</v>
      </c>
      <c r="C87" s="883" t="s">
        <v>59</v>
      </c>
      <c r="D87" s="884" t="s">
        <v>110</v>
      </c>
      <c r="E87" s="884" t="s">
        <v>57</v>
      </c>
      <c r="F87" s="885" t="s">
        <v>479</v>
      </c>
      <c r="G87" s="149" t="s">
        <v>76</v>
      </c>
      <c r="H87" s="304">
        <f>'прил12(ведом 21)'!M470</f>
        <v>660.6</v>
      </c>
    </row>
    <row r="88" spans="1:8" ht="44.25" customHeight="1">
      <c r="A88" s="290"/>
      <c r="B88" s="163" t="s">
        <v>229</v>
      </c>
      <c r="C88" s="750" t="s">
        <v>59</v>
      </c>
      <c r="D88" s="751" t="s">
        <v>110</v>
      </c>
      <c r="E88" s="751" t="s">
        <v>57</v>
      </c>
      <c r="F88" s="752" t="s">
        <v>313</v>
      </c>
      <c r="G88" s="149"/>
      <c r="H88" s="304">
        <f>SUM(H89:H90)</f>
        <v>1150.7</v>
      </c>
    </row>
    <row r="89" spans="1:8" ht="37.5">
      <c r="A89" s="290"/>
      <c r="B89" s="163" t="s">
        <v>75</v>
      </c>
      <c r="C89" s="750" t="s">
        <v>59</v>
      </c>
      <c r="D89" s="751" t="s">
        <v>110</v>
      </c>
      <c r="E89" s="751" t="s">
        <v>57</v>
      </c>
      <c r="F89" s="752" t="s">
        <v>313</v>
      </c>
      <c r="G89" s="149" t="s">
        <v>76</v>
      </c>
      <c r="H89" s="304">
        <f>'прил12(ведом 21)'!M472</f>
        <v>463.20000000000005</v>
      </c>
    </row>
    <row r="90" spans="1:8" ht="42" customHeight="1">
      <c r="A90" s="290"/>
      <c r="B90" s="311" t="s">
        <v>97</v>
      </c>
      <c r="C90" s="750" t="s">
        <v>59</v>
      </c>
      <c r="D90" s="751" t="s">
        <v>110</v>
      </c>
      <c r="E90" s="751" t="s">
        <v>57</v>
      </c>
      <c r="F90" s="752" t="s">
        <v>313</v>
      </c>
      <c r="G90" s="149" t="s">
        <v>98</v>
      </c>
      <c r="H90" s="304">
        <f>'прил12(ведом 21)'!M473</f>
        <v>687.5</v>
      </c>
    </row>
    <row r="91" spans="1:8" ht="42" customHeight="1">
      <c r="A91" s="290"/>
      <c r="B91" s="163" t="s">
        <v>230</v>
      </c>
      <c r="C91" s="750" t="s">
        <v>59</v>
      </c>
      <c r="D91" s="751" t="s">
        <v>110</v>
      </c>
      <c r="E91" s="751" t="s">
        <v>57</v>
      </c>
      <c r="F91" s="752" t="s">
        <v>314</v>
      </c>
      <c r="G91" s="149"/>
      <c r="H91" s="304">
        <f>H92+H93</f>
        <v>1276.5</v>
      </c>
    </row>
    <row r="92" spans="1:8" ht="42" customHeight="1">
      <c r="A92" s="290"/>
      <c r="B92" s="163" t="s">
        <v>75</v>
      </c>
      <c r="C92" s="750" t="s">
        <v>59</v>
      </c>
      <c r="D92" s="751" t="s">
        <v>110</v>
      </c>
      <c r="E92" s="751" t="s">
        <v>57</v>
      </c>
      <c r="F92" s="752" t="s">
        <v>314</v>
      </c>
      <c r="G92" s="149" t="s">
        <v>76</v>
      </c>
      <c r="H92" s="304">
        <f>'прил12(ведом 21)'!M475</f>
        <v>1259.5</v>
      </c>
    </row>
    <row r="93" spans="1:8" ht="42" customHeight="1">
      <c r="A93" s="290"/>
      <c r="B93" s="311" t="s">
        <v>97</v>
      </c>
      <c r="C93" s="750" t="s">
        <v>59</v>
      </c>
      <c r="D93" s="751" t="s">
        <v>110</v>
      </c>
      <c r="E93" s="751" t="s">
        <v>57</v>
      </c>
      <c r="F93" s="752" t="s">
        <v>314</v>
      </c>
      <c r="G93" s="149" t="s">
        <v>98</v>
      </c>
      <c r="H93" s="304">
        <f>'прил12(ведом 21)'!M476</f>
        <v>17</v>
      </c>
    </row>
    <row r="94" spans="1:8" ht="171" customHeight="1">
      <c r="A94" s="290"/>
      <c r="B94" s="163" t="s">
        <v>694</v>
      </c>
      <c r="C94" s="750" t="s">
        <v>59</v>
      </c>
      <c r="D94" s="751" t="s">
        <v>110</v>
      </c>
      <c r="E94" s="751" t="s">
        <v>57</v>
      </c>
      <c r="F94" s="752" t="s">
        <v>538</v>
      </c>
      <c r="G94" s="149"/>
      <c r="H94" s="304">
        <f>H95</f>
        <v>124.7</v>
      </c>
    </row>
    <row r="95" spans="1:8" ht="93.75">
      <c r="A95" s="290"/>
      <c r="B95" s="163" t="s">
        <v>69</v>
      </c>
      <c r="C95" s="750" t="s">
        <v>59</v>
      </c>
      <c r="D95" s="751" t="s">
        <v>110</v>
      </c>
      <c r="E95" s="751" t="s">
        <v>57</v>
      </c>
      <c r="F95" s="752" t="s">
        <v>538</v>
      </c>
      <c r="G95" s="149" t="s">
        <v>70</v>
      </c>
      <c r="H95" s="304">
        <f>'прил12(ведом 21)'!M478</f>
        <v>124.7</v>
      </c>
    </row>
    <row r="96" spans="1:8" ht="18.75">
      <c r="A96" s="290"/>
      <c r="B96" s="303" t="s">
        <v>308</v>
      </c>
      <c r="C96" s="750" t="s">
        <v>59</v>
      </c>
      <c r="D96" s="751" t="s">
        <v>110</v>
      </c>
      <c r="E96" s="751" t="s">
        <v>57</v>
      </c>
      <c r="F96" s="752" t="s">
        <v>309</v>
      </c>
      <c r="G96" s="149"/>
      <c r="H96" s="304">
        <f>H97</f>
        <v>107.3</v>
      </c>
    </row>
    <row r="97" spans="1:8" ht="56.25">
      <c r="A97" s="290"/>
      <c r="B97" s="163" t="s">
        <v>97</v>
      </c>
      <c r="C97" s="750" t="s">
        <v>59</v>
      </c>
      <c r="D97" s="751" t="s">
        <v>110</v>
      </c>
      <c r="E97" s="751" t="s">
        <v>57</v>
      </c>
      <c r="F97" s="752" t="s">
        <v>309</v>
      </c>
      <c r="G97" s="149" t="s">
        <v>98</v>
      </c>
      <c r="H97" s="304">
        <f>'прил12(ведом 21)'!M480</f>
        <v>107.3</v>
      </c>
    </row>
    <row r="98" spans="1:8" ht="97.5" customHeight="1">
      <c r="A98" s="290"/>
      <c r="B98" s="163" t="s">
        <v>415</v>
      </c>
      <c r="C98" s="750" t="s">
        <v>59</v>
      </c>
      <c r="D98" s="751" t="s">
        <v>110</v>
      </c>
      <c r="E98" s="751" t="s">
        <v>57</v>
      </c>
      <c r="F98" s="752" t="s">
        <v>310</v>
      </c>
      <c r="G98" s="149"/>
      <c r="H98" s="304">
        <f>H99</f>
        <v>7875.4</v>
      </c>
    </row>
    <row r="99" spans="1:8" ht="41.25" customHeight="1">
      <c r="A99" s="290"/>
      <c r="B99" s="163" t="s">
        <v>97</v>
      </c>
      <c r="C99" s="750" t="s">
        <v>59</v>
      </c>
      <c r="D99" s="751" t="s">
        <v>110</v>
      </c>
      <c r="E99" s="751" t="s">
        <v>57</v>
      </c>
      <c r="F99" s="752" t="s">
        <v>310</v>
      </c>
      <c r="G99" s="149" t="s">
        <v>98</v>
      </c>
      <c r="H99" s="304">
        <f>'прил12(ведом 21)'!M482</f>
        <v>7875.4</v>
      </c>
    </row>
    <row r="100" spans="1:8" ht="18.75">
      <c r="A100" s="290"/>
      <c r="B100" s="163" t="s">
        <v>317</v>
      </c>
      <c r="C100" s="750" t="s">
        <v>59</v>
      </c>
      <c r="D100" s="751" t="s">
        <v>110</v>
      </c>
      <c r="E100" s="751" t="s">
        <v>59</v>
      </c>
      <c r="F100" s="752" t="s">
        <v>64</v>
      </c>
      <c r="G100" s="149"/>
      <c r="H100" s="304">
        <f>H101</f>
        <v>36</v>
      </c>
    </row>
    <row r="101" spans="1:8" ht="37.5">
      <c r="A101" s="290"/>
      <c r="B101" s="163" t="s">
        <v>318</v>
      </c>
      <c r="C101" s="750" t="s">
        <v>59</v>
      </c>
      <c r="D101" s="751" t="s">
        <v>110</v>
      </c>
      <c r="E101" s="751" t="s">
        <v>59</v>
      </c>
      <c r="F101" s="752" t="s">
        <v>319</v>
      </c>
      <c r="G101" s="149"/>
      <c r="H101" s="304">
        <f>H102</f>
        <v>36</v>
      </c>
    </row>
    <row r="102" spans="1:8" ht="20.25" customHeight="1">
      <c r="A102" s="290"/>
      <c r="B102" s="163" t="s">
        <v>141</v>
      </c>
      <c r="C102" s="750" t="s">
        <v>59</v>
      </c>
      <c r="D102" s="751" t="s">
        <v>110</v>
      </c>
      <c r="E102" s="751" t="s">
        <v>59</v>
      </c>
      <c r="F102" s="752" t="s">
        <v>319</v>
      </c>
      <c r="G102" s="149" t="s">
        <v>142</v>
      </c>
      <c r="H102" s="304">
        <f>'прил12(ведом 21)'!M499</f>
        <v>36</v>
      </c>
    </row>
    <row r="103" spans="1:8" ht="36" customHeight="1">
      <c r="A103" s="290"/>
      <c r="B103" s="163" t="s">
        <v>726</v>
      </c>
      <c r="C103" s="750" t="s">
        <v>59</v>
      </c>
      <c r="D103" s="751" t="s">
        <v>110</v>
      </c>
      <c r="E103" s="751" t="s">
        <v>725</v>
      </c>
      <c r="F103" s="752" t="s">
        <v>64</v>
      </c>
      <c r="G103" s="149"/>
      <c r="H103" s="304">
        <f>H104</f>
        <v>150</v>
      </c>
    </row>
    <row r="104" spans="1:8" ht="38.25" customHeight="1">
      <c r="A104" s="290"/>
      <c r="B104" s="163" t="s">
        <v>682</v>
      </c>
      <c r="C104" s="750" t="s">
        <v>59</v>
      </c>
      <c r="D104" s="751" t="s">
        <v>110</v>
      </c>
      <c r="E104" s="751" t="s">
        <v>725</v>
      </c>
      <c r="F104" s="752" t="s">
        <v>683</v>
      </c>
      <c r="G104" s="149"/>
      <c r="H104" s="304">
        <f>H105</f>
        <v>150</v>
      </c>
    </row>
    <row r="105" spans="1:8" ht="43.5" customHeight="1">
      <c r="A105" s="290"/>
      <c r="B105" s="163" t="s">
        <v>97</v>
      </c>
      <c r="C105" s="750" t="s">
        <v>59</v>
      </c>
      <c r="D105" s="751" t="s">
        <v>110</v>
      </c>
      <c r="E105" s="751" t="s">
        <v>725</v>
      </c>
      <c r="F105" s="752" t="s">
        <v>683</v>
      </c>
      <c r="G105" s="149" t="s">
        <v>98</v>
      </c>
      <c r="H105" s="304">
        <f>'прил12(ведом 21)'!M485</f>
        <v>150</v>
      </c>
    </row>
    <row r="106" spans="1:8" ht="43.5" customHeight="1">
      <c r="A106" s="290"/>
      <c r="B106" s="303" t="s">
        <v>234</v>
      </c>
      <c r="C106" s="750" t="s">
        <v>59</v>
      </c>
      <c r="D106" s="751" t="s">
        <v>50</v>
      </c>
      <c r="E106" s="751" t="s">
        <v>63</v>
      </c>
      <c r="F106" s="752" t="s">
        <v>64</v>
      </c>
      <c r="G106" s="288"/>
      <c r="H106" s="304">
        <f>H107+H127+H132+H135+H138</f>
        <v>72922.371999999988</v>
      </c>
    </row>
    <row r="107" spans="1:8" ht="37.5">
      <c r="A107" s="290"/>
      <c r="B107" s="303" t="s">
        <v>322</v>
      </c>
      <c r="C107" s="750" t="s">
        <v>59</v>
      </c>
      <c r="D107" s="751" t="s">
        <v>50</v>
      </c>
      <c r="E107" s="751" t="s">
        <v>57</v>
      </c>
      <c r="F107" s="752" t="s">
        <v>64</v>
      </c>
      <c r="G107" s="288"/>
      <c r="H107" s="304">
        <f>H108+H117+H112+H124+H121+H119</f>
        <v>64699.671999999999</v>
      </c>
    </row>
    <row r="108" spans="1:8" ht="37.5">
      <c r="A108" s="290"/>
      <c r="B108" s="303" t="s">
        <v>67</v>
      </c>
      <c r="C108" s="750" t="s">
        <v>59</v>
      </c>
      <c r="D108" s="751" t="s">
        <v>50</v>
      </c>
      <c r="E108" s="751" t="s">
        <v>57</v>
      </c>
      <c r="F108" s="752" t="s">
        <v>68</v>
      </c>
      <c r="G108" s="149"/>
      <c r="H108" s="304">
        <f>SUM(H109:H111)</f>
        <v>9945.0660000000007</v>
      </c>
    </row>
    <row r="109" spans="1:8" ht="93.75">
      <c r="A109" s="290"/>
      <c r="B109" s="303" t="s">
        <v>69</v>
      </c>
      <c r="C109" s="750" t="s">
        <v>59</v>
      </c>
      <c r="D109" s="751" t="s">
        <v>50</v>
      </c>
      <c r="E109" s="751" t="s">
        <v>57</v>
      </c>
      <c r="F109" s="752" t="s">
        <v>68</v>
      </c>
      <c r="G109" s="149" t="s">
        <v>70</v>
      </c>
      <c r="H109" s="304">
        <f>'прил12(ведом 21)'!M503</f>
        <v>9265.9</v>
      </c>
    </row>
    <row r="110" spans="1:8" ht="37.5">
      <c r="A110" s="290"/>
      <c r="B110" s="303" t="s">
        <v>75</v>
      </c>
      <c r="C110" s="750" t="s">
        <v>59</v>
      </c>
      <c r="D110" s="751" t="s">
        <v>50</v>
      </c>
      <c r="E110" s="751" t="s">
        <v>57</v>
      </c>
      <c r="F110" s="752" t="s">
        <v>68</v>
      </c>
      <c r="G110" s="149" t="s">
        <v>76</v>
      </c>
      <c r="H110" s="304">
        <f>'прил12(ведом 21)'!M504</f>
        <v>661.96600000000012</v>
      </c>
    </row>
    <row r="111" spans="1:8" ht="18.75">
      <c r="A111" s="290"/>
      <c r="B111" s="303" t="s">
        <v>77</v>
      </c>
      <c r="C111" s="750" t="s">
        <v>59</v>
      </c>
      <c r="D111" s="751" t="s">
        <v>50</v>
      </c>
      <c r="E111" s="751" t="s">
        <v>57</v>
      </c>
      <c r="F111" s="752" t="s">
        <v>68</v>
      </c>
      <c r="G111" s="149" t="s">
        <v>78</v>
      </c>
      <c r="H111" s="304">
        <f>'прил12(ведом 21)'!M505</f>
        <v>17.2</v>
      </c>
    </row>
    <row r="112" spans="1:8" ht="37.5">
      <c r="A112" s="290"/>
      <c r="B112" s="303" t="s">
        <v>795</v>
      </c>
      <c r="C112" s="750" t="s">
        <v>59</v>
      </c>
      <c r="D112" s="751" t="s">
        <v>50</v>
      </c>
      <c r="E112" s="751" t="s">
        <v>57</v>
      </c>
      <c r="F112" s="752" t="s">
        <v>112</v>
      </c>
      <c r="G112" s="149"/>
      <c r="H112" s="304">
        <f>SUM(H113:H116)</f>
        <v>46129.405999999995</v>
      </c>
    </row>
    <row r="113" spans="1:8" ht="93.75">
      <c r="A113" s="290"/>
      <c r="B113" s="303" t="s">
        <v>69</v>
      </c>
      <c r="C113" s="750" t="s">
        <v>59</v>
      </c>
      <c r="D113" s="751" t="s">
        <v>50</v>
      </c>
      <c r="E113" s="751" t="s">
        <v>57</v>
      </c>
      <c r="F113" s="752" t="s">
        <v>112</v>
      </c>
      <c r="G113" s="149" t="s">
        <v>70</v>
      </c>
      <c r="H113" s="304">
        <f>'прил12(ведом 21)'!M507</f>
        <v>27266.3</v>
      </c>
    </row>
    <row r="114" spans="1:8" ht="37.5">
      <c r="A114" s="290"/>
      <c r="B114" s="303" t="s">
        <v>75</v>
      </c>
      <c r="C114" s="750" t="s">
        <v>59</v>
      </c>
      <c r="D114" s="751" t="s">
        <v>50</v>
      </c>
      <c r="E114" s="751" t="s">
        <v>57</v>
      </c>
      <c r="F114" s="752" t="s">
        <v>112</v>
      </c>
      <c r="G114" s="149" t="s">
        <v>76</v>
      </c>
      <c r="H114" s="304">
        <f>'прил12(ведом 21)'!M508</f>
        <v>2469.9059999999999</v>
      </c>
    </row>
    <row r="115" spans="1:8" ht="44.25" customHeight="1">
      <c r="A115" s="290"/>
      <c r="B115" s="163" t="s">
        <v>97</v>
      </c>
      <c r="C115" s="750" t="s">
        <v>59</v>
      </c>
      <c r="D115" s="751" t="s">
        <v>50</v>
      </c>
      <c r="E115" s="751" t="s">
        <v>57</v>
      </c>
      <c r="F115" s="752" t="s">
        <v>112</v>
      </c>
      <c r="G115" s="149" t="s">
        <v>98</v>
      </c>
      <c r="H115" s="304">
        <f>'прил12(ведом 21)'!M509</f>
        <v>16385</v>
      </c>
    </row>
    <row r="116" spans="1:8" ht="18.75">
      <c r="A116" s="290"/>
      <c r="B116" s="303" t="s">
        <v>77</v>
      </c>
      <c r="C116" s="750" t="s">
        <v>59</v>
      </c>
      <c r="D116" s="751" t="s">
        <v>50</v>
      </c>
      <c r="E116" s="751" t="s">
        <v>57</v>
      </c>
      <c r="F116" s="752" t="s">
        <v>112</v>
      </c>
      <c r="G116" s="149" t="s">
        <v>78</v>
      </c>
      <c r="H116" s="304">
        <f>'прил12(ведом 21)'!M510</f>
        <v>8.1999999999999993</v>
      </c>
    </row>
    <row r="117" spans="1:8" ht="18.75">
      <c r="A117" s="290"/>
      <c r="B117" s="163" t="s">
        <v>796</v>
      </c>
      <c r="C117" s="750" t="s">
        <v>59</v>
      </c>
      <c r="D117" s="751" t="s">
        <v>50</v>
      </c>
      <c r="E117" s="751" t="s">
        <v>57</v>
      </c>
      <c r="F117" s="752" t="s">
        <v>479</v>
      </c>
      <c r="G117" s="149"/>
      <c r="H117" s="304">
        <f>H118</f>
        <v>67.3</v>
      </c>
    </row>
    <row r="118" spans="1:8" ht="37.5">
      <c r="A118" s="290"/>
      <c r="B118" s="163" t="s">
        <v>75</v>
      </c>
      <c r="C118" s="750" t="s">
        <v>59</v>
      </c>
      <c r="D118" s="751" t="s">
        <v>50</v>
      </c>
      <c r="E118" s="751" t="s">
        <v>57</v>
      </c>
      <c r="F118" s="752" t="s">
        <v>479</v>
      </c>
      <c r="G118" s="149" t="s">
        <v>76</v>
      </c>
      <c r="H118" s="304">
        <f>'прил12(ведом 21)'!M512</f>
        <v>67.3</v>
      </c>
    </row>
    <row r="119" spans="1:8" ht="37.5">
      <c r="A119" s="290"/>
      <c r="B119" s="163" t="s">
        <v>230</v>
      </c>
      <c r="C119" s="750" t="s">
        <v>59</v>
      </c>
      <c r="D119" s="751" t="s">
        <v>50</v>
      </c>
      <c r="E119" s="751" t="s">
        <v>57</v>
      </c>
      <c r="F119" s="752" t="s">
        <v>314</v>
      </c>
      <c r="G119" s="149"/>
      <c r="H119" s="304">
        <f>H120</f>
        <v>10</v>
      </c>
    </row>
    <row r="120" spans="1:8" ht="37.5">
      <c r="A120" s="290"/>
      <c r="B120" s="163" t="s">
        <v>75</v>
      </c>
      <c r="C120" s="750" t="s">
        <v>59</v>
      </c>
      <c r="D120" s="751" t="s">
        <v>50</v>
      </c>
      <c r="E120" s="751" t="s">
        <v>57</v>
      </c>
      <c r="F120" s="752" t="s">
        <v>314</v>
      </c>
      <c r="G120" s="149" t="s">
        <v>76</v>
      </c>
      <c r="H120" s="304">
        <f>'прил12(ведом 21)'!M514</f>
        <v>10</v>
      </c>
    </row>
    <row r="121" spans="1:8" ht="96.75" customHeight="1">
      <c r="A121" s="290"/>
      <c r="B121" s="163" t="s">
        <v>415</v>
      </c>
      <c r="C121" s="750" t="s">
        <v>59</v>
      </c>
      <c r="D121" s="751" t="s">
        <v>50</v>
      </c>
      <c r="E121" s="751" t="s">
        <v>57</v>
      </c>
      <c r="F121" s="752" t="s">
        <v>310</v>
      </c>
      <c r="G121" s="149"/>
      <c r="H121" s="304">
        <f>H122+H123</f>
        <v>6189.9</v>
      </c>
    </row>
    <row r="122" spans="1:8" ht="93.75">
      <c r="A122" s="290"/>
      <c r="B122" s="163" t="s">
        <v>69</v>
      </c>
      <c r="C122" s="750" t="s">
        <v>59</v>
      </c>
      <c r="D122" s="751" t="s">
        <v>50</v>
      </c>
      <c r="E122" s="751" t="s">
        <v>57</v>
      </c>
      <c r="F122" s="752" t="s">
        <v>310</v>
      </c>
      <c r="G122" s="149" t="s">
        <v>70</v>
      </c>
      <c r="H122" s="304">
        <f>'прил12(ведом 21)'!M516</f>
        <v>5863.4</v>
      </c>
    </row>
    <row r="123" spans="1:8" ht="37.5">
      <c r="A123" s="290"/>
      <c r="B123" s="303" t="s">
        <v>75</v>
      </c>
      <c r="C123" s="750" t="s">
        <v>59</v>
      </c>
      <c r="D123" s="751" t="s">
        <v>50</v>
      </c>
      <c r="E123" s="751" t="s">
        <v>57</v>
      </c>
      <c r="F123" s="752" t="s">
        <v>310</v>
      </c>
      <c r="G123" s="149" t="s">
        <v>76</v>
      </c>
      <c r="H123" s="304">
        <f>'прил12(ведом 21)'!M517</f>
        <v>326.5</v>
      </c>
    </row>
    <row r="124" spans="1:8" ht="18.75">
      <c r="A124" s="290"/>
      <c r="B124" s="163" t="s">
        <v>693</v>
      </c>
      <c r="C124" s="750" t="s">
        <v>59</v>
      </c>
      <c r="D124" s="751" t="s">
        <v>50</v>
      </c>
      <c r="E124" s="751" t="s">
        <v>57</v>
      </c>
      <c r="F124" s="752" t="s">
        <v>416</v>
      </c>
      <c r="G124" s="149"/>
      <c r="H124" s="304">
        <f>SUM(H125:H126)</f>
        <v>2358</v>
      </c>
    </row>
    <row r="125" spans="1:8" ht="93.75">
      <c r="A125" s="290"/>
      <c r="B125" s="163" t="s">
        <v>69</v>
      </c>
      <c r="C125" s="750" t="s">
        <v>59</v>
      </c>
      <c r="D125" s="751" t="s">
        <v>50</v>
      </c>
      <c r="E125" s="751" t="s">
        <v>57</v>
      </c>
      <c r="F125" s="752" t="s">
        <v>416</v>
      </c>
      <c r="G125" s="149" t="s">
        <v>70</v>
      </c>
      <c r="H125" s="304">
        <f>'прил12(ведом 21)'!M458</f>
        <v>29.8</v>
      </c>
    </row>
    <row r="126" spans="1:8" ht="42.75" customHeight="1">
      <c r="A126" s="290"/>
      <c r="B126" s="303" t="s">
        <v>97</v>
      </c>
      <c r="C126" s="750" t="s">
        <v>59</v>
      </c>
      <c r="D126" s="751" t="s">
        <v>50</v>
      </c>
      <c r="E126" s="751" t="s">
        <v>57</v>
      </c>
      <c r="F126" s="752" t="s">
        <v>416</v>
      </c>
      <c r="G126" s="149" t="s">
        <v>98</v>
      </c>
      <c r="H126" s="304">
        <f>'прил12(ведом 21)'!M459</f>
        <v>2328.1999999999998</v>
      </c>
    </row>
    <row r="127" spans="1:8" ht="42.75" customHeight="1">
      <c r="A127" s="290"/>
      <c r="B127" s="163" t="s">
        <v>321</v>
      </c>
      <c r="C127" s="750" t="s">
        <v>59</v>
      </c>
      <c r="D127" s="751" t="s">
        <v>50</v>
      </c>
      <c r="E127" s="751" t="s">
        <v>59</v>
      </c>
      <c r="F127" s="752" t="s">
        <v>64</v>
      </c>
      <c r="G127" s="149"/>
      <c r="H127" s="304">
        <f>H128+H130</f>
        <v>7919.2999999999993</v>
      </c>
    </row>
    <row r="128" spans="1:8" ht="42.75" customHeight="1">
      <c r="A128" s="290"/>
      <c r="B128" s="163" t="s">
        <v>812</v>
      </c>
      <c r="C128" s="750" t="s">
        <v>59</v>
      </c>
      <c r="D128" s="751" t="s">
        <v>50</v>
      </c>
      <c r="E128" s="751" t="s">
        <v>59</v>
      </c>
      <c r="F128" s="752" t="s">
        <v>811</v>
      </c>
      <c r="G128" s="149"/>
      <c r="H128" s="304">
        <f>H129</f>
        <v>1169.4000000000001</v>
      </c>
    </row>
    <row r="129" spans="1:8" ht="42.75" customHeight="1">
      <c r="A129" s="290"/>
      <c r="B129" s="163" t="s">
        <v>97</v>
      </c>
      <c r="C129" s="750" t="s">
        <v>59</v>
      </c>
      <c r="D129" s="751" t="s">
        <v>50</v>
      </c>
      <c r="E129" s="751" t="s">
        <v>59</v>
      </c>
      <c r="F129" s="752" t="s">
        <v>811</v>
      </c>
      <c r="G129" s="149" t="s">
        <v>98</v>
      </c>
      <c r="H129" s="304">
        <f>'прил12(ведом 21)'!M491</f>
        <v>1169.4000000000001</v>
      </c>
    </row>
    <row r="130" spans="1:8" ht="113.25" customHeight="1">
      <c r="A130" s="290"/>
      <c r="B130" s="163" t="s">
        <v>734</v>
      </c>
      <c r="C130" s="750" t="s">
        <v>59</v>
      </c>
      <c r="D130" s="751" t="s">
        <v>50</v>
      </c>
      <c r="E130" s="751" t="s">
        <v>59</v>
      </c>
      <c r="F130" s="752" t="s">
        <v>733</v>
      </c>
      <c r="G130" s="149"/>
      <c r="H130" s="304">
        <f>H131</f>
        <v>6749.9</v>
      </c>
    </row>
    <row r="131" spans="1:8" ht="34.5" customHeight="1">
      <c r="A131" s="290"/>
      <c r="B131" s="163" t="s">
        <v>97</v>
      </c>
      <c r="C131" s="750" t="s">
        <v>59</v>
      </c>
      <c r="D131" s="751" t="s">
        <v>50</v>
      </c>
      <c r="E131" s="751" t="s">
        <v>59</v>
      </c>
      <c r="F131" s="752" t="s">
        <v>733</v>
      </c>
      <c r="G131" s="149" t="s">
        <v>98</v>
      </c>
      <c r="H131" s="304">
        <f>'прил12(ведом 21)'!M493</f>
        <v>6749.9</v>
      </c>
    </row>
    <row r="132" spans="1:8" ht="39" customHeight="1">
      <c r="A132" s="290"/>
      <c r="B132" s="651" t="s">
        <v>428</v>
      </c>
      <c r="C132" s="652" t="s">
        <v>59</v>
      </c>
      <c r="D132" s="653" t="s">
        <v>50</v>
      </c>
      <c r="E132" s="653" t="s">
        <v>84</v>
      </c>
      <c r="F132" s="654" t="s">
        <v>64</v>
      </c>
      <c r="G132" s="655"/>
      <c r="H132" s="304">
        <f>H133</f>
        <v>175</v>
      </c>
    </row>
    <row r="133" spans="1:8" ht="59.25" customHeight="1">
      <c r="A133" s="290"/>
      <c r="B133" s="618" t="s">
        <v>816</v>
      </c>
      <c r="C133" s="652" t="s">
        <v>59</v>
      </c>
      <c r="D133" s="653" t="s">
        <v>50</v>
      </c>
      <c r="E133" s="653" t="s">
        <v>84</v>
      </c>
      <c r="F133" s="654" t="s">
        <v>126</v>
      </c>
      <c r="G133" s="655"/>
      <c r="H133" s="304">
        <f>H134</f>
        <v>175</v>
      </c>
    </row>
    <row r="134" spans="1:8" ht="36" customHeight="1">
      <c r="A134" s="290"/>
      <c r="B134" s="618" t="s">
        <v>75</v>
      </c>
      <c r="C134" s="652" t="s">
        <v>59</v>
      </c>
      <c r="D134" s="653" t="s">
        <v>50</v>
      </c>
      <c r="E134" s="653" t="s">
        <v>84</v>
      </c>
      <c r="F134" s="654" t="s">
        <v>126</v>
      </c>
      <c r="G134" s="655" t="s">
        <v>76</v>
      </c>
      <c r="H134" s="304">
        <f>'прил12(ведом 21)'!M376</f>
        <v>175</v>
      </c>
    </row>
    <row r="135" spans="1:8" ht="34.5" customHeight="1">
      <c r="A135" s="290"/>
      <c r="B135" s="618" t="s">
        <v>799</v>
      </c>
      <c r="C135" s="652" t="s">
        <v>59</v>
      </c>
      <c r="D135" s="653" t="s">
        <v>50</v>
      </c>
      <c r="E135" s="653" t="s">
        <v>72</v>
      </c>
      <c r="F135" s="654" t="s">
        <v>64</v>
      </c>
      <c r="G135" s="655"/>
      <c r="H135" s="304">
        <f>H136</f>
        <v>25</v>
      </c>
    </row>
    <row r="136" spans="1:8" ht="15.75" customHeight="1">
      <c r="A136" s="290"/>
      <c r="B136" s="618" t="s">
        <v>817</v>
      </c>
      <c r="C136" s="652" t="s">
        <v>59</v>
      </c>
      <c r="D136" s="653" t="s">
        <v>50</v>
      </c>
      <c r="E136" s="653" t="s">
        <v>72</v>
      </c>
      <c r="F136" s="654" t="s">
        <v>798</v>
      </c>
      <c r="G136" s="655"/>
      <c r="H136" s="304">
        <f>H137</f>
        <v>25</v>
      </c>
    </row>
    <row r="137" spans="1:8" ht="34.5" customHeight="1">
      <c r="A137" s="290"/>
      <c r="B137" s="618" t="s">
        <v>75</v>
      </c>
      <c r="C137" s="652" t="s">
        <v>59</v>
      </c>
      <c r="D137" s="653" t="s">
        <v>50</v>
      </c>
      <c r="E137" s="653" t="s">
        <v>72</v>
      </c>
      <c r="F137" s="654" t="s">
        <v>798</v>
      </c>
      <c r="G137" s="655" t="s">
        <v>76</v>
      </c>
      <c r="H137" s="304">
        <f>'прил12(ведом 21)'!M379</f>
        <v>25</v>
      </c>
    </row>
    <row r="138" spans="1:8" ht="36.75" customHeight="1">
      <c r="A138" s="290"/>
      <c r="B138" s="618" t="s">
        <v>813</v>
      </c>
      <c r="C138" s="652" t="s">
        <v>59</v>
      </c>
      <c r="D138" s="653" t="s">
        <v>50</v>
      </c>
      <c r="E138" s="653" t="s">
        <v>86</v>
      </c>
      <c r="F138" s="746" t="s">
        <v>64</v>
      </c>
      <c r="G138" s="288"/>
      <c r="H138" s="304">
        <f>H139</f>
        <v>103.4</v>
      </c>
    </row>
    <row r="139" spans="1:8" ht="33" customHeight="1">
      <c r="A139" s="290"/>
      <c r="B139" s="618" t="s">
        <v>148</v>
      </c>
      <c r="C139" s="652" t="s">
        <v>59</v>
      </c>
      <c r="D139" s="653" t="s">
        <v>50</v>
      </c>
      <c r="E139" s="653" t="s">
        <v>86</v>
      </c>
      <c r="F139" s="746" t="s">
        <v>111</v>
      </c>
      <c r="G139" s="288"/>
      <c r="H139" s="304">
        <f>H140</f>
        <v>103.4</v>
      </c>
    </row>
    <row r="140" spans="1:8" ht="33.75" customHeight="1">
      <c r="A140" s="290"/>
      <c r="B140" s="618" t="s">
        <v>75</v>
      </c>
      <c r="C140" s="652" t="s">
        <v>59</v>
      </c>
      <c r="D140" s="653" t="s">
        <v>50</v>
      </c>
      <c r="E140" s="653" t="s">
        <v>86</v>
      </c>
      <c r="F140" s="746" t="s">
        <v>111</v>
      </c>
      <c r="G140" s="288" t="s">
        <v>76</v>
      </c>
      <c r="H140" s="304">
        <f>'прил12(ведом 21)'!M382</f>
        <v>103.4</v>
      </c>
    </row>
    <row r="141" spans="1:8" ht="19.5" customHeight="1">
      <c r="A141" s="290"/>
      <c r="B141" s="312"/>
      <c r="C141" s="744"/>
      <c r="D141" s="745"/>
      <c r="E141" s="745"/>
      <c r="F141" s="746"/>
      <c r="G141" s="288"/>
      <c r="H141" s="304"/>
    </row>
    <row r="142" spans="1:8" s="302" customFormat="1" ht="56.25">
      <c r="A142" s="313">
        <v>2</v>
      </c>
      <c r="B142" s="297" t="s">
        <v>235</v>
      </c>
      <c r="C142" s="314" t="s">
        <v>84</v>
      </c>
      <c r="D142" s="314" t="s">
        <v>62</v>
      </c>
      <c r="E142" s="314" t="s">
        <v>63</v>
      </c>
      <c r="F142" s="315" t="s">
        <v>64</v>
      </c>
      <c r="G142" s="300"/>
      <c r="H142" s="301">
        <f>H143+H173+H180</f>
        <v>93565.2</v>
      </c>
    </row>
    <row r="143" spans="1:8" s="302" customFormat="1" ht="56.25">
      <c r="A143" s="290"/>
      <c r="B143" s="316" t="s">
        <v>236</v>
      </c>
      <c r="C143" s="750" t="s">
        <v>84</v>
      </c>
      <c r="D143" s="751" t="s">
        <v>65</v>
      </c>
      <c r="E143" s="751" t="s">
        <v>63</v>
      </c>
      <c r="F143" s="752" t="s">
        <v>64</v>
      </c>
      <c r="G143" s="288"/>
      <c r="H143" s="304">
        <f>H144+H151+H154+H163+H170</f>
        <v>82831.7</v>
      </c>
    </row>
    <row r="144" spans="1:8" s="302" customFormat="1" ht="34.15" customHeight="1">
      <c r="A144" s="290"/>
      <c r="B144" s="316" t="s">
        <v>316</v>
      </c>
      <c r="C144" s="750" t="s">
        <v>84</v>
      </c>
      <c r="D144" s="751" t="s">
        <v>65</v>
      </c>
      <c r="E144" s="751" t="s">
        <v>57</v>
      </c>
      <c r="F144" s="752" t="s">
        <v>64</v>
      </c>
      <c r="G144" s="288"/>
      <c r="H144" s="304">
        <f>H145+H149+H147</f>
        <v>57382.400000000001</v>
      </c>
    </row>
    <row r="145" spans="1:8" s="302" customFormat="1" ht="37.5">
      <c r="A145" s="290"/>
      <c r="B145" s="303" t="s">
        <v>795</v>
      </c>
      <c r="C145" s="750" t="s">
        <v>84</v>
      </c>
      <c r="D145" s="751" t="s">
        <v>65</v>
      </c>
      <c r="E145" s="751" t="s">
        <v>57</v>
      </c>
      <c r="F145" s="752" t="s">
        <v>112</v>
      </c>
      <c r="G145" s="149"/>
      <c r="H145" s="304">
        <f>H146</f>
        <v>54070.9</v>
      </c>
    </row>
    <row r="146" spans="1:8" s="302" customFormat="1" ht="44.25" customHeight="1">
      <c r="A146" s="290"/>
      <c r="B146" s="305" t="s">
        <v>97</v>
      </c>
      <c r="C146" s="750" t="s">
        <v>84</v>
      </c>
      <c r="D146" s="751" t="s">
        <v>65</v>
      </c>
      <c r="E146" s="751" t="s">
        <v>57</v>
      </c>
      <c r="F146" s="752" t="s">
        <v>112</v>
      </c>
      <c r="G146" s="149" t="s">
        <v>98</v>
      </c>
      <c r="H146" s="304">
        <f>'прил12(ведом 21)'!M541</f>
        <v>54070.9</v>
      </c>
    </row>
    <row r="147" spans="1:8" s="302" customFormat="1" ht="20.25" customHeight="1">
      <c r="A147" s="290"/>
      <c r="B147" s="167" t="s">
        <v>796</v>
      </c>
      <c r="C147" s="750" t="s">
        <v>84</v>
      </c>
      <c r="D147" s="751" t="s">
        <v>65</v>
      </c>
      <c r="E147" s="751" t="s">
        <v>57</v>
      </c>
      <c r="F147" s="752" t="s">
        <v>479</v>
      </c>
      <c r="G147" s="149"/>
      <c r="H147" s="304">
        <f>H148</f>
        <v>929.59999999999991</v>
      </c>
    </row>
    <row r="148" spans="1:8" s="302" customFormat="1" ht="44.25" customHeight="1">
      <c r="A148" s="290"/>
      <c r="B148" s="167" t="s">
        <v>97</v>
      </c>
      <c r="C148" s="750" t="s">
        <v>84</v>
      </c>
      <c r="D148" s="751" t="s">
        <v>65</v>
      </c>
      <c r="E148" s="751" t="s">
        <v>57</v>
      </c>
      <c r="F148" s="752" t="s">
        <v>479</v>
      </c>
      <c r="G148" s="149" t="s">
        <v>98</v>
      </c>
      <c r="H148" s="304">
        <f>'прил12(ведом 21)'!M543</f>
        <v>929.59999999999991</v>
      </c>
    </row>
    <row r="149" spans="1:8" s="302" customFormat="1" ht="44.25" customHeight="1">
      <c r="A149" s="290"/>
      <c r="B149" s="167" t="s">
        <v>378</v>
      </c>
      <c r="C149" s="750" t="s">
        <v>84</v>
      </c>
      <c r="D149" s="751" t="s">
        <v>65</v>
      </c>
      <c r="E149" s="751" t="s">
        <v>57</v>
      </c>
      <c r="F149" s="752" t="s">
        <v>379</v>
      </c>
      <c r="G149" s="149"/>
      <c r="H149" s="304">
        <f>H150</f>
        <v>2381.9</v>
      </c>
    </row>
    <row r="150" spans="1:8" s="302" customFormat="1" ht="44.25" customHeight="1">
      <c r="A150" s="290"/>
      <c r="B150" s="167" t="s">
        <v>97</v>
      </c>
      <c r="C150" s="750" t="s">
        <v>84</v>
      </c>
      <c r="D150" s="751" t="s">
        <v>65</v>
      </c>
      <c r="E150" s="751" t="s">
        <v>57</v>
      </c>
      <c r="F150" s="752" t="s">
        <v>379</v>
      </c>
      <c r="G150" s="149" t="s">
        <v>98</v>
      </c>
      <c r="H150" s="304">
        <f>'прил12(ведом 21)'!M545</f>
        <v>2381.9</v>
      </c>
    </row>
    <row r="151" spans="1:8" ht="18.75">
      <c r="A151" s="318"/>
      <c r="B151" s="305" t="s">
        <v>317</v>
      </c>
      <c r="C151" s="750" t="s">
        <v>84</v>
      </c>
      <c r="D151" s="751" t="s">
        <v>65</v>
      </c>
      <c r="E151" s="751" t="s">
        <v>59</v>
      </c>
      <c r="F151" s="752" t="s">
        <v>64</v>
      </c>
      <c r="G151" s="149"/>
      <c r="H151" s="319">
        <f>H152</f>
        <v>198</v>
      </c>
    </row>
    <row r="152" spans="1:8" s="302" customFormat="1" ht="37.5">
      <c r="A152" s="290"/>
      <c r="B152" s="305" t="s">
        <v>233</v>
      </c>
      <c r="C152" s="750" t="s">
        <v>84</v>
      </c>
      <c r="D152" s="751" t="s">
        <v>65</v>
      </c>
      <c r="E152" s="751" t="s">
        <v>59</v>
      </c>
      <c r="F152" s="752" t="s">
        <v>319</v>
      </c>
      <c r="G152" s="149"/>
      <c r="H152" s="304">
        <f>H153</f>
        <v>198</v>
      </c>
    </row>
    <row r="153" spans="1:8" s="302" customFormat="1" ht="27" customHeight="1">
      <c r="A153" s="290"/>
      <c r="B153" s="305" t="s">
        <v>141</v>
      </c>
      <c r="C153" s="750" t="s">
        <v>84</v>
      </c>
      <c r="D153" s="751" t="s">
        <v>65</v>
      </c>
      <c r="E153" s="751" t="s">
        <v>59</v>
      </c>
      <c r="F153" s="752" t="s">
        <v>319</v>
      </c>
      <c r="G153" s="149" t="s">
        <v>142</v>
      </c>
      <c r="H153" s="304">
        <f>'прил12(ведом 21)'!M557</f>
        <v>198</v>
      </c>
    </row>
    <row r="154" spans="1:8" s="302" customFormat="1" ht="18.75">
      <c r="A154" s="290"/>
      <c r="B154" s="303" t="s">
        <v>380</v>
      </c>
      <c r="C154" s="179" t="s">
        <v>84</v>
      </c>
      <c r="D154" s="320" t="s">
        <v>65</v>
      </c>
      <c r="E154" s="320" t="s">
        <v>84</v>
      </c>
      <c r="F154" s="321" t="s">
        <v>64</v>
      </c>
      <c r="G154" s="322"/>
      <c r="H154" s="304">
        <f>H155+H159+H161+H158</f>
        <v>12035.2</v>
      </c>
    </row>
    <row r="155" spans="1:8" s="302" customFormat="1" ht="37.5">
      <c r="A155" s="290"/>
      <c r="B155" s="303" t="s">
        <v>795</v>
      </c>
      <c r="C155" s="179" t="s">
        <v>84</v>
      </c>
      <c r="D155" s="320" t="s">
        <v>65</v>
      </c>
      <c r="E155" s="320" t="s">
        <v>84</v>
      </c>
      <c r="F155" s="321" t="s">
        <v>112</v>
      </c>
      <c r="G155" s="322"/>
      <c r="H155" s="304">
        <f>H156</f>
        <v>11263.800000000001</v>
      </c>
    </row>
    <row r="156" spans="1:8" s="302" customFormat="1" ht="44.25" customHeight="1">
      <c r="A156" s="290"/>
      <c r="B156" s="305" t="s">
        <v>97</v>
      </c>
      <c r="C156" s="750" t="s">
        <v>84</v>
      </c>
      <c r="D156" s="751" t="s">
        <v>65</v>
      </c>
      <c r="E156" s="751" t="s">
        <v>84</v>
      </c>
      <c r="F156" s="752" t="s">
        <v>112</v>
      </c>
      <c r="G156" s="149" t="s">
        <v>98</v>
      </c>
      <c r="H156" s="304">
        <f>'прил12(ведом 21)'!M564</f>
        <v>11263.800000000001</v>
      </c>
    </row>
    <row r="157" spans="1:8" s="302" customFormat="1" ht="44.25" customHeight="1">
      <c r="A157" s="290"/>
      <c r="B157" s="811" t="s">
        <v>796</v>
      </c>
      <c r="C157" s="800" t="s">
        <v>84</v>
      </c>
      <c r="D157" s="801" t="s">
        <v>65</v>
      </c>
      <c r="E157" s="801" t="s">
        <v>84</v>
      </c>
      <c r="F157" s="802" t="s">
        <v>479</v>
      </c>
      <c r="G157" s="799"/>
      <c r="H157" s="304">
        <f>H158</f>
        <v>125.4</v>
      </c>
    </row>
    <row r="158" spans="1:8" s="302" customFormat="1" ht="44.25" customHeight="1">
      <c r="A158" s="290"/>
      <c r="B158" s="797" t="s">
        <v>97</v>
      </c>
      <c r="C158" s="800" t="s">
        <v>84</v>
      </c>
      <c r="D158" s="801" t="s">
        <v>65</v>
      </c>
      <c r="E158" s="801" t="s">
        <v>84</v>
      </c>
      <c r="F158" s="802" t="s">
        <v>479</v>
      </c>
      <c r="G158" s="799" t="s">
        <v>98</v>
      </c>
      <c r="H158" s="304">
        <f>'прил12(ведом 21)'!M566</f>
        <v>125.4</v>
      </c>
    </row>
    <row r="159" spans="1:8" s="302" customFormat="1" ht="37.5">
      <c r="A159" s="290"/>
      <c r="B159" s="305" t="s">
        <v>378</v>
      </c>
      <c r="C159" s="179" t="s">
        <v>84</v>
      </c>
      <c r="D159" s="320" t="s">
        <v>65</v>
      </c>
      <c r="E159" s="320" t="s">
        <v>84</v>
      </c>
      <c r="F159" s="321" t="s">
        <v>379</v>
      </c>
      <c r="G159" s="322"/>
      <c r="H159" s="304">
        <f>H160</f>
        <v>205</v>
      </c>
    </row>
    <row r="160" spans="1:8" s="302" customFormat="1" ht="44.25" customHeight="1">
      <c r="A160" s="290"/>
      <c r="B160" s="305" t="s">
        <v>97</v>
      </c>
      <c r="C160" s="179" t="s">
        <v>84</v>
      </c>
      <c r="D160" s="320" t="s">
        <v>65</v>
      </c>
      <c r="E160" s="320" t="s">
        <v>84</v>
      </c>
      <c r="F160" s="321" t="s">
        <v>379</v>
      </c>
      <c r="G160" s="322" t="s">
        <v>98</v>
      </c>
      <c r="H160" s="304">
        <f>'прил12(ведом 21)'!M568</f>
        <v>205</v>
      </c>
    </row>
    <row r="161" spans="1:8" s="302" customFormat="1" ht="56.25">
      <c r="A161" s="290"/>
      <c r="B161" s="305" t="s">
        <v>237</v>
      </c>
      <c r="C161" s="750" t="s">
        <v>84</v>
      </c>
      <c r="D161" s="751" t="s">
        <v>65</v>
      </c>
      <c r="E161" s="751" t="s">
        <v>84</v>
      </c>
      <c r="F161" s="752" t="s">
        <v>381</v>
      </c>
      <c r="G161" s="149"/>
      <c r="H161" s="304">
        <f>H162</f>
        <v>441</v>
      </c>
    </row>
    <row r="162" spans="1:8" s="302" customFormat="1" ht="43.5" customHeight="1">
      <c r="A162" s="290"/>
      <c r="B162" s="305" t="s">
        <v>97</v>
      </c>
      <c r="C162" s="750" t="s">
        <v>84</v>
      </c>
      <c r="D162" s="751" t="s">
        <v>65</v>
      </c>
      <c r="E162" s="751" t="s">
        <v>84</v>
      </c>
      <c r="F162" s="752" t="s">
        <v>381</v>
      </c>
      <c r="G162" s="149" t="s">
        <v>98</v>
      </c>
      <c r="H162" s="304">
        <f>'прил12(ведом 21)'!M570</f>
        <v>441</v>
      </c>
    </row>
    <row r="163" spans="1:8" s="302" customFormat="1" ht="37.5">
      <c r="A163" s="290"/>
      <c r="B163" s="305" t="s">
        <v>382</v>
      </c>
      <c r="C163" s="179" t="s">
        <v>84</v>
      </c>
      <c r="D163" s="320" t="s">
        <v>65</v>
      </c>
      <c r="E163" s="320" t="s">
        <v>72</v>
      </c>
      <c r="F163" s="752" t="s">
        <v>64</v>
      </c>
      <c r="G163" s="149"/>
      <c r="H163" s="304">
        <f>H164+H168</f>
        <v>12938.2</v>
      </c>
    </row>
    <row r="164" spans="1:8" s="302" customFormat="1" ht="37.5">
      <c r="A164" s="290"/>
      <c r="B164" s="303" t="s">
        <v>795</v>
      </c>
      <c r="C164" s="179" t="s">
        <v>84</v>
      </c>
      <c r="D164" s="320" t="s">
        <v>65</v>
      </c>
      <c r="E164" s="320" t="s">
        <v>72</v>
      </c>
      <c r="F164" s="321" t="s">
        <v>112</v>
      </c>
      <c r="G164" s="322"/>
      <c r="H164" s="304">
        <f>SUM(H165:H167)</f>
        <v>12890.800000000001</v>
      </c>
    </row>
    <row r="165" spans="1:8" s="302" customFormat="1" ht="93.75">
      <c r="A165" s="290"/>
      <c r="B165" s="163" t="s">
        <v>69</v>
      </c>
      <c r="C165" s="750" t="s">
        <v>84</v>
      </c>
      <c r="D165" s="751" t="s">
        <v>65</v>
      </c>
      <c r="E165" s="751" t="s">
        <v>72</v>
      </c>
      <c r="F165" s="752" t="s">
        <v>112</v>
      </c>
      <c r="G165" s="149" t="s">
        <v>70</v>
      </c>
      <c r="H165" s="304">
        <f>'прил12(ведом 21)'!M573</f>
        <v>11426.1</v>
      </c>
    </row>
    <row r="166" spans="1:8" s="302" customFormat="1" ht="37.5">
      <c r="A166" s="290"/>
      <c r="B166" s="163" t="s">
        <v>75</v>
      </c>
      <c r="C166" s="750" t="s">
        <v>84</v>
      </c>
      <c r="D166" s="751" t="s">
        <v>65</v>
      </c>
      <c r="E166" s="751" t="s">
        <v>72</v>
      </c>
      <c r="F166" s="752" t="s">
        <v>112</v>
      </c>
      <c r="G166" s="149" t="s">
        <v>76</v>
      </c>
      <c r="H166" s="304">
        <f>'прил12(ведом 21)'!M574</f>
        <v>1417.7</v>
      </c>
    </row>
    <row r="167" spans="1:8" s="302" customFormat="1" ht="18.75">
      <c r="A167" s="290"/>
      <c r="B167" s="163" t="s">
        <v>77</v>
      </c>
      <c r="C167" s="750" t="s">
        <v>84</v>
      </c>
      <c r="D167" s="751" t="s">
        <v>65</v>
      </c>
      <c r="E167" s="751" t="s">
        <v>72</v>
      </c>
      <c r="F167" s="752" t="s">
        <v>112</v>
      </c>
      <c r="G167" s="149" t="s">
        <v>78</v>
      </c>
      <c r="H167" s="304">
        <f>'прил12(ведом 21)'!M575</f>
        <v>47</v>
      </c>
    </row>
    <row r="168" spans="1:8" s="302" customFormat="1" ht="18.75">
      <c r="A168" s="290"/>
      <c r="B168" s="811" t="s">
        <v>796</v>
      </c>
      <c r="C168" s="800" t="s">
        <v>84</v>
      </c>
      <c r="D168" s="801" t="s">
        <v>65</v>
      </c>
      <c r="E168" s="801" t="s">
        <v>72</v>
      </c>
      <c r="F168" s="802" t="s">
        <v>479</v>
      </c>
      <c r="G168" s="149"/>
      <c r="H168" s="304">
        <f>H169</f>
        <v>47.4</v>
      </c>
    </row>
    <row r="169" spans="1:8" s="302" customFormat="1" ht="37.5">
      <c r="A169" s="290"/>
      <c r="B169" s="163" t="s">
        <v>75</v>
      </c>
      <c r="C169" s="800" t="s">
        <v>84</v>
      </c>
      <c r="D169" s="801" t="s">
        <v>65</v>
      </c>
      <c r="E169" s="801" t="s">
        <v>72</v>
      </c>
      <c r="F169" s="802" t="s">
        <v>479</v>
      </c>
      <c r="G169" s="799" t="s">
        <v>76</v>
      </c>
      <c r="H169" s="304">
        <f>'прил12(ведом 21)'!M577</f>
        <v>47.4</v>
      </c>
    </row>
    <row r="170" spans="1:8" s="302" customFormat="1" ht="42" customHeight="1">
      <c r="A170" s="290"/>
      <c r="B170" s="167" t="s">
        <v>321</v>
      </c>
      <c r="C170" s="750" t="s">
        <v>84</v>
      </c>
      <c r="D170" s="751" t="s">
        <v>65</v>
      </c>
      <c r="E170" s="751" t="s">
        <v>86</v>
      </c>
      <c r="F170" s="752" t="s">
        <v>64</v>
      </c>
      <c r="G170" s="149"/>
      <c r="H170" s="304">
        <f>H171</f>
        <v>277.89999999999998</v>
      </c>
    </row>
    <row r="171" spans="1:8" s="302" customFormat="1" ht="37.5">
      <c r="A171" s="290"/>
      <c r="B171" s="167" t="s">
        <v>812</v>
      </c>
      <c r="C171" s="750" t="s">
        <v>84</v>
      </c>
      <c r="D171" s="751" t="s">
        <v>65</v>
      </c>
      <c r="E171" s="751" t="s">
        <v>86</v>
      </c>
      <c r="F171" s="752" t="s">
        <v>811</v>
      </c>
      <c r="G171" s="149"/>
      <c r="H171" s="304">
        <f>H172</f>
        <v>277.89999999999998</v>
      </c>
    </row>
    <row r="172" spans="1:8" s="302" customFormat="1" ht="39" customHeight="1">
      <c r="A172" s="290"/>
      <c r="B172" s="167" t="s">
        <v>97</v>
      </c>
      <c r="C172" s="750" t="s">
        <v>84</v>
      </c>
      <c r="D172" s="751" t="s">
        <v>65</v>
      </c>
      <c r="E172" s="751" t="s">
        <v>86</v>
      </c>
      <c r="F172" s="752" t="s">
        <v>811</v>
      </c>
      <c r="G172" s="149" t="s">
        <v>98</v>
      </c>
      <c r="H172" s="304">
        <f>'прил12(ведом 21)'!M551</f>
        <v>277.89999999999998</v>
      </c>
    </row>
    <row r="173" spans="1:8" ht="37.5">
      <c r="A173" s="290"/>
      <c r="B173" s="303" t="s">
        <v>390</v>
      </c>
      <c r="C173" s="179" t="s">
        <v>84</v>
      </c>
      <c r="D173" s="320" t="s">
        <v>110</v>
      </c>
      <c r="E173" s="320" t="s">
        <v>63</v>
      </c>
      <c r="F173" s="752" t="s">
        <v>64</v>
      </c>
      <c r="G173" s="322"/>
      <c r="H173" s="304">
        <f>H174</f>
        <v>1204.8</v>
      </c>
    </row>
    <row r="174" spans="1:8" ht="93.75">
      <c r="A174" s="290"/>
      <c r="B174" s="305" t="s">
        <v>383</v>
      </c>
      <c r="C174" s="179" t="s">
        <v>84</v>
      </c>
      <c r="D174" s="320" t="s">
        <v>110</v>
      </c>
      <c r="E174" s="320" t="s">
        <v>84</v>
      </c>
      <c r="F174" s="752" t="s">
        <v>64</v>
      </c>
      <c r="G174" s="322"/>
      <c r="H174" s="304">
        <f>H175+H178</f>
        <v>1204.8</v>
      </c>
    </row>
    <row r="175" spans="1:8" ht="37.5">
      <c r="A175" s="290"/>
      <c r="B175" s="305" t="s">
        <v>378</v>
      </c>
      <c r="C175" s="179" t="s">
        <v>84</v>
      </c>
      <c r="D175" s="320" t="s">
        <v>110</v>
      </c>
      <c r="E175" s="320" t="s">
        <v>84</v>
      </c>
      <c r="F175" s="321" t="s">
        <v>379</v>
      </c>
      <c r="G175" s="288"/>
      <c r="H175" s="304">
        <f>SUM(H176:H177)</f>
        <v>1162.7</v>
      </c>
    </row>
    <row r="176" spans="1:8" ht="37.5">
      <c r="A176" s="290"/>
      <c r="B176" s="303" t="s">
        <v>75</v>
      </c>
      <c r="C176" s="750" t="s">
        <v>84</v>
      </c>
      <c r="D176" s="751" t="s">
        <v>110</v>
      </c>
      <c r="E176" s="751" t="s">
        <v>84</v>
      </c>
      <c r="F176" s="752" t="s">
        <v>379</v>
      </c>
      <c r="G176" s="288" t="s">
        <v>76</v>
      </c>
      <c r="H176" s="304">
        <f>'прил12(ведом 21)'!M589</f>
        <v>1144.8</v>
      </c>
    </row>
    <row r="177" spans="1:8" ht="39.75" customHeight="1">
      <c r="A177" s="290"/>
      <c r="B177" s="305" t="s">
        <v>97</v>
      </c>
      <c r="C177" s="750" t="s">
        <v>84</v>
      </c>
      <c r="D177" s="751" t="s">
        <v>110</v>
      </c>
      <c r="E177" s="751" t="s">
        <v>84</v>
      </c>
      <c r="F177" s="752" t="s">
        <v>379</v>
      </c>
      <c r="G177" s="149" t="s">
        <v>98</v>
      </c>
      <c r="H177" s="304">
        <f>'прил12(ведом 21)'!M581</f>
        <v>17.899999999999999</v>
      </c>
    </row>
    <row r="178" spans="1:8" ht="40.5" customHeight="1">
      <c r="A178" s="290"/>
      <c r="B178" s="167" t="s">
        <v>586</v>
      </c>
      <c r="C178" s="750" t="s">
        <v>84</v>
      </c>
      <c r="D178" s="751" t="s">
        <v>110</v>
      </c>
      <c r="E178" s="751" t="s">
        <v>84</v>
      </c>
      <c r="F178" s="752" t="s">
        <v>587</v>
      </c>
      <c r="G178" s="149"/>
      <c r="H178" s="304">
        <f>H179</f>
        <v>42.1</v>
      </c>
    </row>
    <row r="179" spans="1:8" ht="41.25" customHeight="1">
      <c r="A179" s="290"/>
      <c r="B179" s="167" t="s">
        <v>97</v>
      </c>
      <c r="C179" s="750" t="s">
        <v>84</v>
      </c>
      <c r="D179" s="751" t="s">
        <v>110</v>
      </c>
      <c r="E179" s="751" t="s">
        <v>84</v>
      </c>
      <c r="F179" s="752" t="s">
        <v>587</v>
      </c>
      <c r="G179" s="149" t="s">
        <v>98</v>
      </c>
      <c r="H179" s="304">
        <f>'прил12(ведом 21)'!M583</f>
        <v>42.1</v>
      </c>
    </row>
    <row r="180" spans="1:8" s="302" customFormat="1" ht="42" customHeight="1">
      <c r="A180" s="290"/>
      <c r="B180" s="303" t="s">
        <v>238</v>
      </c>
      <c r="C180" s="750" t="s">
        <v>84</v>
      </c>
      <c r="D180" s="751" t="s">
        <v>50</v>
      </c>
      <c r="E180" s="751" t="s">
        <v>63</v>
      </c>
      <c r="F180" s="752" t="s">
        <v>64</v>
      </c>
      <c r="G180" s="288"/>
      <c r="H180" s="304">
        <f>H181+H192</f>
        <v>9528.7000000000007</v>
      </c>
    </row>
    <row r="181" spans="1:8" s="302" customFormat="1" ht="37.5">
      <c r="A181" s="290"/>
      <c r="B181" s="303" t="s">
        <v>322</v>
      </c>
      <c r="C181" s="750" t="s">
        <v>84</v>
      </c>
      <c r="D181" s="751" t="s">
        <v>50</v>
      </c>
      <c r="E181" s="751" t="s">
        <v>57</v>
      </c>
      <c r="F181" s="752" t="s">
        <v>64</v>
      </c>
      <c r="G181" s="149"/>
      <c r="H181" s="304">
        <f>H182+H186+H190</f>
        <v>9397.5</v>
      </c>
    </row>
    <row r="182" spans="1:8" ht="37.5">
      <c r="A182" s="290"/>
      <c r="B182" s="303" t="s">
        <v>67</v>
      </c>
      <c r="C182" s="750" t="s">
        <v>84</v>
      </c>
      <c r="D182" s="751" t="s">
        <v>50</v>
      </c>
      <c r="E182" s="751" t="s">
        <v>57</v>
      </c>
      <c r="F182" s="752" t="s">
        <v>68</v>
      </c>
      <c r="G182" s="322"/>
      <c r="H182" s="304">
        <f>SUM(H183:H185)</f>
        <v>2859.3000000000006</v>
      </c>
    </row>
    <row r="183" spans="1:8" ht="93.75">
      <c r="A183" s="290"/>
      <c r="B183" s="303" t="s">
        <v>69</v>
      </c>
      <c r="C183" s="750" t="s">
        <v>84</v>
      </c>
      <c r="D183" s="751" t="s">
        <v>50</v>
      </c>
      <c r="E183" s="751" t="s">
        <v>57</v>
      </c>
      <c r="F183" s="752" t="s">
        <v>68</v>
      </c>
      <c r="G183" s="322" t="s">
        <v>70</v>
      </c>
      <c r="H183" s="304">
        <f>'прил12(ведом 21)'!M593</f>
        <v>2616.6000000000004</v>
      </c>
    </row>
    <row r="184" spans="1:8" ht="37.5">
      <c r="A184" s="290"/>
      <c r="B184" s="303" t="s">
        <v>75</v>
      </c>
      <c r="C184" s="750" t="s">
        <v>84</v>
      </c>
      <c r="D184" s="751" t="s">
        <v>50</v>
      </c>
      <c r="E184" s="751" t="s">
        <v>57</v>
      </c>
      <c r="F184" s="752" t="s">
        <v>68</v>
      </c>
      <c r="G184" s="322" t="s">
        <v>76</v>
      </c>
      <c r="H184" s="304">
        <f>'прил12(ведом 21)'!M594</f>
        <v>238.3</v>
      </c>
    </row>
    <row r="185" spans="1:8" ht="18.75">
      <c r="A185" s="290"/>
      <c r="B185" s="303" t="s">
        <v>77</v>
      </c>
      <c r="C185" s="750" t="s">
        <v>84</v>
      </c>
      <c r="D185" s="751" t="s">
        <v>50</v>
      </c>
      <c r="E185" s="751" t="s">
        <v>57</v>
      </c>
      <c r="F185" s="752" t="s">
        <v>68</v>
      </c>
      <c r="G185" s="149" t="s">
        <v>78</v>
      </c>
      <c r="H185" s="304">
        <f>'прил12(ведом 21)'!M595</f>
        <v>4.4000000000000004</v>
      </c>
    </row>
    <row r="186" spans="1:8" ht="37.5">
      <c r="A186" s="290"/>
      <c r="B186" s="303" t="s">
        <v>795</v>
      </c>
      <c r="C186" s="750" t="s">
        <v>84</v>
      </c>
      <c r="D186" s="751" t="s">
        <v>50</v>
      </c>
      <c r="E186" s="751" t="s">
        <v>57</v>
      </c>
      <c r="F186" s="752" t="s">
        <v>112</v>
      </c>
      <c r="G186" s="149"/>
      <c r="H186" s="304">
        <f>SUM(H187:H189)</f>
        <v>6409.2</v>
      </c>
    </row>
    <row r="187" spans="1:8" ht="93.75">
      <c r="A187" s="290"/>
      <c r="B187" s="303" t="s">
        <v>69</v>
      </c>
      <c r="C187" s="750" t="s">
        <v>84</v>
      </c>
      <c r="D187" s="751" t="s">
        <v>50</v>
      </c>
      <c r="E187" s="751" t="s">
        <v>57</v>
      </c>
      <c r="F187" s="752" t="s">
        <v>112</v>
      </c>
      <c r="G187" s="322" t="s">
        <v>70</v>
      </c>
      <c r="H187" s="304">
        <f>'прил12(ведом 21)'!M597</f>
        <v>5832</v>
      </c>
    </row>
    <row r="188" spans="1:8" ht="37.5">
      <c r="A188" s="290"/>
      <c r="B188" s="303" t="s">
        <v>75</v>
      </c>
      <c r="C188" s="750" t="s">
        <v>84</v>
      </c>
      <c r="D188" s="751" t="s">
        <v>50</v>
      </c>
      <c r="E188" s="751" t="s">
        <v>57</v>
      </c>
      <c r="F188" s="752" t="s">
        <v>112</v>
      </c>
      <c r="G188" s="322" t="s">
        <v>76</v>
      </c>
      <c r="H188" s="304">
        <f>'прил12(ведом 21)'!M598</f>
        <v>575.5</v>
      </c>
    </row>
    <row r="189" spans="1:8" ht="18.75">
      <c r="A189" s="290"/>
      <c r="B189" s="303" t="s">
        <v>77</v>
      </c>
      <c r="C189" s="750" t="s">
        <v>84</v>
      </c>
      <c r="D189" s="751" t="s">
        <v>50</v>
      </c>
      <c r="E189" s="751" t="s">
        <v>57</v>
      </c>
      <c r="F189" s="752" t="s">
        <v>112</v>
      </c>
      <c r="G189" s="149" t="s">
        <v>78</v>
      </c>
      <c r="H189" s="304">
        <f>'прил12(ведом 21)'!M599</f>
        <v>1.7</v>
      </c>
    </row>
    <row r="190" spans="1:8" ht="18.75">
      <c r="A190" s="290"/>
      <c r="B190" s="586" t="s">
        <v>796</v>
      </c>
      <c r="C190" s="750" t="s">
        <v>84</v>
      </c>
      <c r="D190" s="751" t="s">
        <v>50</v>
      </c>
      <c r="E190" s="751" t="s">
        <v>57</v>
      </c>
      <c r="F190" s="453" t="s">
        <v>479</v>
      </c>
      <c r="G190" s="582"/>
      <c r="H190" s="304">
        <f>H191</f>
        <v>129</v>
      </c>
    </row>
    <row r="191" spans="1:8" ht="37.5">
      <c r="A191" s="290"/>
      <c r="B191" s="163" t="s">
        <v>75</v>
      </c>
      <c r="C191" s="750" t="s">
        <v>84</v>
      </c>
      <c r="D191" s="751" t="s">
        <v>50</v>
      </c>
      <c r="E191" s="751" t="s">
        <v>57</v>
      </c>
      <c r="F191" s="584" t="s">
        <v>479</v>
      </c>
      <c r="G191" s="583" t="s">
        <v>76</v>
      </c>
      <c r="H191" s="304">
        <f>'прил12(ведом 21)'!M601</f>
        <v>129</v>
      </c>
    </row>
    <row r="192" spans="1:8" ht="37.5">
      <c r="A192" s="290"/>
      <c r="B192" s="163" t="s">
        <v>428</v>
      </c>
      <c r="C192" s="576" t="s">
        <v>84</v>
      </c>
      <c r="D192" s="577" t="s">
        <v>50</v>
      </c>
      <c r="E192" s="577" t="s">
        <v>59</v>
      </c>
      <c r="F192" s="578" t="s">
        <v>64</v>
      </c>
      <c r="G192" s="159"/>
      <c r="H192" s="304">
        <f>H193</f>
        <v>131.19999999999999</v>
      </c>
    </row>
    <row r="193" spans="1:8" ht="56.25">
      <c r="A193" s="290"/>
      <c r="B193" s="163" t="s">
        <v>429</v>
      </c>
      <c r="C193" s="576" t="s">
        <v>84</v>
      </c>
      <c r="D193" s="577" t="s">
        <v>50</v>
      </c>
      <c r="E193" s="577" t="s">
        <v>59</v>
      </c>
      <c r="F193" s="578" t="s">
        <v>126</v>
      </c>
      <c r="G193" s="159"/>
      <c r="H193" s="304">
        <f>H194</f>
        <v>131.19999999999999</v>
      </c>
    </row>
    <row r="194" spans="1:8" ht="37.5">
      <c r="A194" s="290"/>
      <c r="B194" s="163" t="s">
        <v>75</v>
      </c>
      <c r="C194" s="576" t="s">
        <v>84</v>
      </c>
      <c r="D194" s="577" t="s">
        <v>50</v>
      </c>
      <c r="E194" s="577" t="s">
        <v>59</v>
      </c>
      <c r="F194" s="578" t="s">
        <v>126</v>
      </c>
      <c r="G194" s="180" t="s">
        <v>76</v>
      </c>
      <c r="H194" s="304">
        <f>'прил12(ведом 21)'!M534</f>
        <v>131.19999999999999</v>
      </c>
    </row>
    <row r="195" spans="1:8" ht="18.75">
      <c r="A195" s="290"/>
      <c r="B195" s="312"/>
      <c r="C195" s="323"/>
      <c r="D195" s="323"/>
      <c r="E195" s="324"/>
      <c r="F195" s="325"/>
      <c r="G195" s="288"/>
      <c r="H195" s="304"/>
    </row>
    <row r="196" spans="1:8" s="302" customFormat="1" ht="56.25">
      <c r="A196" s="313">
        <v>3</v>
      </c>
      <c r="B196" s="326" t="s">
        <v>239</v>
      </c>
      <c r="C196" s="314" t="s">
        <v>72</v>
      </c>
      <c r="D196" s="314" t="s">
        <v>62</v>
      </c>
      <c r="E196" s="314" t="s">
        <v>63</v>
      </c>
      <c r="F196" s="315" t="s">
        <v>64</v>
      </c>
      <c r="G196" s="300"/>
      <c r="H196" s="301">
        <f>H197+H205+H227</f>
        <v>40344.9</v>
      </c>
    </row>
    <row r="197" spans="1:8" ht="24" customHeight="1">
      <c r="A197" s="290"/>
      <c r="B197" s="316" t="s">
        <v>240</v>
      </c>
      <c r="C197" s="750" t="s">
        <v>72</v>
      </c>
      <c r="D197" s="751" t="s">
        <v>65</v>
      </c>
      <c r="E197" s="751" t="s">
        <v>63</v>
      </c>
      <c r="F197" s="752" t="s">
        <v>64</v>
      </c>
      <c r="G197" s="288"/>
      <c r="H197" s="304">
        <f>H198+H201</f>
        <v>857.8</v>
      </c>
    </row>
    <row r="198" spans="1:8" ht="18.75">
      <c r="A198" s="290"/>
      <c r="B198" s="303" t="s">
        <v>317</v>
      </c>
      <c r="C198" s="750" t="s">
        <v>72</v>
      </c>
      <c r="D198" s="751" t="s">
        <v>65</v>
      </c>
      <c r="E198" s="751" t="s">
        <v>57</v>
      </c>
      <c r="F198" s="752" t="s">
        <v>64</v>
      </c>
      <c r="G198" s="288"/>
      <c r="H198" s="304">
        <f>H199</f>
        <v>144</v>
      </c>
    </row>
    <row r="199" spans="1:8" ht="37.5">
      <c r="A199" s="290"/>
      <c r="B199" s="303" t="s">
        <v>318</v>
      </c>
      <c r="C199" s="750" t="s">
        <v>72</v>
      </c>
      <c r="D199" s="751" t="s">
        <v>65</v>
      </c>
      <c r="E199" s="751" t="s">
        <v>57</v>
      </c>
      <c r="F199" s="752" t="s">
        <v>319</v>
      </c>
      <c r="G199" s="149"/>
      <c r="H199" s="304">
        <f>H200</f>
        <v>144</v>
      </c>
    </row>
    <row r="200" spans="1:8" ht="22.5" customHeight="1">
      <c r="A200" s="290"/>
      <c r="B200" s="303" t="s">
        <v>141</v>
      </c>
      <c r="C200" s="750" t="s">
        <v>72</v>
      </c>
      <c r="D200" s="751" t="s">
        <v>65</v>
      </c>
      <c r="E200" s="751" t="s">
        <v>57</v>
      </c>
      <c r="F200" s="752" t="s">
        <v>319</v>
      </c>
      <c r="G200" s="149" t="s">
        <v>142</v>
      </c>
      <c r="H200" s="304">
        <f>'прил12(ведом 21)'!M617</f>
        <v>144</v>
      </c>
    </row>
    <row r="201" spans="1:8" ht="34.15" customHeight="1">
      <c r="A201" s="290"/>
      <c r="B201" s="303" t="s">
        <v>332</v>
      </c>
      <c r="C201" s="750" t="s">
        <v>72</v>
      </c>
      <c r="D201" s="751" t="s">
        <v>65</v>
      </c>
      <c r="E201" s="751" t="s">
        <v>59</v>
      </c>
      <c r="F201" s="752" t="s">
        <v>64</v>
      </c>
      <c r="G201" s="149"/>
      <c r="H201" s="304">
        <f>H202</f>
        <v>713.8</v>
      </c>
    </row>
    <row r="202" spans="1:8" ht="42" customHeight="1">
      <c r="A202" s="290"/>
      <c r="B202" s="303" t="s">
        <v>241</v>
      </c>
      <c r="C202" s="750" t="s">
        <v>72</v>
      </c>
      <c r="D202" s="751" t="s">
        <v>65</v>
      </c>
      <c r="E202" s="751" t="s">
        <v>59</v>
      </c>
      <c r="F202" s="752" t="s">
        <v>333</v>
      </c>
      <c r="G202" s="149"/>
      <c r="H202" s="304">
        <f>SUM(H203:H204)</f>
        <v>713.8</v>
      </c>
    </row>
    <row r="203" spans="1:8" ht="93.75">
      <c r="A203" s="290"/>
      <c r="B203" s="163" t="s">
        <v>69</v>
      </c>
      <c r="C203" s="750" t="s">
        <v>72</v>
      </c>
      <c r="D203" s="751" t="s">
        <v>65</v>
      </c>
      <c r="E203" s="751" t="s">
        <v>59</v>
      </c>
      <c r="F203" s="752" t="s">
        <v>333</v>
      </c>
      <c r="G203" s="149" t="s">
        <v>70</v>
      </c>
      <c r="H203" s="304">
        <f>'прил12(ведом 21)'!M641</f>
        <v>549.79999999999995</v>
      </c>
    </row>
    <row r="204" spans="1:8" ht="37.5">
      <c r="A204" s="290"/>
      <c r="B204" s="303" t="s">
        <v>75</v>
      </c>
      <c r="C204" s="750" t="s">
        <v>72</v>
      </c>
      <c r="D204" s="751" t="s">
        <v>65</v>
      </c>
      <c r="E204" s="751" t="s">
        <v>59</v>
      </c>
      <c r="F204" s="752" t="s">
        <v>333</v>
      </c>
      <c r="G204" s="149" t="s">
        <v>76</v>
      </c>
      <c r="H204" s="304">
        <f>'прил12(ведом 21)'!M642</f>
        <v>164</v>
      </c>
    </row>
    <row r="205" spans="1:8" ht="22.5" customHeight="1">
      <c r="A205" s="290"/>
      <c r="B205" s="303" t="s">
        <v>242</v>
      </c>
      <c r="C205" s="750" t="s">
        <v>72</v>
      </c>
      <c r="D205" s="751" t="s">
        <v>110</v>
      </c>
      <c r="E205" s="751" t="s">
        <v>63</v>
      </c>
      <c r="F205" s="752" t="s">
        <v>64</v>
      </c>
      <c r="G205" s="288"/>
      <c r="H205" s="304">
        <f>H206+H211+H224</f>
        <v>33532.400000000001</v>
      </c>
    </row>
    <row r="206" spans="1:8" ht="37.5">
      <c r="A206" s="290"/>
      <c r="B206" s="303" t="s">
        <v>322</v>
      </c>
      <c r="C206" s="750" t="s">
        <v>72</v>
      </c>
      <c r="D206" s="751" t="s">
        <v>110</v>
      </c>
      <c r="E206" s="751" t="s">
        <v>57</v>
      </c>
      <c r="F206" s="752" t="s">
        <v>64</v>
      </c>
      <c r="G206" s="149"/>
      <c r="H206" s="304">
        <f>H207</f>
        <v>2425.3000000000002</v>
      </c>
    </row>
    <row r="207" spans="1:8" ht="37.5">
      <c r="A207" s="290"/>
      <c r="B207" s="303" t="s">
        <v>67</v>
      </c>
      <c r="C207" s="750" t="s">
        <v>72</v>
      </c>
      <c r="D207" s="751" t="s">
        <v>110</v>
      </c>
      <c r="E207" s="751" t="s">
        <v>57</v>
      </c>
      <c r="F207" s="752" t="s">
        <v>68</v>
      </c>
      <c r="G207" s="149"/>
      <c r="H207" s="304">
        <f>SUM(H208:H210)</f>
        <v>2425.3000000000002</v>
      </c>
    </row>
    <row r="208" spans="1:8" ht="93.75">
      <c r="A208" s="290"/>
      <c r="B208" s="303" t="s">
        <v>69</v>
      </c>
      <c r="C208" s="750" t="s">
        <v>72</v>
      </c>
      <c r="D208" s="751" t="s">
        <v>110</v>
      </c>
      <c r="E208" s="751" t="s">
        <v>57</v>
      </c>
      <c r="F208" s="752" t="s">
        <v>68</v>
      </c>
      <c r="G208" s="149" t="s">
        <v>70</v>
      </c>
      <c r="H208" s="304">
        <f>'прил12(ведом 21)'!M648</f>
        <v>2371.8000000000002</v>
      </c>
    </row>
    <row r="209" spans="1:8" ht="37.5">
      <c r="A209" s="290"/>
      <c r="B209" s="303" t="s">
        <v>75</v>
      </c>
      <c r="C209" s="750" t="s">
        <v>72</v>
      </c>
      <c r="D209" s="751" t="s">
        <v>110</v>
      </c>
      <c r="E209" s="751" t="s">
        <v>57</v>
      </c>
      <c r="F209" s="752" t="s">
        <v>68</v>
      </c>
      <c r="G209" s="149" t="s">
        <v>76</v>
      </c>
      <c r="H209" s="304">
        <f>'прил12(ведом 21)'!M649</f>
        <v>51.4</v>
      </c>
    </row>
    <row r="210" spans="1:8" ht="18.75">
      <c r="A210" s="290"/>
      <c r="B210" s="303" t="s">
        <v>77</v>
      </c>
      <c r="C210" s="750" t="s">
        <v>72</v>
      </c>
      <c r="D210" s="751" t="s">
        <v>110</v>
      </c>
      <c r="E210" s="751" t="s">
        <v>57</v>
      </c>
      <c r="F210" s="752" t="s">
        <v>68</v>
      </c>
      <c r="G210" s="149" t="s">
        <v>78</v>
      </c>
      <c r="H210" s="304">
        <f>'прил12(ведом 21)'!M650</f>
        <v>2.1</v>
      </c>
    </row>
    <row r="211" spans="1:8" ht="18.75">
      <c r="A211" s="290"/>
      <c r="B211" s="303" t="s">
        <v>444</v>
      </c>
      <c r="C211" s="750" t="s">
        <v>72</v>
      </c>
      <c r="D211" s="751" t="s">
        <v>110</v>
      </c>
      <c r="E211" s="751" t="s">
        <v>59</v>
      </c>
      <c r="F211" s="752" t="s">
        <v>64</v>
      </c>
      <c r="G211" s="149"/>
      <c r="H211" s="304">
        <f>H212+H216+H222+H218+H220</f>
        <v>31071.799999999996</v>
      </c>
    </row>
    <row r="212" spans="1:8" ht="37.5">
      <c r="A212" s="290"/>
      <c r="B212" s="303" t="s">
        <v>795</v>
      </c>
      <c r="C212" s="750" t="s">
        <v>72</v>
      </c>
      <c r="D212" s="751" t="s">
        <v>110</v>
      </c>
      <c r="E212" s="751" t="s">
        <v>59</v>
      </c>
      <c r="F212" s="752" t="s">
        <v>112</v>
      </c>
      <c r="G212" s="149"/>
      <c r="H212" s="304">
        <f>SUM(H213:H215)</f>
        <v>25367.399999999998</v>
      </c>
    </row>
    <row r="213" spans="1:8" ht="93.75">
      <c r="A213" s="290"/>
      <c r="B213" s="303" t="s">
        <v>69</v>
      </c>
      <c r="C213" s="750" t="s">
        <v>72</v>
      </c>
      <c r="D213" s="751" t="s">
        <v>110</v>
      </c>
      <c r="E213" s="751" t="s">
        <v>59</v>
      </c>
      <c r="F213" s="752" t="s">
        <v>112</v>
      </c>
      <c r="G213" s="149" t="s">
        <v>70</v>
      </c>
      <c r="H213" s="304">
        <f>'прил12(ведом 21)'!M621</f>
        <v>19418.3</v>
      </c>
    </row>
    <row r="214" spans="1:8" ht="37.5">
      <c r="A214" s="290"/>
      <c r="B214" s="303" t="s">
        <v>75</v>
      </c>
      <c r="C214" s="750" t="s">
        <v>72</v>
      </c>
      <c r="D214" s="751" t="s">
        <v>110</v>
      </c>
      <c r="E214" s="751" t="s">
        <v>59</v>
      </c>
      <c r="F214" s="752" t="s">
        <v>112</v>
      </c>
      <c r="G214" s="149" t="s">
        <v>76</v>
      </c>
      <c r="H214" s="304">
        <f>'прил12(ведом 21)'!M622</f>
        <v>5887.3</v>
      </c>
    </row>
    <row r="215" spans="1:8" ht="18.75">
      <c r="A215" s="290"/>
      <c r="B215" s="303" t="s">
        <v>77</v>
      </c>
      <c r="C215" s="750" t="s">
        <v>72</v>
      </c>
      <c r="D215" s="751" t="s">
        <v>110</v>
      </c>
      <c r="E215" s="751" t="s">
        <v>59</v>
      </c>
      <c r="F215" s="752" t="s">
        <v>112</v>
      </c>
      <c r="G215" s="149" t="s">
        <v>78</v>
      </c>
      <c r="H215" s="304">
        <f>'прил12(ведом 21)'!M623</f>
        <v>61.8</v>
      </c>
    </row>
    <row r="216" spans="1:8" ht="18.75">
      <c r="A216" s="290"/>
      <c r="B216" s="163" t="s">
        <v>796</v>
      </c>
      <c r="C216" s="750" t="s">
        <v>72</v>
      </c>
      <c r="D216" s="751" t="s">
        <v>110</v>
      </c>
      <c r="E216" s="751" t="s">
        <v>59</v>
      </c>
      <c r="F216" s="752" t="s">
        <v>479</v>
      </c>
      <c r="G216" s="149"/>
      <c r="H216" s="304">
        <f>H217</f>
        <v>2355.8000000000002</v>
      </c>
    </row>
    <row r="217" spans="1:8" ht="37.5">
      <c r="A217" s="290"/>
      <c r="B217" s="163" t="s">
        <v>75</v>
      </c>
      <c r="C217" s="750" t="s">
        <v>72</v>
      </c>
      <c r="D217" s="751" t="s">
        <v>110</v>
      </c>
      <c r="E217" s="751" t="s">
        <v>59</v>
      </c>
      <c r="F217" s="752" t="s">
        <v>479</v>
      </c>
      <c r="G217" s="149" t="s">
        <v>76</v>
      </c>
      <c r="H217" s="304">
        <f>'прил12(ведом 21)'!M625</f>
        <v>2355.8000000000002</v>
      </c>
    </row>
    <row r="218" spans="1:8" ht="56.25">
      <c r="A218" s="290"/>
      <c r="B218" s="163" t="s">
        <v>241</v>
      </c>
      <c r="C218" s="750" t="s">
        <v>72</v>
      </c>
      <c r="D218" s="751" t="s">
        <v>110</v>
      </c>
      <c r="E218" s="751" t="s">
        <v>59</v>
      </c>
      <c r="F218" s="752" t="s">
        <v>333</v>
      </c>
      <c r="G218" s="149"/>
      <c r="H218" s="304">
        <f>H219</f>
        <v>2325.8000000000002</v>
      </c>
    </row>
    <row r="219" spans="1:8" ht="37.5">
      <c r="A219" s="290"/>
      <c r="B219" s="163" t="s">
        <v>75</v>
      </c>
      <c r="C219" s="750" t="s">
        <v>72</v>
      </c>
      <c r="D219" s="751" t="s">
        <v>110</v>
      </c>
      <c r="E219" s="751" t="s">
        <v>59</v>
      </c>
      <c r="F219" s="752" t="s">
        <v>333</v>
      </c>
      <c r="G219" s="149" t="s">
        <v>76</v>
      </c>
      <c r="H219" s="304">
        <f>'прил12(ведом 21)'!M627</f>
        <v>2325.8000000000002</v>
      </c>
    </row>
    <row r="220" spans="1:8" ht="174" customHeight="1">
      <c r="A220" s="290"/>
      <c r="B220" s="163" t="s">
        <v>694</v>
      </c>
      <c r="C220" s="750" t="s">
        <v>72</v>
      </c>
      <c r="D220" s="751" t="s">
        <v>110</v>
      </c>
      <c r="E220" s="751" t="s">
        <v>59</v>
      </c>
      <c r="F220" s="752" t="s">
        <v>538</v>
      </c>
      <c r="G220" s="149"/>
      <c r="H220" s="304">
        <f>H221</f>
        <v>125</v>
      </c>
    </row>
    <row r="221" spans="1:8" ht="93.75">
      <c r="A221" s="290"/>
      <c r="B221" s="163" t="s">
        <v>69</v>
      </c>
      <c r="C221" s="750" t="s">
        <v>72</v>
      </c>
      <c r="D221" s="751" t="s">
        <v>110</v>
      </c>
      <c r="E221" s="751" t="s">
        <v>59</v>
      </c>
      <c r="F221" s="752" t="s">
        <v>538</v>
      </c>
      <c r="G221" s="149" t="s">
        <v>70</v>
      </c>
      <c r="H221" s="304">
        <f>'прил12(ведом 21)'!M629</f>
        <v>125</v>
      </c>
    </row>
    <row r="222" spans="1:8" ht="58.15" customHeight="1">
      <c r="A222" s="290"/>
      <c r="B222" s="163" t="s">
        <v>729</v>
      </c>
      <c r="C222" s="750" t="s">
        <v>72</v>
      </c>
      <c r="D222" s="751" t="s">
        <v>110</v>
      </c>
      <c r="E222" s="751" t="s">
        <v>59</v>
      </c>
      <c r="F222" s="752" t="s">
        <v>583</v>
      </c>
      <c r="G222" s="149"/>
      <c r="H222" s="304">
        <f>H223</f>
        <v>897.8</v>
      </c>
    </row>
    <row r="223" spans="1:8" ht="93.75">
      <c r="A223" s="290"/>
      <c r="B223" s="163" t="s">
        <v>69</v>
      </c>
      <c r="C223" s="750" t="s">
        <v>72</v>
      </c>
      <c r="D223" s="751" t="s">
        <v>110</v>
      </c>
      <c r="E223" s="751" t="s">
        <v>59</v>
      </c>
      <c r="F223" s="752" t="s">
        <v>583</v>
      </c>
      <c r="G223" s="149" t="s">
        <v>70</v>
      </c>
      <c r="H223" s="304">
        <f>'прил12(ведом 21)'!M631</f>
        <v>897.8</v>
      </c>
    </row>
    <row r="224" spans="1:8" ht="37.5">
      <c r="A224" s="290"/>
      <c r="B224" s="592" t="s">
        <v>428</v>
      </c>
      <c r="C224" s="576" t="s">
        <v>72</v>
      </c>
      <c r="D224" s="577" t="s">
        <v>110</v>
      </c>
      <c r="E224" s="577" t="s">
        <v>84</v>
      </c>
      <c r="F224" s="578" t="s">
        <v>64</v>
      </c>
      <c r="G224" s="180"/>
      <c r="H224" s="304">
        <f>H225</f>
        <v>35.299999999999997</v>
      </c>
    </row>
    <row r="225" spans="1:8" ht="56.25">
      <c r="A225" s="290"/>
      <c r="B225" s="656" t="s">
        <v>429</v>
      </c>
      <c r="C225" s="576" t="s">
        <v>72</v>
      </c>
      <c r="D225" s="577" t="s">
        <v>110</v>
      </c>
      <c r="E225" s="577" t="s">
        <v>84</v>
      </c>
      <c r="F225" s="578" t="s">
        <v>126</v>
      </c>
      <c r="G225" s="180"/>
      <c r="H225" s="304">
        <f>H226</f>
        <v>35.299999999999997</v>
      </c>
    </row>
    <row r="226" spans="1:8" ht="37.5">
      <c r="A226" s="290"/>
      <c r="B226" s="163" t="s">
        <v>75</v>
      </c>
      <c r="C226" s="576" t="s">
        <v>72</v>
      </c>
      <c r="D226" s="577" t="s">
        <v>110</v>
      </c>
      <c r="E226" s="577" t="s">
        <v>84</v>
      </c>
      <c r="F226" s="578" t="s">
        <v>126</v>
      </c>
      <c r="G226" s="180" t="s">
        <v>76</v>
      </c>
      <c r="H226" s="304">
        <f>'прил12(ведом 21)'!M610</f>
        <v>35.299999999999997</v>
      </c>
    </row>
    <row r="227" spans="1:8" ht="25.5" customHeight="1">
      <c r="A227" s="290"/>
      <c r="B227" s="163" t="s">
        <v>404</v>
      </c>
      <c r="C227" s="750" t="s">
        <v>72</v>
      </c>
      <c r="D227" s="751" t="s">
        <v>51</v>
      </c>
      <c r="E227" s="751" t="s">
        <v>63</v>
      </c>
      <c r="F227" s="752" t="s">
        <v>64</v>
      </c>
      <c r="G227" s="149"/>
      <c r="H227" s="304">
        <f>H228</f>
        <v>5954.7</v>
      </c>
    </row>
    <row r="228" spans="1:8" ht="59.25" customHeight="1">
      <c r="A228" s="290"/>
      <c r="B228" s="163" t="s">
        <v>584</v>
      </c>
      <c r="C228" s="750" t="s">
        <v>72</v>
      </c>
      <c r="D228" s="751" t="s">
        <v>51</v>
      </c>
      <c r="E228" s="751" t="s">
        <v>84</v>
      </c>
      <c r="F228" s="752" t="s">
        <v>64</v>
      </c>
      <c r="G228" s="149"/>
      <c r="H228" s="304">
        <f>H229</f>
        <v>5954.7</v>
      </c>
    </row>
    <row r="229" spans="1:8" ht="41.25" customHeight="1">
      <c r="A229" s="290"/>
      <c r="B229" s="163" t="s">
        <v>241</v>
      </c>
      <c r="C229" s="750" t="s">
        <v>72</v>
      </c>
      <c r="D229" s="751" t="s">
        <v>51</v>
      </c>
      <c r="E229" s="751" t="s">
        <v>84</v>
      </c>
      <c r="F229" s="752" t="s">
        <v>333</v>
      </c>
      <c r="G229" s="149"/>
      <c r="H229" s="304">
        <f>H230</f>
        <v>5954.7</v>
      </c>
    </row>
    <row r="230" spans="1:8" ht="35.25" customHeight="1">
      <c r="A230" s="290"/>
      <c r="B230" s="163" t="s">
        <v>225</v>
      </c>
      <c r="C230" s="750" t="s">
        <v>72</v>
      </c>
      <c r="D230" s="751" t="s">
        <v>51</v>
      </c>
      <c r="E230" s="751" t="s">
        <v>84</v>
      </c>
      <c r="F230" s="752" t="s">
        <v>333</v>
      </c>
      <c r="G230" s="149" t="s">
        <v>226</v>
      </c>
      <c r="H230" s="304">
        <f>'прил12(ведом 21)'!M635</f>
        <v>5954.7</v>
      </c>
    </row>
    <row r="231" spans="1:8" s="302" customFormat="1" ht="56.25">
      <c r="A231" s="313">
        <v>4</v>
      </c>
      <c r="B231" s="297" t="s">
        <v>243</v>
      </c>
      <c r="C231" s="298" t="s">
        <v>86</v>
      </c>
      <c r="D231" s="298" t="s">
        <v>62</v>
      </c>
      <c r="E231" s="298" t="s">
        <v>63</v>
      </c>
      <c r="F231" s="299" t="s">
        <v>64</v>
      </c>
      <c r="G231" s="300"/>
      <c r="H231" s="301">
        <f>H232+H240</f>
        <v>7038.4</v>
      </c>
    </row>
    <row r="232" spans="1:8" s="302" customFormat="1" ht="18.75">
      <c r="A232" s="290"/>
      <c r="B232" s="303" t="s">
        <v>244</v>
      </c>
      <c r="C232" s="750" t="s">
        <v>86</v>
      </c>
      <c r="D232" s="751" t="s">
        <v>65</v>
      </c>
      <c r="E232" s="751" t="s">
        <v>63</v>
      </c>
      <c r="F232" s="752" t="s">
        <v>64</v>
      </c>
      <c r="G232" s="288"/>
      <c r="H232" s="304">
        <f>H233</f>
        <v>3966.8999999999996</v>
      </c>
    </row>
    <row r="233" spans="1:8" s="302" customFormat="1" ht="75">
      <c r="A233" s="290"/>
      <c r="B233" s="303" t="s">
        <v>328</v>
      </c>
      <c r="C233" s="750" t="s">
        <v>86</v>
      </c>
      <c r="D233" s="751" t="s">
        <v>65</v>
      </c>
      <c r="E233" s="751" t="s">
        <v>57</v>
      </c>
      <c r="F233" s="752" t="s">
        <v>64</v>
      </c>
      <c r="G233" s="149"/>
      <c r="H233" s="304">
        <f>H234+H238</f>
        <v>3966.8999999999996</v>
      </c>
    </row>
    <row r="234" spans="1:8" ht="37.5">
      <c r="A234" s="290"/>
      <c r="B234" s="303" t="s">
        <v>795</v>
      </c>
      <c r="C234" s="750" t="s">
        <v>86</v>
      </c>
      <c r="D234" s="751" t="s">
        <v>65</v>
      </c>
      <c r="E234" s="751" t="s">
        <v>57</v>
      </c>
      <c r="F234" s="752" t="s">
        <v>112</v>
      </c>
      <c r="G234" s="149"/>
      <c r="H234" s="304">
        <f>H235+H236+H237</f>
        <v>3348.2999999999997</v>
      </c>
    </row>
    <row r="235" spans="1:8" ht="93.75">
      <c r="A235" s="290"/>
      <c r="B235" s="303" t="s">
        <v>69</v>
      </c>
      <c r="C235" s="750" t="s">
        <v>86</v>
      </c>
      <c r="D235" s="751" t="s">
        <v>65</v>
      </c>
      <c r="E235" s="751" t="s">
        <v>57</v>
      </c>
      <c r="F235" s="752" t="s">
        <v>112</v>
      </c>
      <c r="G235" s="149" t="s">
        <v>70</v>
      </c>
      <c r="H235" s="304">
        <f>'прил12(ведом 21)'!M672</f>
        <v>3054.2</v>
      </c>
    </row>
    <row r="236" spans="1:8" ht="37.5">
      <c r="A236" s="290"/>
      <c r="B236" s="303" t="s">
        <v>75</v>
      </c>
      <c r="C236" s="750" t="s">
        <v>86</v>
      </c>
      <c r="D236" s="751" t="s">
        <v>65</v>
      </c>
      <c r="E236" s="751" t="s">
        <v>57</v>
      </c>
      <c r="F236" s="752" t="s">
        <v>112</v>
      </c>
      <c r="G236" s="149" t="s">
        <v>76</v>
      </c>
      <c r="H236" s="304">
        <f>'прил12(ведом 21)'!M673</f>
        <v>283.90000000000003</v>
      </c>
    </row>
    <row r="237" spans="1:8" ht="18.75">
      <c r="A237" s="290"/>
      <c r="B237" s="163" t="s">
        <v>77</v>
      </c>
      <c r="C237" s="750" t="s">
        <v>86</v>
      </c>
      <c r="D237" s="751" t="s">
        <v>65</v>
      </c>
      <c r="E237" s="751" t="s">
        <v>57</v>
      </c>
      <c r="F237" s="752" t="s">
        <v>112</v>
      </c>
      <c r="G237" s="149" t="s">
        <v>78</v>
      </c>
      <c r="H237" s="304">
        <f>'прил12(ведом 21)'!M674</f>
        <v>10.199999999999999</v>
      </c>
    </row>
    <row r="238" spans="1:8" ht="37.5">
      <c r="A238" s="290"/>
      <c r="B238" s="303" t="s">
        <v>329</v>
      </c>
      <c r="C238" s="750" t="s">
        <v>86</v>
      </c>
      <c r="D238" s="751" t="s">
        <v>65</v>
      </c>
      <c r="E238" s="751" t="s">
        <v>57</v>
      </c>
      <c r="F238" s="752" t="s">
        <v>330</v>
      </c>
      <c r="G238" s="149"/>
      <c r="H238" s="304">
        <f>H239</f>
        <v>618.6</v>
      </c>
    </row>
    <row r="239" spans="1:8" ht="37.5">
      <c r="A239" s="290"/>
      <c r="B239" s="303" t="s">
        <v>75</v>
      </c>
      <c r="C239" s="750" t="s">
        <v>86</v>
      </c>
      <c r="D239" s="751" t="s">
        <v>65</v>
      </c>
      <c r="E239" s="751" t="s">
        <v>57</v>
      </c>
      <c r="F239" s="752" t="s">
        <v>330</v>
      </c>
      <c r="G239" s="149" t="s">
        <v>76</v>
      </c>
      <c r="H239" s="304">
        <f>'прил12(ведом 21)'!M676</f>
        <v>618.6</v>
      </c>
    </row>
    <row r="240" spans="1:8" s="302" customFormat="1" ht="24" customHeight="1">
      <c r="A240" s="290"/>
      <c r="B240" s="303" t="s">
        <v>242</v>
      </c>
      <c r="C240" s="750" t="s">
        <v>86</v>
      </c>
      <c r="D240" s="751" t="s">
        <v>110</v>
      </c>
      <c r="E240" s="751" t="s">
        <v>63</v>
      </c>
      <c r="F240" s="752" t="s">
        <v>64</v>
      </c>
      <c r="G240" s="149"/>
      <c r="H240" s="304">
        <f>H241+H246+H249+H252</f>
        <v>3071.5</v>
      </c>
    </row>
    <row r="241" spans="1:8" s="302" customFormat="1" ht="37.5">
      <c r="A241" s="290"/>
      <c r="B241" s="303" t="s">
        <v>322</v>
      </c>
      <c r="C241" s="750" t="s">
        <v>86</v>
      </c>
      <c r="D241" s="751" t="s">
        <v>110</v>
      </c>
      <c r="E241" s="751" t="s">
        <v>57</v>
      </c>
      <c r="F241" s="752" t="s">
        <v>64</v>
      </c>
      <c r="G241" s="149"/>
      <c r="H241" s="304">
        <f>H242</f>
        <v>2951.2999999999997</v>
      </c>
    </row>
    <row r="242" spans="1:8" s="302" customFormat="1" ht="37.5">
      <c r="A242" s="290"/>
      <c r="B242" s="303" t="s">
        <v>67</v>
      </c>
      <c r="C242" s="750" t="s">
        <v>86</v>
      </c>
      <c r="D242" s="751" t="s">
        <v>110</v>
      </c>
      <c r="E242" s="751" t="s">
        <v>57</v>
      </c>
      <c r="F242" s="752" t="s">
        <v>68</v>
      </c>
      <c r="G242" s="149"/>
      <c r="H242" s="304">
        <f>SUM(H243:H245)</f>
        <v>2951.2999999999997</v>
      </c>
    </row>
    <row r="243" spans="1:8" s="302" customFormat="1" ht="93.75">
      <c r="A243" s="290"/>
      <c r="B243" s="303" t="s">
        <v>69</v>
      </c>
      <c r="C243" s="750" t="s">
        <v>86</v>
      </c>
      <c r="D243" s="751" t="s">
        <v>110</v>
      </c>
      <c r="E243" s="751" t="s">
        <v>57</v>
      </c>
      <c r="F243" s="752" t="s">
        <v>68</v>
      </c>
      <c r="G243" s="149" t="s">
        <v>70</v>
      </c>
      <c r="H243" s="304">
        <f>'прил12(ведом 21)'!M682</f>
        <v>2664.7</v>
      </c>
    </row>
    <row r="244" spans="1:8" ht="37.5">
      <c r="A244" s="290"/>
      <c r="B244" s="303" t="s">
        <v>75</v>
      </c>
      <c r="C244" s="750" t="s">
        <v>86</v>
      </c>
      <c r="D244" s="751" t="s">
        <v>110</v>
      </c>
      <c r="E244" s="751" t="s">
        <v>57</v>
      </c>
      <c r="F244" s="752" t="s">
        <v>68</v>
      </c>
      <c r="G244" s="149" t="s">
        <v>76</v>
      </c>
      <c r="H244" s="304">
        <f>'прил12(ведом 21)'!M683</f>
        <v>285.40000000000003</v>
      </c>
    </row>
    <row r="245" spans="1:8" ht="18.75">
      <c r="A245" s="290"/>
      <c r="B245" s="303" t="s">
        <v>77</v>
      </c>
      <c r="C245" s="750" t="s">
        <v>86</v>
      </c>
      <c r="D245" s="751" t="s">
        <v>110</v>
      </c>
      <c r="E245" s="751" t="s">
        <v>57</v>
      </c>
      <c r="F245" s="752" t="s">
        <v>68</v>
      </c>
      <c r="G245" s="149" t="s">
        <v>78</v>
      </c>
      <c r="H245" s="304">
        <f>'прил12(ведом 21)'!M684</f>
        <v>1.2</v>
      </c>
    </row>
    <row r="246" spans="1:8" ht="37.5">
      <c r="A246" s="290"/>
      <c r="B246" s="656" t="s">
        <v>428</v>
      </c>
      <c r="C246" s="751" t="s">
        <v>86</v>
      </c>
      <c r="D246" s="751" t="s">
        <v>110</v>
      </c>
      <c r="E246" s="751" t="s">
        <v>59</v>
      </c>
      <c r="F246" s="752" t="s">
        <v>64</v>
      </c>
      <c r="G246" s="149"/>
      <c r="H246" s="304">
        <f>H247</f>
        <v>62.9</v>
      </c>
    </row>
    <row r="247" spans="1:8" ht="56.25">
      <c r="A247" s="290"/>
      <c r="B247" s="656" t="s">
        <v>429</v>
      </c>
      <c r="C247" s="750" t="s">
        <v>86</v>
      </c>
      <c r="D247" s="751" t="s">
        <v>110</v>
      </c>
      <c r="E247" s="751" t="s">
        <v>59</v>
      </c>
      <c r="F247" s="752" t="s">
        <v>126</v>
      </c>
      <c r="G247" s="149"/>
      <c r="H247" s="304">
        <f>H248</f>
        <v>62.9</v>
      </c>
    </row>
    <row r="248" spans="1:8" ht="37.5">
      <c r="A248" s="290"/>
      <c r="B248" s="656" t="s">
        <v>75</v>
      </c>
      <c r="C248" s="750" t="s">
        <v>86</v>
      </c>
      <c r="D248" s="751" t="s">
        <v>110</v>
      </c>
      <c r="E248" s="751" t="s">
        <v>59</v>
      </c>
      <c r="F248" s="752" t="s">
        <v>126</v>
      </c>
      <c r="G248" s="149" t="s">
        <v>76</v>
      </c>
      <c r="H248" s="304">
        <f>'прил12(ведом 21)'!M659</f>
        <v>62.9</v>
      </c>
    </row>
    <row r="249" spans="1:8" ht="37.5">
      <c r="A249" s="290"/>
      <c r="B249" s="163" t="s">
        <v>799</v>
      </c>
      <c r="C249" s="751" t="s">
        <v>86</v>
      </c>
      <c r="D249" s="751" t="s">
        <v>110</v>
      </c>
      <c r="E249" s="751" t="s">
        <v>84</v>
      </c>
      <c r="F249" s="752" t="s">
        <v>64</v>
      </c>
      <c r="G249" s="149"/>
      <c r="H249" s="304">
        <f>H250</f>
        <v>14.8</v>
      </c>
    </row>
    <row r="250" spans="1:8" ht="18.75">
      <c r="A250" s="290"/>
      <c r="B250" s="163" t="s">
        <v>797</v>
      </c>
      <c r="C250" s="751" t="s">
        <v>86</v>
      </c>
      <c r="D250" s="751" t="s">
        <v>110</v>
      </c>
      <c r="E250" s="751" t="s">
        <v>84</v>
      </c>
      <c r="F250" s="752" t="s">
        <v>798</v>
      </c>
      <c r="G250" s="149"/>
      <c r="H250" s="304">
        <f>H251</f>
        <v>14.8</v>
      </c>
    </row>
    <row r="251" spans="1:8" ht="37.5">
      <c r="A251" s="290"/>
      <c r="B251" s="656" t="s">
        <v>75</v>
      </c>
      <c r="C251" s="751" t="s">
        <v>86</v>
      </c>
      <c r="D251" s="751" t="s">
        <v>110</v>
      </c>
      <c r="E251" s="751" t="s">
        <v>84</v>
      </c>
      <c r="F251" s="752" t="s">
        <v>798</v>
      </c>
      <c r="G251" s="149" t="s">
        <v>76</v>
      </c>
      <c r="H251" s="304">
        <f>'прил12(ведом 21)'!M662</f>
        <v>14.8</v>
      </c>
    </row>
    <row r="252" spans="1:8" ht="37.5">
      <c r="A252" s="290"/>
      <c r="B252" s="656" t="s">
        <v>813</v>
      </c>
      <c r="C252" s="751" t="s">
        <v>86</v>
      </c>
      <c r="D252" s="751" t="s">
        <v>110</v>
      </c>
      <c r="E252" s="751" t="s">
        <v>72</v>
      </c>
      <c r="F252" s="746" t="s">
        <v>64</v>
      </c>
      <c r="G252" s="288"/>
      <c r="H252" s="304">
        <f>H253</f>
        <v>42.5</v>
      </c>
    </row>
    <row r="253" spans="1:8" ht="37.5">
      <c r="A253" s="290"/>
      <c r="B253" s="588" t="s">
        <v>148</v>
      </c>
      <c r="C253" s="751" t="s">
        <v>86</v>
      </c>
      <c r="D253" s="751" t="s">
        <v>110</v>
      </c>
      <c r="E253" s="751" t="s">
        <v>72</v>
      </c>
      <c r="F253" s="589" t="s">
        <v>111</v>
      </c>
      <c r="G253" s="288"/>
      <c r="H253" s="304">
        <f>H254</f>
        <v>42.5</v>
      </c>
    </row>
    <row r="254" spans="1:8" ht="37.5">
      <c r="A254" s="290"/>
      <c r="B254" s="656" t="s">
        <v>75</v>
      </c>
      <c r="C254" s="751" t="s">
        <v>86</v>
      </c>
      <c r="D254" s="751" t="s">
        <v>110</v>
      </c>
      <c r="E254" s="751" t="s">
        <v>72</v>
      </c>
      <c r="F254" s="746" t="s">
        <v>111</v>
      </c>
      <c r="G254" s="288" t="s">
        <v>76</v>
      </c>
      <c r="H254" s="304">
        <f>'прил12(ведом 21)'!M665</f>
        <v>42.5</v>
      </c>
    </row>
    <row r="255" spans="1:8" ht="18.75">
      <c r="A255" s="290"/>
      <c r="B255" s="656"/>
      <c r="C255" s="751"/>
      <c r="D255" s="751"/>
      <c r="E255" s="751"/>
      <c r="F255" s="325"/>
      <c r="G255" s="288"/>
      <c r="H255" s="304"/>
    </row>
    <row r="256" spans="1:8" s="302" customFormat="1" ht="56.25">
      <c r="A256" s="313">
        <v>5</v>
      </c>
      <c r="B256" s="297" t="s">
        <v>101</v>
      </c>
      <c r="C256" s="314" t="s">
        <v>102</v>
      </c>
      <c r="D256" s="314" t="s">
        <v>62</v>
      </c>
      <c r="E256" s="314" t="s">
        <v>63</v>
      </c>
      <c r="F256" s="315" t="s">
        <v>64</v>
      </c>
      <c r="G256" s="300"/>
      <c r="H256" s="301">
        <f>H267+H257+H276+H285</f>
        <v>15099.6</v>
      </c>
    </row>
    <row r="257" spans="1:8" ht="56.25">
      <c r="A257" s="290"/>
      <c r="B257" s="316" t="s">
        <v>103</v>
      </c>
      <c r="C257" s="750" t="s">
        <v>102</v>
      </c>
      <c r="D257" s="751" t="s">
        <v>65</v>
      </c>
      <c r="E257" s="751" t="s">
        <v>63</v>
      </c>
      <c r="F257" s="752" t="s">
        <v>64</v>
      </c>
      <c r="G257" s="288"/>
      <c r="H257" s="304">
        <f>H258</f>
        <v>4033.3</v>
      </c>
    </row>
    <row r="258" spans="1:8" ht="75">
      <c r="A258" s="290"/>
      <c r="B258" s="303" t="s">
        <v>104</v>
      </c>
      <c r="C258" s="750" t="s">
        <v>102</v>
      </c>
      <c r="D258" s="751" t="s">
        <v>65</v>
      </c>
      <c r="E258" s="751" t="s">
        <v>57</v>
      </c>
      <c r="F258" s="752" t="s">
        <v>64</v>
      </c>
      <c r="G258" s="149"/>
      <c r="H258" s="304">
        <f>H259+H261+H263+H265</f>
        <v>4033.3</v>
      </c>
    </row>
    <row r="259" spans="1:8" ht="37.5">
      <c r="A259" s="290"/>
      <c r="B259" s="316" t="s">
        <v>756</v>
      </c>
      <c r="C259" s="750" t="s">
        <v>102</v>
      </c>
      <c r="D259" s="751" t="s">
        <v>65</v>
      </c>
      <c r="E259" s="751" t="s">
        <v>57</v>
      </c>
      <c r="F259" s="752" t="s">
        <v>105</v>
      </c>
      <c r="G259" s="149"/>
      <c r="H259" s="304">
        <f>H260</f>
        <v>742.7</v>
      </c>
    </row>
    <row r="260" spans="1:8" ht="37.5">
      <c r="A260" s="290"/>
      <c r="B260" s="303" t="s">
        <v>75</v>
      </c>
      <c r="C260" s="750" t="s">
        <v>102</v>
      </c>
      <c r="D260" s="751" t="s">
        <v>65</v>
      </c>
      <c r="E260" s="751" t="s">
        <v>57</v>
      </c>
      <c r="F260" s="752" t="s">
        <v>105</v>
      </c>
      <c r="G260" s="149" t="s">
        <v>76</v>
      </c>
      <c r="H260" s="304">
        <f>'прил12(ведом 21)'!M95</f>
        <v>742.7</v>
      </c>
    </row>
    <row r="261" spans="1:8" ht="41.25" customHeight="1">
      <c r="A261" s="290"/>
      <c r="B261" s="303" t="s">
        <v>106</v>
      </c>
      <c r="C261" s="750" t="s">
        <v>102</v>
      </c>
      <c r="D261" s="751" t="s">
        <v>65</v>
      </c>
      <c r="E261" s="751" t="s">
        <v>57</v>
      </c>
      <c r="F261" s="752" t="s">
        <v>107</v>
      </c>
      <c r="G261" s="149"/>
      <c r="H261" s="304">
        <f>H262</f>
        <v>203</v>
      </c>
    </row>
    <row r="262" spans="1:8" ht="37.5">
      <c r="A262" s="290"/>
      <c r="B262" s="303" t="s">
        <v>75</v>
      </c>
      <c r="C262" s="750" t="s">
        <v>102</v>
      </c>
      <c r="D262" s="751" t="s">
        <v>65</v>
      </c>
      <c r="E262" s="751" t="s">
        <v>57</v>
      </c>
      <c r="F262" s="752" t="s">
        <v>107</v>
      </c>
      <c r="G262" s="149" t="s">
        <v>76</v>
      </c>
      <c r="H262" s="304">
        <f>'прил12(ведом 21)'!M97</f>
        <v>203</v>
      </c>
    </row>
    <row r="263" spans="1:8" ht="87" customHeight="1">
      <c r="A263" s="290"/>
      <c r="B263" s="303" t="s">
        <v>405</v>
      </c>
      <c r="C263" s="750" t="s">
        <v>102</v>
      </c>
      <c r="D263" s="751" t="s">
        <v>65</v>
      </c>
      <c r="E263" s="751" t="s">
        <v>57</v>
      </c>
      <c r="F263" s="752" t="s">
        <v>393</v>
      </c>
      <c r="G263" s="149"/>
      <c r="H263" s="304">
        <f>H264</f>
        <v>3075.3</v>
      </c>
    </row>
    <row r="264" spans="1:8" ht="18.75">
      <c r="A264" s="290"/>
      <c r="B264" s="303" t="s">
        <v>144</v>
      </c>
      <c r="C264" s="750" t="s">
        <v>102</v>
      </c>
      <c r="D264" s="751" t="s">
        <v>65</v>
      </c>
      <c r="E264" s="751" t="s">
        <v>57</v>
      </c>
      <c r="F264" s="752" t="s">
        <v>393</v>
      </c>
      <c r="G264" s="149" t="s">
        <v>145</v>
      </c>
      <c r="H264" s="304">
        <f>'прил12(ведом 21)'!M99</f>
        <v>3075.3</v>
      </c>
    </row>
    <row r="265" spans="1:8" ht="112.5">
      <c r="A265" s="290"/>
      <c r="B265" s="303" t="s">
        <v>407</v>
      </c>
      <c r="C265" s="750" t="s">
        <v>102</v>
      </c>
      <c r="D265" s="751" t="s">
        <v>65</v>
      </c>
      <c r="E265" s="751" t="s">
        <v>57</v>
      </c>
      <c r="F265" s="752" t="s">
        <v>394</v>
      </c>
      <c r="G265" s="149"/>
      <c r="H265" s="304">
        <f>H266</f>
        <v>12.3</v>
      </c>
    </row>
    <row r="266" spans="1:8" ht="18.75">
      <c r="A266" s="290"/>
      <c r="B266" s="303" t="s">
        <v>144</v>
      </c>
      <c r="C266" s="750" t="s">
        <v>102</v>
      </c>
      <c r="D266" s="751" t="s">
        <v>65</v>
      </c>
      <c r="E266" s="751" t="s">
        <v>57</v>
      </c>
      <c r="F266" s="752" t="s">
        <v>394</v>
      </c>
      <c r="G266" s="149" t="s">
        <v>145</v>
      </c>
      <c r="H266" s="304">
        <f>'прил12(ведом 21)'!M101</f>
        <v>12.3</v>
      </c>
    </row>
    <row r="267" spans="1:8" ht="37.5">
      <c r="A267" s="290"/>
      <c r="B267" s="327" t="s">
        <v>146</v>
      </c>
      <c r="C267" s="750" t="s">
        <v>102</v>
      </c>
      <c r="D267" s="751" t="s">
        <v>110</v>
      </c>
      <c r="E267" s="751" t="s">
        <v>63</v>
      </c>
      <c r="F267" s="752" t="s">
        <v>64</v>
      </c>
      <c r="G267" s="288"/>
      <c r="H267" s="304">
        <f>H268+H273</f>
        <v>384.4</v>
      </c>
    </row>
    <row r="268" spans="1:8" ht="37.5">
      <c r="A268" s="290"/>
      <c r="B268" s="303" t="s">
        <v>311</v>
      </c>
      <c r="C268" s="750" t="s">
        <v>102</v>
      </c>
      <c r="D268" s="751" t="s">
        <v>110</v>
      </c>
      <c r="E268" s="751" t="s">
        <v>57</v>
      </c>
      <c r="F268" s="752" t="s">
        <v>64</v>
      </c>
      <c r="G268" s="149"/>
      <c r="H268" s="304">
        <f>H269+H271</f>
        <v>143.69999999999999</v>
      </c>
    </row>
    <row r="269" spans="1:8" ht="37.5">
      <c r="A269" s="290"/>
      <c r="B269" s="303" t="s">
        <v>148</v>
      </c>
      <c r="C269" s="750" t="s">
        <v>102</v>
      </c>
      <c r="D269" s="751" t="s">
        <v>110</v>
      </c>
      <c r="E269" s="751" t="s">
        <v>57</v>
      </c>
      <c r="F269" s="752" t="s">
        <v>111</v>
      </c>
      <c r="G269" s="149"/>
      <c r="H269" s="304">
        <f>SUM(H270:H270)</f>
        <v>21.6</v>
      </c>
    </row>
    <row r="270" spans="1:8" ht="37.5">
      <c r="A270" s="290"/>
      <c r="B270" s="303" t="s">
        <v>75</v>
      </c>
      <c r="C270" s="750" t="s">
        <v>102</v>
      </c>
      <c r="D270" s="751" t="s">
        <v>110</v>
      </c>
      <c r="E270" s="751" t="s">
        <v>57</v>
      </c>
      <c r="F270" s="752" t="s">
        <v>111</v>
      </c>
      <c r="G270" s="149" t="s">
        <v>76</v>
      </c>
      <c r="H270" s="304">
        <f>'прил12(ведом 21)'!M107</f>
        <v>21.6</v>
      </c>
    </row>
    <row r="271" spans="1:8" ht="112.5">
      <c r="A271" s="290"/>
      <c r="B271" s="327" t="s">
        <v>406</v>
      </c>
      <c r="C271" s="750" t="s">
        <v>102</v>
      </c>
      <c r="D271" s="751" t="s">
        <v>110</v>
      </c>
      <c r="E271" s="751" t="s">
        <v>57</v>
      </c>
      <c r="F271" s="752" t="s">
        <v>395</v>
      </c>
      <c r="G271" s="149"/>
      <c r="H271" s="304">
        <f>H272</f>
        <v>122.1</v>
      </c>
    </row>
    <row r="272" spans="1:8" ht="18.75">
      <c r="A272" s="290"/>
      <c r="B272" s="327" t="s">
        <v>144</v>
      </c>
      <c r="C272" s="750" t="s">
        <v>102</v>
      </c>
      <c r="D272" s="751" t="s">
        <v>110</v>
      </c>
      <c r="E272" s="751" t="s">
        <v>57</v>
      </c>
      <c r="F272" s="752" t="s">
        <v>395</v>
      </c>
      <c r="G272" s="149" t="s">
        <v>145</v>
      </c>
      <c r="H272" s="304">
        <f>'прил12(ведом 21)'!M109</f>
        <v>122.1</v>
      </c>
    </row>
    <row r="273" spans="1:8" ht="56.25">
      <c r="A273" s="290"/>
      <c r="B273" s="317" t="s">
        <v>147</v>
      </c>
      <c r="C273" s="750" t="s">
        <v>102</v>
      </c>
      <c r="D273" s="751" t="s">
        <v>110</v>
      </c>
      <c r="E273" s="751" t="s">
        <v>59</v>
      </c>
      <c r="F273" s="752" t="s">
        <v>64</v>
      </c>
      <c r="G273" s="149"/>
      <c r="H273" s="304">
        <f>H274</f>
        <v>240.7</v>
      </c>
    </row>
    <row r="274" spans="1:8" ht="37.5">
      <c r="A274" s="290"/>
      <c r="B274" s="317" t="s">
        <v>148</v>
      </c>
      <c r="C274" s="750" t="s">
        <v>102</v>
      </c>
      <c r="D274" s="751" t="s">
        <v>110</v>
      </c>
      <c r="E274" s="751" t="s">
        <v>59</v>
      </c>
      <c r="F274" s="752" t="s">
        <v>111</v>
      </c>
      <c r="G274" s="149"/>
      <c r="H274" s="304">
        <f>H275</f>
        <v>240.7</v>
      </c>
    </row>
    <row r="275" spans="1:8" ht="37.5">
      <c r="A275" s="290"/>
      <c r="B275" s="303" t="s">
        <v>75</v>
      </c>
      <c r="C275" s="750" t="s">
        <v>102</v>
      </c>
      <c r="D275" s="751" t="s">
        <v>110</v>
      </c>
      <c r="E275" s="751" t="s">
        <v>59</v>
      </c>
      <c r="F275" s="752" t="s">
        <v>111</v>
      </c>
      <c r="G275" s="149" t="s">
        <v>76</v>
      </c>
      <c r="H275" s="304">
        <f>'прил12(ведом 21)'!M112</f>
        <v>240.7</v>
      </c>
    </row>
    <row r="276" spans="1:8" ht="56.25">
      <c r="A276" s="290"/>
      <c r="B276" s="168" t="s">
        <v>453</v>
      </c>
      <c r="C276" s="750" t="s">
        <v>102</v>
      </c>
      <c r="D276" s="751" t="s">
        <v>50</v>
      </c>
      <c r="E276" s="751" t="s">
        <v>63</v>
      </c>
      <c r="F276" s="752" t="s">
        <v>64</v>
      </c>
      <c r="G276" s="149"/>
      <c r="H276" s="304">
        <f>H277+H282</f>
        <v>10660.300000000001</v>
      </c>
    </row>
    <row r="277" spans="1:8" ht="75">
      <c r="A277" s="290"/>
      <c r="B277" s="317" t="s">
        <v>386</v>
      </c>
      <c r="C277" s="750" t="s">
        <v>102</v>
      </c>
      <c r="D277" s="751" t="s">
        <v>50</v>
      </c>
      <c r="E277" s="751" t="s">
        <v>57</v>
      </c>
      <c r="F277" s="752" t="s">
        <v>64</v>
      </c>
      <c r="G277" s="149"/>
      <c r="H277" s="304">
        <f>H278</f>
        <v>10205.200000000001</v>
      </c>
    </row>
    <row r="278" spans="1:8" ht="37.5">
      <c r="A278" s="290"/>
      <c r="B278" s="303" t="s">
        <v>795</v>
      </c>
      <c r="C278" s="750" t="s">
        <v>102</v>
      </c>
      <c r="D278" s="751" t="s">
        <v>50</v>
      </c>
      <c r="E278" s="751" t="s">
        <v>57</v>
      </c>
      <c r="F278" s="752" t="s">
        <v>112</v>
      </c>
      <c r="G278" s="149"/>
      <c r="H278" s="304">
        <f>SUM(H279:H281)</f>
        <v>10205.200000000001</v>
      </c>
    </row>
    <row r="279" spans="1:8" s="302" customFormat="1" ht="93.75">
      <c r="A279" s="290"/>
      <c r="B279" s="303" t="s">
        <v>69</v>
      </c>
      <c r="C279" s="750" t="s">
        <v>102</v>
      </c>
      <c r="D279" s="751" t="s">
        <v>50</v>
      </c>
      <c r="E279" s="751" t="s">
        <v>57</v>
      </c>
      <c r="F279" s="752" t="s">
        <v>112</v>
      </c>
      <c r="G279" s="149" t="s">
        <v>70</v>
      </c>
      <c r="H279" s="304">
        <f>'прил12(ведом 21)'!M116</f>
        <v>7569.3</v>
      </c>
    </row>
    <row r="280" spans="1:8" ht="37.5">
      <c r="A280" s="290"/>
      <c r="B280" s="303" t="s">
        <v>75</v>
      </c>
      <c r="C280" s="750" t="s">
        <v>102</v>
      </c>
      <c r="D280" s="751" t="s">
        <v>50</v>
      </c>
      <c r="E280" s="751" t="s">
        <v>57</v>
      </c>
      <c r="F280" s="752" t="s">
        <v>112</v>
      </c>
      <c r="G280" s="149" t="s">
        <v>76</v>
      </c>
      <c r="H280" s="304">
        <f>'прил12(ведом 21)'!M117</f>
        <v>2629.6000000000004</v>
      </c>
    </row>
    <row r="281" spans="1:8" s="302" customFormat="1" ht="18.75">
      <c r="A281" s="290"/>
      <c r="B281" s="303" t="s">
        <v>77</v>
      </c>
      <c r="C281" s="750" t="s">
        <v>102</v>
      </c>
      <c r="D281" s="751" t="s">
        <v>50</v>
      </c>
      <c r="E281" s="751" t="s">
        <v>57</v>
      </c>
      <c r="F281" s="752" t="s">
        <v>112</v>
      </c>
      <c r="G281" s="149" t="s">
        <v>78</v>
      </c>
      <c r="H281" s="304">
        <f>'прил12(ведом 21)'!M118</f>
        <v>6.3</v>
      </c>
    </row>
    <row r="282" spans="1:8" s="302" customFormat="1" ht="37.5">
      <c r="A282" s="290"/>
      <c r="B282" s="168" t="s">
        <v>815</v>
      </c>
      <c r="C282" s="750" t="s">
        <v>102</v>
      </c>
      <c r="D282" s="751" t="s">
        <v>50</v>
      </c>
      <c r="E282" s="751" t="s">
        <v>59</v>
      </c>
      <c r="F282" s="752" t="s">
        <v>64</v>
      </c>
      <c r="G282" s="149"/>
      <c r="H282" s="304">
        <f>H283</f>
        <v>455.1</v>
      </c>
    </row>
    <row r="283" spans="1:8" s="302" customFormat="1" ht="44.25" customHeight="1">
      <c r="A283" s="290"/>
      <c r="B283" s="357" t="s">
        <v>106</v>
      </c>
      <c r="C283" s="750" t="s">
        <v>102</v>
      </c>
      <c r="D283" s="751" t="s">
        <v>50</v>
      </c>
      <c r="E283" s="751" t="s">
        <v>59</v>
      </c>
      <c r="F283" s="752" t="s">
        <v>107</v>
      </c>
      <c r="G283" s="149"/>
      <c r="H283" s="304">
        <f>H284</f>
        <v>455.1</v>
      </c>
    </row>
    <row r="284" spans="1:8" s="302" customFormat="1" ht="37.5">
      <c r="A284" s="290"/>
      <c r="B284" s="657" t="s">
        <v>75</v>
      </c>
      <c r="C284" s="750" t="s">
        <v>102</v>
      </c>
      <c r="D284" s="751" t="s">
        <v>50</v>
      </c>
      <c r="E284" s="751" t="s">
        <v>59</v>
      </c>
      <c r="F284" s="752" t="s">
        <v>107</v>
      </c>
      <c r="G284" s="149" t="s">
        <v>76</v>
      </c>
      <c r="H284" s="304">
        <f>'прил12(ведом 21)'!M121</f>
        <v>455.1</v>
      </c>
    </row>
    <row r="285" spans="1:8" s="302" customFormat="1" ht="56.25">
      <c r="A285" s="290"/>
      <c r="B285" s="658" t="s">
        <v>903</v>
      </c>
      <c r="C285" s="751" t="s">
        <v>102</v>
      </c>
      <c r="D285" s="751" t="s">
        <v>51</v>
      </c>
      <c r="E285" s="751" t="s">
        <v>63</v>
      </c>
      <c r="F285" s="752" t="s">
        <v>64</v>
      </c>
      <c r="G285" s="149"/>
      <c r="H285" s="304">
        <f t="shared" ref="H285:H286" si="0">H286</f>
        <v>21.6</v>
      </c>
    </row>
    <row r="286" spans="1:8" s="302" customFormat="1" ht="56.25">
      <c r="A286" s="290"/>
      <c r="B286" s="658" t="s">
        <v>904</v>
      </c>
      <c r="C286" s="751" t="s">
        <v>102</v>
      </c>
      <c r="D286" s="751" t="s">
        <v>51</v>
      </c>
      <c r="E286" s="751" t="s">
        <v>57</v>
      </c>
      <c r="F286" s="752" t="s">
        <v>64</v>
      </c>
      <c r="G286" s="149"/>
      <c r="H286" s="304">
        <f t="shared" si="0"/>
        <v>21.6</v>
      </c>
    </row>
    <row r="287" spans="1:8" s="302" customFormat="1" ht="38.25" customHeight="1">
      <c r="A287" s="290"/>
      <c r="B287" s="658" t="s">
        <v>106</v>
      </c>
      <c r="C287" s="751" t="s">
        <v>102</v>
      </c>
      <c r="D287" s="751" t="s">
        <v>51</v>
      </c>
      <c r="E287" s="751" t="s">
        <v>57</v>
      </c>
      <c r="F287" s="752" t="s">
        <v>107</v>
      </c>
      <c r="G287" s="149"/>
      <c r="H287" s="304">
        <f>H288</f>
        <v>21.6</v>
      </c>
    </row>
    <row r="288" spans="1:8" s="302" customFormat="1" ht="37.5">
      <c r="A288" s="290"/>
      <c r="B288" s="658" t="s">
        <v>75</v>
      </c>
      <c r="C288" s="751" t="s">
        <v>102</v>
      </c>
      <c r="D288" s="751" t="s">
        <v>51</v>
      </c>
      <c r="E288" s="751" t="s">
        <v>57</v>
      </c>
      <c r="F288" s="752" t="s">
        <v>107</v>
      </c>
      <c r="G288" s="149" t="s">
        <v>76</v>
      </c>
      <c r="H288" s="304">
        <f>'прил12(ведом 21)'!M125</f>
        <v>21.6</v>
      </c>
    </row>
    <row r="289" spans="1:8" ht="18.75">
      <c r="A289" s="328"/>
      <c r="B289" s="305"/>
      <c r="C289" s="174"/>
      <c r="D289" s="745"/>
      <c r="E289" s="745"/>
      <c r="F289" s="746"/>
      <c r="G289" s="288"/>
      <c r="H289" s="304"/>
    </row>
    <row r="290" spans="1:8" s="302" customFormat="1" ht="56.25">
      <c r="A290" s="313">
        <v>6</v>
      </c>
      <c r="B290" s="326" t="s">
        <v>245</v>
      </c>
      <c r="C290" s="298" t="s">
        <v>246</v>
      </c>
      <c r="D290" s="298" t="s">
        <v>62</v>
      </c>
      <c r="E290" s="298" t="s">
        <v>63</v>
      </c>
      <c r="F290" s="299" t="s">
        <v>64</v>
      </c>
      <c r="G290" s="300"/>
      <c r="H290" s="301">
        <f>H291</f>
        <v>42268.315999999999</v>
      </c>
    </row>
    <row r="291" spans="1:8" ht="29.25" customHeight="1">
      <c r="A291" s="290"/>
      <c r="B291" s="303" t="s">
        <v>404</v>
      </c>
      <c r="C291" s="171" t="s">
        <v>246</v>
      </c>
      <c r="D291" s="172" t="s">
        <v>65</v>
      </c>
      <c r="E291" s="751" t="s">
        <v>63</v>
      </c>
      <c r="F291" s="752" t="s">
        <v>64</v>
      </c>
      <c r="G291" s="149"/>
      <c r="H291" s="304">
        <f>H292+H297+H302+H305+H308</f>
        <v>42268.315999999999</v>
      </c>
    </row>
    <row r="292" spans="1:8" ht="56.25">
      <c r="A292" s="290"/>
      <c r="B292" s="303" t="s">
        <v>355</v>
      </c>
      <c r="C292" s="171" t="s">
        <v>246</v>
      </c>
      <c r="D292" s="172" t="s">
        <v>65</v>
      </c>
      <c r="E292" s="751" t="s">
        <v>57</v>
      </c>
      <c r="F292" s="752" t="s">
        <v>64</v>
      </c>
      <c r="G292" s="149"/>
      <c r="H292" s="304">
        <f>H293</f>
        <v>24340.715999999997</v>
      </c>
    </row>
    <row r="293" spans="1:8" ht="37.5">
      <c r="A293" s="290"/>
      <c r="B293" s="303" t="s">
        <v>67</v>
      </c>
      <c r="C293" s="171" t="s">
        <v>246</v>
      </c>
      <c r="D293" s="172" t="s">
        <v>65</v>
      </c>
      <c r="E293" s="751" t="s">
        <v>57</v>
      </c>
      <c r="F293" s="752" t="s">
        <v>68</v>
      </c>
      <c r="G293" s="149"/>
      <c r="H293" s="304">
        <f>SUM(H294:H296)</f>
        <v>24340.715999999997</v>
      </c>
    </row>
    <row r="294" spans="1:8" ht="93.75">
      <c r="A294" s="290"/>
      <c r="B294" s="303" t="s">
        <v>69</v>
      </c>
      <c r="C294" s="171" t="s">
        <v>246</v>
      </c>
      <c r="D294" s="172" t="s">
        <v>65</v>
      </c>
      <c r="E294" s="751" t="s">
        <v>57</v>
      </c>
      <c r="F294" s="752" t="s">
        <v>68</v>
      </c>
      <c r="G294" s="149" t="s">
        <v>70</v>
      </c>
      <c r="H294" s="304">
        <f>'прил12(ведом 21)'!M236</f>
        <v>23558.6</v>
      </c>
    </row>
    <row r="295" spans="1:8" ht="37.5">
      <c r="A295" s="290"/>
      <c r="B295" s="303" t="s">
        <v>75</v>
      </c>
      <c r="C295" s="171" t="s">
        <v>246</v>
      </c>
      <c r="D295" s="172" t="s">
        <v>65</v>
      </c>
      <c r="E295" s="751" t="s">
        <v>57</v>
      </c>
      <c r="F295" s="752" t="s">
        <v>68</v>
      </c>
      <c r="G295" s="149" t="s">
        <v>76</v>
      </c>
      <c r="H295" s="304">
        <f>'прил12(ведом 21)'!M237</f>
        <v>777.31599999999992</v>
      </c>
    </row>
    <row r="296" spans="1:8" ht="18.75">
      <c r="A296" s="290"/>
      <c r="B296" s="303" t="s">
        <v>77</v>
      </c>
      <c r="C296" s="171" t="s">
        <v>246</v>
      </c>
      <c r="D296" s="172" t="s">
        <v>65</v>
      </c>
      <c r="E296" s="751" t="s">
        <v>57</v>
      </c>
      <c r="F296" s="752" t="s">
        <v>68</v>
      </c>
      <c r="G296" s="149" t="s">
        <v>78</v>
      </c>
      <c r="H296" s="304">
        <f>'прил12(ведом 21)'!M238</f>
        <v>4.8</v>
      </c>
    </row>
    <row r="297" spans="1:8" ht="24.75" customHeight="1">
      <c r="A297" s="290"/>
      <c r="B297" s="303" t="s">
        <v>356</v>
      </c>
      <c r="C297" s="171" t="s">
        <v>246</v>
      </c>
      <c r="D297" s="172" t="s">
        <v>65</v>
      </c>
      <c r="E297" s="751" t="s">
        <v>59</v>
      </c>
      <c r="F297" s="752" t="s">
        <v>64</v>
      </c>
      <c r="G297" s="149"/>
      <c r="H297" s="304">
        <f>H298+H300</f>
        <v>13952.8</v>
      </c>
    </row>
    <row r="298" spans="1:8" ht="37.5">
      <c r="A298" s="290"/>
      <c r="B298" s="163" t="s">
        <v>298</v>
      </c>
      <c r="C298" s="171" t="s">
        <v>246</v>
      </c>
      <c r="D298" s="172" t="s">
        <v>65</v>
      </c>
      <c r="E298" s="751" t="s">
        <v>59</v>
      </c>
      <c r="F298" s="752" t="s">
        <v>578</v>
      </c>
      <c r="G298" s="149"/>
      <c r="H298" s="304">
        <f>H299</f>
        <v>5500</v>
      </c>
    </row>
    <row r="299" spans="1:8" ht="18.75">
      <c r="A299" s="290"/>
      <c r="B299" s="163" t="s">
        <v>144</v>
      </c>
      <c r="C299" s="171" t="s">
        <v>246</v>
      </c>
      <c r="D299" s="172" t="s">
        <v>65</v>
      </c>
      <c r="E299" s="751" t="s">
        <v>59</v>
      </c>
      <c r="F299" s="752" t="s">
        <v>578</v>
      </c>
      <c r="G299" s="149" t="s">
        <v>145</v>
      </c>
      <c r="H299" s="304">
        <f>'прил12(ведом 21)'!M257</f>
        <v>5500</v>
      </c>
    </row>
    <row r="300" spans="1:8" ht="37.5">
      <c r="A300" s="290"/>
      <c r="B300" s="163" t="s">
        <v>804</v>
      </c>
      <c r="C300" s="171" t="s">
        <v>246</v>
      </c>
      <c r="D300" s="172" t="s">
        <v>65</v>
      </c>
      <c r="E300" s="751" t="s">
        <v>59</v>
      </c>
      <c r="F300" s="752" t="s">
        <v>805</v>
      </c>
      <c r="G300" s="149"/>
      <c r="H300" s="304">
        <f>H301</f>
        <v>8452.7999999999993</v>
      </c>
    </row>
    <row r="301" spans="1:8" ht="18.75">
      <c r="A301" s="290"/>
      <c r="B301" s="163" t="s">
        <v>144</v>
      </c>
      <c r="C301" s="171" t="s">
        <v>246</v>
      </c>
      <c r="D301" s="172" t="s">
        <v>65</v>
      </c>
      <c r="E301" s="751" t="s">
        <v>59</v>
      </c>
      <c r="F301" s="752" t="s">
        <v>805</v>
      </c>
      <c r="G301" s="149" t="s">
        <v>145</v>
      </c>
      <c r="H301" s="304">
        <f>'прил12(ведом 21)'!M263</f>
        <v>8452.7999999999993</v>
      </c>
    </row>
    <row r="302" spans="1:8" ht="37.5">
      <c r="A302" s="290"/>
      <c r="B302" s="303" t="s">
        <v>428</v>
      </c>
      <c r="C302" s="171" t="s">
        <v>246</v>
      </c>
      <c r="D302" s="172" t="s">
        <v>65</v>
      </c>
      <c r="E302" s="751" t="s">
        <v>84</v>
      </c>
      <c r="F302" s="752" t="s">
        <v>64</v>
      </c>
      <c r="G302" s="149"/>
      <c r="H302" s="304">
        <f>H303</f>
        <v>3249.5</v>
      </c>
    </row>
    <row r="303" spans="1:8" ht="56.25">
      <c r="A303" s="290"/>
      <c r="B303" s="303" t="s">
        <v>429</v>
      </c>
      <c r="C303" s="171" t="s">
        <v>246</v>
      </c>
      <c r="D303" s="172" t="s">
        <v>65</v>
      </c>
      <c r="E303" s="751" t="s">
        <v>84</v>
      </c>
      <c r="F303" s="752" t="s">
        <v>126</v>
      </c>
      <c r="G303" s="149"/>
      <c r="H303" s="304">
        <f>H304</f>
        <v>3249.5</v>
      </c>
    </row>
    <row r="304" spans="1:8" ht="37.5">
      <c r="A304" s="290"/>
      <c r="B304" s="303" t="s">
        <v>75</v>
      </c>
      <c r="C304" s="171" t="s">
        <v>246</v>
      </c>
      <c r="D304" s="172" t="s">
        <v>65</v>
      </c>
      <c r="E304" s="751" t="s">
        <v>84</v>
      </c>
      <c r="F304" s="752" t="s">
        <v>126</v>
      </c>
      <c r="G304" s="149" t="s">
        <v>76</v>
      </c>
      <c r="H304" s="304">
        <f>'прил12(ведом 21)'!M247</f>
        <v>3249.5</v>
      </c>
    </row>
    <row r="305" spans="1:8" ht="56.25">
      <c r="A305" s="290"/>
      <c r="B305" s="163" t="s">
        <v>387</v>
      </c>
      <c r="C305" s="171" t="s">
        <v>246</v>
      </c>
      <c r="D305" s="172" t="s">
        <v>65</v>
      </c>
      <c r="E305" s="751" t="s">
        <v>72</v>
      </c>
      <c r="F305" s="752" t="s">
        <v>64</v>
      </c>
      <c r="G305" s="149"/>
      <c r="H305" s="304">
        <f>H306</f>
        <v>707.3</v>
      </c>
    </row>
    <row r="306" spans="1:8" ht="37.5">
      <c r="A306" s="290"/>
      <c r="B306" s="163" t="s">
        <v>463</v>
      </c>
      <c r="C306" s="171" t="s">
        <v>246</v>
      </c>
      <c r="D306" s="172" t="s">
        <v>65</v>
      </c>
      <c r="E306" s="751" t="s">
        <v>72</v>
      </c>
      <c r="F306" s="752" t="s">
        <v>462</v>
      </c>
      <c r="G306" s="149"/>
      <c r="H306" s="304">
        <f>H307</f>
        <v>707.3</v>
      </c>
    </row>
    <row r="307" spans="1:8" ht="37.5">
      <c r="A307" s="290"/>
      <c r="B307" s="163" t="s">
        <v>75</v>
      </c>
      <c r="C307" s="171" t="s">
        <v>246</v>
      </c>
      <c r="D307" s="172" t="s">
        <v>65</v>
      </c>
      <c r="E307" s="751" t="s">
        <v>72</v>
      </c>
      <c r="F307" s="752" t="s">
        <v>462</v>
      </c>
      <c r="G307" s="149" t="s">
        <v>70</v>
      </c>
      <c r="H307" s="304">
        <f>'прил12(ведом 21)'!M241</f>
        <v>707.3</v>
      </c>
    </row>
    <row r="308" spans="1:8" ht="37.5">
      <c r="A308" s="290"/>
      <c r="B308" s="163" t="s">
        <v>799</v>
      </c>
      <c r="C308" s="171" t="s">
        <v>246</v>
      </c>
      <c r="D308" s="172" t="s">
        <v>65</v>
      </c>
      <c r="E308" s="751" t="s">
        <v>86</v>
      </c>
      <c r="F308" s="752" t="s">
        <v>64</v>
      </c>
      <c r="G308" s="149"/>
      <c r="H308" s="304">
        <f>H309</f>
        <v>18</v>
      </c>
    </row>
    <row r="309" spans="1:8" ht="18.75">
      <c r="A309" s="290"/>
      <c r="B309" s="163" t="s">
        <v>797</v>
      </c>
      <c r="C309" s="171" t="s">
        <v>246</v>
      </c>
      <c r="D309" s="172" t="s">
        <v>65</v>
      </c>
      <c r="E309" s="751" t="s">
        <v>86</v>
      </c>
      <c r="F309" s="752" t="s">
        <v>798</v>
      </c>
      <c r="G309" s="149"/>
      <c r="H309" s="304">
        <f>H310</f>
        <v>18</v>
      </c>
    </row>
    <row r="310" spans="1:8" ht="37.5">
      <c r="A310" s="290"/>
      <c r="B310" s="163" t="s">
        <v>75</v>
      </c>
      <c r="C310" s="171" t="s">
        <v>246</v>
      </c>
      <c r="D310" s="172" t="s">
        <v>65</v>
      </c>
      <c r="E310" s="751" t="s">
        <v>86</v>
      </c>
      <c r="F310" s="752" t="s">
        <v>798</v>
      </c>
      <c r="G310" s="149" t="s">
        <v>76</v>
      </c>
      <c r="H310" s="304">
        <f>'прил12(ведом 21)'!M250</f>
        <v>18</v>
      </c>
    </row>
    <row r="311" spans="1:8" ht="18.75">
      <c r="A311" s="290"/>
      <c r="B311" s="303"/>
      <c r="C311" s="172"/>
      <c r="D311" s="172"/>
      <c r="E311" s="172"/>
      <c r="F311" s="329"/>
      <c r="G311" s="149"/>
      <c r="H311" s="304"/>
    </row>
    <row r="312" spans="1:8" s="302" customFormat="1" ht="56.25">
      <c r="A312" s="296">
        <v>7</v>
      </c>
      <c r="B312" s="330" t="s">
        <v>247</v>
      </c>
      <c r="C312" s="331" t="s">
        <v>248</v>
      </c>
      <c r="D312" s="314" t="s">
        <v>62</v>
      </c>
      <c r="E312" s="314" t="s">
        <v>63</v>
      </c>
      <c r="F312" s="315" t="s">
        <v>64</v>
      </c>
      <c r="G312" s="332"/>
      <c r="H312" s="301">
        <f>H313+H323+H341</f>
        <v>41946.999999999993</v>
      </c>
    </row>
    <row r="313" spans="1:8" ht="37.5">
      <c r="A313" s="328"/>
      <c r="B313" s="333" t="s">
        <v>249</v>
      </c>
      <c r="C313" s="334" t="s">
        <v>248</v>
      </c>
      <c r="D313" s="177" t="s">
        <v>65</v>
      </c>
      <c r="E313" s="177" t="s">
        <v>63</v>
      </c>
      <c r="F313" s="178" t="s">
        <v>64</v>
      </c>
      <c r="G313" s="747"/>
      <c r="H313" s="304">
        <f>H314+H319</f>
        <v>18702.002</v>
      </c>
    </row>
    <row r="314" spans="1:8" ht="75" customHeight="1">
      <c r="A314" s="328"/>
      <c r="B314" s="333" t="s">
        <v>349</v>
      </c>
      <c r="C314" s="335" t="s">
        <v>248</v>
      </c>
      <c r="D314" s="174" t="s">
        <v>65</v>
      </c>
      <c r="E314" s="174" t="s">
        <v>57</v>
      </c>
      <c r="F314" s="175" t="s">
        <v>64</v>
      </c>
      <c r="G314" s="173"/>
      <c r="H314" s="304">
        <f>H315+H317</f>
        <v>2370.6</v>
      </c>
    </row>
    <row r="315" spans="1:8" ht="33" customHeight="1">
      <c r="A315" s="328"/>
      <c r="B315" s="333" t="s">
        <v>250</v>
      </c>
      <c r="C315" s="335" t="s">
        <v>248</v>
      </c>
      <c r="D315" s="174" t="s">
        <v>65</v>
      </c>
      <c r="E315" s="174" t="s">
        <v>57</v>
      </c>
      <c r="F315" s="175" t="s">
        <v>350</v>
      </c>
      <c r="G315" s="173"/>
      <c r="H315" s="304">
        <f>H316</f>
        <v>333.4</v>
      </c>
    </row>
    <row r="316" spans="1:8" ht="37.5">
      <c r="A316" s="328"/>
      <c r="B316" s="303" t="s">
        <v>75</v>
      </c>
      <c r="C316" s="335" t="s">
        <v>248</v>
      </c>
      <c r="D316" s="174" t="s">
        <v>65</v>
      </c>
      <c r="E316" s="174" t="s">
        <v>57</v>
      </c>
      <c r="F316" s="175" t="s">
        <v>350</v>
      </c>
      <c r="G316" s="173" t="s">
        <v>76</v>
      </c>
      <c r="H316" s="304">
        <f>'прил12(ведом 21)'!M284</f>
        <v>333.4</v>
      </c>
    </row>
    <row r="317" spans="1:8" ht="37.5">
      <c r="A317" s="328"/>
      <c r="B317" s="170" t="s">
        <v>459</v>
      </c>
      <c r="C317" s="179" t="s">
        <v>248</v>
      </c>
      <c r="D317" s="174" t="s">
        <v>65</v>
      </c>
      <c r="E317" s="174" t="s">
        <v>57</v>
      </c>
      <c r="F317" s="175" t="s">
        <v>458</v>
      </c>
      <c r="G317" s="173"/>
      <c r="H317" s="304">
        <f>H318</f>
        <v>2037.1999999999998</v>
      </c>
    </row>
    <row r="318" spans="1:8" ht="37.5">
      <c r="A318" s="328"/>
      <c r="B318" s="163" t="s">
        <v>75</v>
      </c>
      <c r="C318" s="179" t="s">
        <v>248</v>
      </c>
      <c r="D318" s="174" t="s">
        <v>65</v>
      </c>
      <c r="E318" s="174" t="s">
        <v>57</v>
      </c>
      <c r="F318" s="175" t="s">
        <v>458</v>
      </c>
      <c r="G318" s="173" t="s">
        <v>76</v>
      </c>
      <c r="H318" s="304">
        <f>'прил12(ведом 21)'!M330</f>
        <v>2037.1999999999998</v>
      </c>
    </row>
    <row r="319" spans="1:8" ht="37.5">
      <c r="A319" s="328"/>
      <c r="B319" s="303" t="s">
        <v>403</v>
      </c>
      <c r="C319" s="335" t="s">
        <v>248</v>
      </c>
      <c r="D319" s="174" t="s">
        <v>65</v>
      </c>
      <c r="E319" s="174" t="s">
        <v>59</v>
      </c>
      <c r="F319" s="175" t="s">
        <v>64</v>
      </c>
      <c r="G319" s="173"/>
      <c r="H319" s="304">
        <f>H320</f>
        <v>16331.402</v>
      </c>
    </row>
    <row r="320" spans="1:8" ht="37.5">
      <c r="A320" s="328"/>
      <c r="B320" s="303" t="s">
        <v>402</v>
      </c>
      <c r="C320" s="335" t="s">
        <v>248</v>
      </c>
      <c r="D320" s="174" t="s">
        <v>65</v>
      </c>
      <c r="E320" s="174" t="s">
        <v>59</v>
      </c>
      <c r="F320" s="175" t="s">
        <v>401</v>
      </c>
      <c r="G320" s="173"/>
      <c r="H320" s="304">
        <f>SUM(H321:H322)</f>
        <v>16331.402</v>
      </c>
    </row>
    <row r="321" spans="1:8" ht="37.5">
      <c r="A321" s="328"/>
      <c r="B321" s="303" t="s">
        <v>75</v>
      </c>
      <c r="C321" s="335" t="s">
        <v>248</v>
      </c>
      <c r="D321" s="174" t="s">
        <v>65</v>
      </c>
      <c r="E321" s="174" t="s">
        <v>59</v>
      </c>
      <c r="F321" s="175" t="s">
        <v>401</v>
      </c>
      <c r="G321" s="173" t="s">
        <v>76</v>
      </c>
      <c r="H321" s="304">
        <f>'прил12(ведом 21)'!M287+'прил12(ведом 21)'!M337</f>
        <v>9615.3019999999997</v>
      </c>
    </row>
    <row r="322" spans="1:8" ht="37.5">
      <c r="A322" s="328"/>
      <c r="B322" s="163" t="s">
        <v>225</v>
      </c>
      <c r="C322" s="335" t="s">
        <v>248</v>
      </c>
      <c r="D322" s="174" t="s">
        <v>65</v>
      </c>
      <c r="E322" s="174" t="s">
        <v>59</v>
      </c>
      <c r="F322" s="175" t="s">
        <v>401</v>
      </c>
      <c r="G322" s="173" t="s">
        <v>226</v>
      </c>
      <c r="H322" s="304">
        <f>'прил12(ведом 21)'!M288</f>
        <v>6716.1</v>
      </c>
    </row>
    <row r="323" spans="1:8" ht="37.5">
      <c r="A323" s="328"/>
      <c r="B323" s="333" t="s">
        <v>251</v>
      </c>
      <c r="C323" s="179" t="s">
        <v>248</v>
      </c>
      <c r="D323" s="174" t="s">
        <v>110</v>
      </c>
      <c r="E323" s="174" t="s">
        <v>63</v>
      </c>
      <c r="F323" s="175" t="s">
        <v>64</v>
      </c>
      <c r="G323" s="173"/>
      <c r="H323" s="304">
        <f>H324+H335+H338</f>
        <v>22655.597999999994</v>
      </c>
    </row>
    <row r="324" spans="1:8" ht="75">
      <c r="A324" s="328"/>
      <c r="B324" s="333" t="s">
        <v>353</v>
      </c>
      <c r="C324" s="179" t="s">
        <v>248</v>
      </c>
      <c r="D324" s="174" t="s">
        <v>110</v>
      </c>
      <c r="E324" s="174" t="s">
        <v>57</v>
      </c>
      <c r="F324" s="175" t="s">
        <v>64</v>
      </c>
      <c r="G324" s="173"/>
      <c r="H324" s="304">
        <f>H325+H329+H333</f>
        <v>21818.799999999996</v>
      </c>
    </row>
    <row r="325" spans="1:8" ht="37.5">
      <c r="A325" s="328"/>
      <c r="B325" s="333" t="s">
        <v>67</v>
      </c>
      <c r="C325" s="176" t="s">
        <v>248</v>
      </c>
      <c r="D325" s="177" t="s">
        <v>110</v>
      </c>
      <c r="E325" s="177" t="s">
        <v>57</v>
      </c>
      <c r="F325" s="178" t="s">
        <v>68</v>
      </c>
      <c r="G325" s="173"/>
      <c r="H325" s="304">
        <f>SUM(H326:H328)</f>
        <v>12882.399999999998</v>
      </c>
    </row>
    <row r="326" spans="1:8" ht="93.75">
      <c r="A326" s="328"/>
      <c r="B326" s="333" t="s">
        <v>69</v>
      </c>
      <c r="C326" s="179" t="s">
        <v>248</v>
      </c>
      <c r="D326" s="174" t="s">
        <v>110</v>
      </c>
      <c r="E326" s="174" t="s">
        <v>57</v>
      </c>
      <c r="F326" s="175" t="s">
        <v>68</v>
      </c>
      <c r="G326" s="173" t="s">
        <v>70</v>
      </c>
      <c r="H326" s="304">
        <f>'прил12(ведом 21)'!M292</f>
        <v>12567.3</v>
      </c>
    </row>
    <row r="327" spans="1:8" ht="37.5">
      <c r="A327" s="328"/>
      <c r="B327" s="303" t="s">
        <v>75</v>
      </c>
      <c r="C327" s="179" t="s">
        <v>248</v>
      </c>
      <c r="D327" s="174" t="s">
        <v>110</v>
      </c>
      <c r="E327" s="174" t="s">
        <v>57</v>
      </c>
      <c r="F327" s="175" t="s">
        <v>68</v>
      </c>
      <c r="G327" s="173" t="s">
        <v>76</v>
      </c>
      <c r="H327" s="304">
        <f>'прил12(ведом 21)'!M293</f>
        <v>313.8</v>
      </c>
    </row>
    <row r="328" spans="1:8" ht="18.75">
      <c r="A328" s="328"/>
      <c r="B328" s="333" t="s">
        <v>77</v>
      </c>
      <c r="C328" s="179" t="s">
        <v>248</v>
      </c>
      <c r="D328" s="174" t="s">
        <v>110</v>
      </c>
      <c r="E328" s="174" t="s">
        <v>57</v>
      </c>
      <c r="F328" s="175" t="s">
        <v>68</v>
      </c>
      <c r="G328" s="173" t="s">
        <v>78</v>
      </c>
      <c r="H328" s="304">
        <f>'прил12(ведом 21)'!M294</f>
        <v>1.3</v>
      </c>
    </row>
    <row r="329" spans="1:8" ht="37.5">
      <c r="A329" s="328"/>
      <c r="B329" s="303" t="s">
        <v>795</v>
      </c>
      <c r="C329" s="179" t="s">
        <v>248</v>
      </c>
      <c r="D329" s="174" t="s">
        <v>110</v>
      </c>
      <c r="E329" s="174" t="s">
        <v>57</v>
      </c>
      <c r="F329" s="175" t="s">
        <v>112</v>
      </c>
      <c r="G329" s="173"/>
      <c r="H329" s="304">
        <f>SUM(H330:H332)</f>
        <v>8901.9</v>
      </c>
    </row>
    <row r="330" spans="1:8" ht="93.75">
      <c r="A330" s="328"/>
      <c r="B330" s="333" t="s">
        <v>69</v>
      </c>
      <c r="C330" s="179" t="s">
        <v>248</v>
      </c>
      <c r="D330" s="174" t="s">
        <v>110</v>
      </c>
      <c r="E330" s="174" t="s">
        <v>57</v>
      </c>
      <c r="F330" s="175" t="s">
        <v>112</v>
      </c>
      <c r="G330" s="173" t="s">
        <v>70</v>
      </c>
      <c r="H330" s="304">
        <f>'прил12(ведом 21)'!M296</f>
        <v>6814.6</v>
      </c>
    </row>
    <row r="331" spans="1:8" ht="37.5">
      <c r="A331" s="328"/>
      <c r="B331" s="303" t="s">
        <v>75</v>
      </c>
      <c r="C331" s="176" t="s">
        <v>248</v>
      </c>
      <c r="D331" s="177" t="s">
        <v>110</v>
      </c>
      <c r="E331" s="177" t="s">
        <v>57</v>
      </c>
      <c r="F331" s="178" t="s">
        <v>112</v>
      </c>
      <c r="G331" s="173" t="s">
        <v>76</v>
      </c>
      <c r="H331" s="304">
        <f>'прил12(ведом 21)'!M297</f>
        <v>2062.6999999999998</v>
      </c>
    </row>
    <row r="332" spans="1:8" ht="18.75">
      <c r="A332" s="328"/>
      <c r="B332" s="333" t="s">
        <v>77</v>
      </c>
      <c r="C332" s="179" t="s">
        <v>248</v>
      </c>
      <c r="D332" s="174" t="s">
        <v>110</v>
      </c>
      <c r="E332" s="174" t="s">
        <v>57</v>
      </c>
      <c r="F332" s="175" t="s">
        <v>112</v>
      </c>
      <c r="G332" s="173" t="s">
        <v>78</v>
      </c>
      <c r="H332" s="304">
        <f>'прил12(ведом 21)'!M298</f>
        <v>24.6</v>
      </c>
    </row>
    <row r="333" spans="1:8" ht="56.25">
      <c r="A333" s="328"/>
      <c r="B333" s="163" t="s">
        <v>431</v>
      </c>
      <c r="C333" s="179" t="s">
        <v>248</v>
      </c>
      <c r="D333" s="174" t="s">
        <v>110</v>
      </c>
      <c r="E333" s="174" t="s">
        <v>57</v>
      </c>
      <c r="F333" s="175" t="s">
        <v>430</v>
      </c>
      <c r="G333" s="173"/>
      <c r="H333" s="304">
        <f>H334</f>
        <v>34.5</v>
      </c>
    </row>
    <row r="334" spans="1:8" ht="37.5">
      <c r="A334" s="328"/>
      <c r="B334" s="163" t="s">
        <v>75</v>
      </c>
      <c r="C334" s="179" t="s">
        <v>248</v>
      </c>
      <c r="D334" s="174" t="s">
        <v>110</v>
      </c>
      <c r="E334" s="174" t="s">
        <v>57</v>
      </c>
      <c r="F334" s="336" t="s">
        <v>430</v>
      </c>
      <c r="G334" s="173" t="s">
        <v>76</v>
      </c>
      <c r="H334" s="304">
        <f>'прил12(ведом 21)'!M300</f>
        <v>34.5</v>
      </c>
    </row>
    <row r="335" spans="1:8" ht="37.5">
      <c r="A335" s="328"/>
      <c r="B335" s="337" t="s">
        <v>428</v>
      </c>
      <c r="C335" s="338" t="s">
        <v>248</v>
      </c>
      <c r="D335" s="339" t="s">
        <v>110</v>
      </c>
      <c r="E335" s="339" t="s">
        <v>59</v>
      </c>
      <c r="F335" s="340" t="s">
        <v>64</v>
      </c>
      <c r="G335" s="341"/>
      <c r="H335" s="304">
        <f>H336</f>
        <v>758.8</v>
      </c>
    </row>
    <row r="336" spans="1:8" ht="56.25">
      <c r="A336" s="328"/>
      <c r="B336" s="342" t="s">
        <v>429</v>
      </c>
      <c r="C336" s="338" t="s">
        <v>248</v>
      </c>
      <c r="D336" s="339" t="s">
        <v>110</v>
      </c>
      <c r="E336" s="339" t="s">
        <v>59</v>
      </c>
      <c r="F336" s="340" t="s">
        <v>126</v>
      </c>
      <c r="G336" s="343"/>
      <c r="H336" s="304">
        <f>H337</f>
        <v>758.8</v>
      </c>
    </row>
    <row r="337" spans="1:8" ht="37.5">
      <c r="A337" s="328"/>
      <c r="B337" s="344" t="s">
        <v>75</v>
      </c>
      <c r="C337" s="345" t="s">
        <v>248</v>
      </c>
      <c r="D337" s="339" t="s">
        <v>110</v>
      </c>
      <c r="E337" s="339" t="s">
        <v>59</v>
      </c>
      <c r="F337" s="340" t="s">
        <v>126</v>
      </c>
      <c r="G337" s="343" t="s">
        <v>76</v>
      </c>
      <c r="H337" s="304">
        <f>'прил12(ведом 21)'!M303</f>
        <v>758.8</v>
      </c>
    </row>
    <row r="338" spans="1:8" ht="27" customHeight="1">
      <c r="A338" s="328"/>
      <c r="B338" s="333" t="s">
        <v>464</v>
      </c>
      <c r="C338" s="346" t="s">
        <v>248</v>
      </c>
      <c r="D338" s="347" t="s">
        <v>110</v>
      </c>
      <c r="E338" s="348" t="s">
        <v>84</v>
      </c>
      <c r="F338" s="349" t="s">
        <v>64</v>
      </c>
      <c r="G338" s="350"/>
      <c r="H338" s="304">
        <f>H339</f>
        <v>77.99799999999999</v>
      </c>
    </row>
    <row r="339" spans="1:8" ht="37.5">
      <c r="A339" s="328"/>
      <c r="B339" s="333" t="s">
        <v>402</v>
      </c>
      <c r="C339" s="346" t="s">
        <v>248</v>
      </c>
      <c r="D339" s="347" t="s">
        <v>110</v>
      </c>
      <c r="E339" s="351" t="s">
        <v>84</v>
      </c>
      <c r="F339" s="352" t="s">
        <v>401</v>
      </c>
      <c r="G339" s="350"/>
      <c r="H339" s="304">
        <f>H340</f>
        <v>77.99799999999999</v>
      </c>
    </row>
    <row r="340" spans="1:8" ht="18.75">
      <c r="A340" s="328"/>
      <c r="B340" s="170" t="s">
        <v>77</v>
      </c>
      <c r="C340" s="179" t="s">
        <v>248</v>
      </c>
      <c r="D340" s="348" t="s">
        <v>110</v>
      </c>
      <c r="E340" s="348" t="s">
        <v>84</v>
      </c>
      <c r="F340" s="349" t="s">
        <v>401</v>
      </c>
      <c r="G340" s="350" t="s">
        <v>78</v>
      </c>
      <c r="H340" s="304">
        <f>'прил12(ведом 21)'!M306</f>
        <v>77.99799999999999</v>
      </c>
    </row>
    <row r="341" spans="1:8" ht="37.5">
      <c r="A341" s="328"/>
      <c r="B341" s="417" t="s">
        <v>404</v>
      </c>
      <c r="C341" s="338" t="s">
        <v>248</v>
      </c>
      <c r="D341" s="339" t="s">
        <v>50</v>
      </c>
      <c r="E341" s="339" t="s">
        <v>63</v>
      </c>
      <c r="F341" s="340" t="s">
        <v>64</v>
      </c>
      <c r="G341" s="350"/>
      <c r="H341" s="304">
        <f>H342</f>
        <v>589.4</v>
      </c>
    </row>
    <row r="342" spans="1:8" ht="37.5">
      <c r="A342" s="328"/>
      <c r="B342" s="417" t="s">
        <v>464</v>
      </c>
      <c r="C342" s="338" t="s">
        <v>248</v>
      </c>
      <c r="D342" s="339" t="s">
        <v>50</v>
      </c>
      <c r="E342" s="339" t="s">
        <v>248</v>
      </c>
      <c r="F342" s="340" t="s">
        <v>64</v>
      </c>
      <c r="G342" s="350"/>
      <c r="H342" s="304">
        <f>H343</f>
        <v>589.4</v>
      </c>
    </row>
    <row r="343" spans="1:8" ht="37.5">
      <c r="A343" s="328"/>
      <c r="B343" s="469" t="s">
        <v>402</v>
      </c>
      <c r="C343" s="338" t="s">
        <v>248</v>
      </c>
      <c r="D343" s="339" t="s">
        <v>50</v>
      </c>
      <c r="E343" s="339" t="s">
        <v>248</v>
      </c>
      <c r="F343" s="340" t="s">
        <v>401</v>
      </c>
      <c r="G343" s="350"/>
      <c r="H343" s="304">
        <f>H344+H345</f>
        <v>589.4</v>
      </c>
    </row>
    <row r="344" spans="1:8" ht="37.5">
      <c r="A344" s="328"/>
      <c r="B344" s="357" t="s">
        <v>75</v>
      </c>
      <c r="C344" s="338" t="s">
        <v>248</v>
      </c>
      <c r="D344" s="339" t="s">
        <v>50</v>
      </c>
      <c r="E344" s="339" t="s">
        <v>248</v>
      </c>
      <c r="F344" s="340" t="s">
        <v>401</v>
      </c>
      <c r="G344" s="350" t="s">
        <v>76</v>
      </c>
      <c r="H344" s="304">
        <f>'прил12(ведом 21)'!M310</f>
        <v>581.4</v>
      </c>
    </row>
    <row r="345" spans="1:8" ht="18.75">
      <c r="A345" s="328"/>
      <c r="B345" s="170" t="s">
        <v>77</v>
      </c>
      <c r="C345" s="338" t="s">
        <v>248</v>
      </c>
      <c r="D345" s="339" t="s">
        <v>50</v>
      </c>
      <c r="E345" s="339" t="s">
        <v>248</v>
      </c>
      <c r="F345" s="340" t="s">
        <v>401</v>
      </c>
      <c r="G345" s="350" t="s">
        <v>78</v>
      </c>
      <c r="H345" s="304">
        <f>'прил12(ведом 21)'!M311</f>
        <v>8</v>
      </c>
    </row>
    <row r="346" spans="1:8" ht="18.75">
      <c r="A346" s="328"/>
      <c r="B346" s="312"/>
      <c r="C346" s="174"/>
      <c r="D346" s="745"/>
      <c r="E346" s="745"/>
      <c r="F346" s="746"/>
      <c r="G346" s="288"/>
      <c r="H346" s="304"/>
    </row>
    <row r="347" spans="1:8" s="302" customFormat="1" ht="56.25">
      <c r="A347" s="313">
        <v>8</v>
      </c>
      <c r="B347" s="330" t="s">
        <v>339</v>
      </c>
      <c r="C347" s="314" t="s">
        <v>100</v>
      </c>
      <c r="D347" s="314" t="s">
        <v>62</v>
      </c>
      <c r="E347" s="314" t="s">
        <v>63</v>
      </c>
      <c r="F347" s="315" t="s">
        <v>64</v>
      </c>
      <c r="G347" s="300"/>
      <c r="H347" s="301">
        <f>H348</f>
        <v>119922.79999999997</v>
      </c>
    </row>
    <row r="348" spans="1:8" ht="24.75" customHeight="1">
      <c r="A348" s="290"/>
      <c r="B348" s="303" t="s">
        <v>404</v>
      </c>
      <c r="C348" s="335" t="s">
        <v>100</v>
      </c>
      <c r="D348" s="174" t="s">
        <v>65</v>
      </c>
      <c r="E348" s="174" t="s">
        <v>63</v>
      </c>
      <c r="F348" s="752" t="s">
        <v>64</v>
      </c>
      <c r="G348" s="288"/>
      <c r="H348" s="304">
        <f>H349+H364+H369+H379</f>
        <v>119922.79999999997</v>
      </c>
    </row>
    <row r="349" spans="1:8" ht="37.5">
      <c r="A349" s="290"/>
      <c r="B349" s="303" t="s">
        <v>325</v>
      </c>
      <c r="C349" s="750" t="s">
        <v>100</v>
      </c>
      <c r="D349" s="751" t="s">
        <v>65</v>
      </c>
      <c r="E349" s="751" t="s">
        <v>57</v>
      </c>
      <c r="F349" s="752" t="s">
        <v>64</v>
      </c>
      <c r="G349" s="288"/>
      <c r="H349" s="304">
        <f>H350+H353+H356+H359+H362</f>
        <v>59201.099999999991</v>
      </c>
    </row>
    <row r="350" spans="1:8" ht="150">
      <c r="A350" s="290"/>
      <c r="B350" s="354" t="s">
        <v>440</v>
      </c>
      <c r="C350" s="750" t="s">
        <v>100</v>
      </c>
      <c r="D350" s="751" t="s">
        <v>65</v>
      </c>
      <c r="E350" s="751" t="s">
        <v>57</v>
      </c>
      <c r="F350" s="752" t="s">
        <v>341</v>
      </c>
      <c r="G350" s="149"/>
      <c r="H350" s="304">
        <f>SUM(H351:H352)</f>
        <v>32982</v>
      </c>
    </row>
    <row r="351" spans="1:8" ht="37.5">
      <c r="A351" s="290"/>
      <c r="B351" s="355" t="s">
        <v>75</v>
      </c>
      <c r="C351" s="750" t="s">
        <v>100</v>
      </c>
      <c r="D351" s="751" t="s">
        <v>65</v>
      </c>
      <c r="E351" s="751" t="s">
        <v>57</v>
      </c>
      <c r="F351" s="752" t="s">
        <v>341</v>
      </c>
      <c r="G351" s="149" t="s">
        <v>76</v>
      </c>
      <c r="H351" s="304">
        <f>'прил12(ведом 21)'!M700</f>
        <v>164.9</v>
      </c>
    </row>
    <row r="352" spans="1:8" ht="37.5">
      <c r="A352" s="290"/>
      <c r="B352" s="303" t="s">
        <v>141</v>
      </c>
      <c r="C352" s="750" t="s">
        <v>100</v>
      </c>
      <c r="D352" s="751" t="s">
        <v>65</v>
      </c>
      <c r="E352" s="751" t="s">
        <v>57</v>
      </c>
      <c r="F352" s="752" t="s">
        <v>341</v>
      </c>
      <c r="G352" s="149" t="s">
        <v>142</v>
      </c>
      <c r="H352" s="304">
        <f>'прил12(ведом 21)'!M701</f>
        <v>32817.1</v>
      </c>
    </row>
    <row r="353" spans="1:8" ht="93.75">
      <c r="A353" s="290"/>
      <c r="B353" s="303" t="s">
        <v>441</v>
      </c>
      <c r="C353" s="750" t="s">
        <v>100</v>
      </c>
      <c r="D353" s="751" t="s">
        <v>65</v>
      </c>
      <c r="E353" s="751" t="s">
        <v>57</v>
      </c>
      <c r="F353" s="752" t="s">
        <v>342</v>
      </c>
      <c r="G353" s="149"/>
      <c r="H353" s="304">
        <f>SUM(H354:H355)</f>
        <v>25619.1</v>
      </c>
    </row>
    <row r="354" spans="1:8" ht="37.5">
      <c r="A354" s="290"/>
      <c r="B354" s="355" t="s">
        <v>75</v>
      </c>
      <c r="C354" s="750" t="s">
        <v>100</v>
      </c>
      <c r="D354" s="751" t="s">
        <v>65</v>
      </c>
      <c r="E354" s="751" t="s">
        <v>57</v>
      </c>
      <c r="F354" s="752" t="s">
        <v>342</v>
      </c>
      <c r="G354" s="149" t="s">
        <v>76</v>
      </c>
      <c r="H354" s="304">
        <f>'прил12(ведом 21)'!M703</f>
        <v>128.1</v>
      </c>
    </row>
    <row r="355" spans="1:8" ht="37.5">
      <c r="A355" s="290"/>
      <c r="B355" s="303" t="s">
        <v>141</v>
      </c>
      <c r="C355" s="750" t="s">
        <v>100</v>
      </c>
      <c r="D355" s="751" t="s">
        <v>65</v>
      </c>
      <c r="E355" s="751" t="s">
        <v>57</v>
      </c>
      <c r="F355" s="752" t="s">
        <v>342</v>
      </c>
      <c r="G355" s="149" t="s">
        <v>142</v>
      </c>
      <c r="H355" s="304">
        <f>'прил12(ведом 21)'!M704</f>
        <v>25491</v>
      </c>
    </row>
    <row r="356" spans="1:8" ht="93.75">
      <c r="A356" s="290"/>
      <c r="B356" s="303" t="s">
        <v>442</v>
      </c>
      <c r="C356" s="750" t="s">
        <v>100</v>
      </c>
      <c r="D356" s="751" t="s">
        <v>65</v>
      </c>
      <c r="E356" s="751" t="s">
        <v>57</v>
      </c>
      <c r="F356" s="752" t="s">
        <v>343</v>
      </c>
      <c r="G356" s="149"/>
      <c r="H356" s="304">
        <f>SUM(H357:H358)</f>
        <v>243.2</v>
      </c>
    </row>
    <row r="357" spans="1:8" ht="37.5">
      <c r="A357" s="290"/>
      <c r="B357" s="303" t="s">
        <v>75</v>
      </c>
      <c r="C357" s="750" t="s">
        <v>100</v>
      </c>
      <c r="D357" s="751" t="s">
        <v>65</v>
      </c>
      <c r="E357" s="751" t="s">
        <v>57</v>
      </c>
      <c r="F357" s="752" t="s">
        <v>343</v>
      </c>
      <c r="G357" s="149" t="s">
        <v>76</v>
      </c>
      <c r="H357" s="304">
        <f>'прил12(ведом 21)'!M706</f>
        <v>1.2</v>
      </c>
    </row>
    <row r="358" spans="1:8" ht="37.5">
      <c r="A358" s="290"/>
      <c r="B358" s="303" t="s">
        <v>141</v>
      </c>
      <c r="C358" s="750" t="s">
        <v>100</v>
      </c>
      <c r="D358" s="751" t="s">
        <v>65</v>
      </c>
      <c r="E358" s="751" t="s">
        <v>57</v>
      </c>
      <c r="F358" s="752" t="s">
        <v>343</v>
      </c>
      <c r="G358" s="149" t="s">
        <v>142</v>
      </c>
      <c r="H358" s="304">
        <f>'прил12(ведом 21)'!M707</f>
        <v>242</v>
      </c>
    </row>
    <row r="359" spans="1:8" ht="112.5">
      <c r="A359" s="290"/>
      <c r="B359" s="303" t="s">
        <v>448</v>
      </c>
      <c r="C359" s="750" t="s">
        <v>100</v>
      </c>
      <c r="D359" s="751" t="s">
        <v>65</v>
      </c>
      <c r="E359" s="751" t="s">
        <v>57</v>
      </c>
      <c r="F359" s="752" t="s">
        <v>344</v>
      </c>
      <c r="G359" s="149"/>
      <c r="H359" s="304">
        <f>SUM(H360:H361)</f>
        <v>346.7</v>
      </c>
    </row>
    <row r="360" spans="1:8" ht="37.5">
      <c r="A360" s="290"/>
      <c r="B360" s="303" t="s">
        <v>75</v>
      </c>
      <c r="C360" s="750" t="s">
        <v>100</v>
      </c>
      <c r="D360" s="751" t="s">
        <v>65</v>
      </c>
      <c r="E360" s="751" t="s">
        <v>57</v>
      </c>
      <c r="F360" s="752" t="s">
        <v>344</v>
      </c>
      <c r="G360" s="149" t="s">
        <v>76</v>
      </c>
      <c r="H360" s="304">
        <f>'прил12(ведом 21)'!M709</f>
        <v>1.7</v>
      </c>
    </row>
    <row r="361" spans="1:8" ht="17.25" customHeight="1">
      <c r="A361" s="290"/>
      <c r="B361" s="303" t="s">
        <v>141</v>
      </c>
      <c r="C361" s="750" t="s">
        <v>100</v>
      </c>
      <c r="D361" s="751" t="s">
        <v>65</v>
      </c>
      <c r="E361" s="751" t="s">
        <v>57</v>
      </c>
      <c r="F361" s="752" t="s">
        <v>344</v>
      </c>
      <c r="G361" s="149" t="s">
        <v>142</v>
      </c>
      <c r="H361" s="304">
        <f>'прил12(ведом 21)'!M710</f>
        <v>345</v>
      </c>
    </row>
    <row r="362" spans="1:8" ht="133.5" customHeight="1">
      <c r="A362" s="290"/>
      <c r="B362" s="356" t="s">
        <v>439</v>
      </c>
      <c r="C362" s="750" t="s">
        <v>100</v>
      </c>
      <c r="D362" s="751" t="s">
        <v>65</v>
      </c>
      <c r="E362" s="751" t="s">
        <v>57</v>
      </c>
      <c r="F362" s="752" t="s">
        <v>340</v>
      </c>
      <c r="G362" s="149"/>
      <c r="H362" s="304">
        <f>H363</f>
        <v>10.1</v>
      </c>
    </row>
    <row r="363" spans="1:8" ht="21.6" customHeight="1">
      <c r="A363" s="290"/>
      <c r="B363" s="163" t="s">
        <v>141</v>
      </c>
      <c r="C363" s="750" t="s">
        <v>100</v>
      </c>
      <c r="D363" s="751" t="s">
        <v>65</v>
      </c>
      <c r="E363" s="751" t="s">
        <v>57</v>
      </c>
      <c r="F363" s="752" t="s">
        <v>340</v>
      </c>
      <c r="G363" s="149" t="s">
        <v>142</v>
      </c>
      <c r="H363" s="304">
        <f>'прил12(ведом 21)'!M693</f>
        <v>10.1</v>
      </c>
    </row>
    <row r="364" spans="1:8" ht="75">
      <c r="A364" s="290"/>
      <c r="B364" s="357" t="s">
        <v>352</v>
      </c>
      <c r="C364" s="358" t="s">
        <v>100</v>
      </c>
      <c r="D364" s="359" t="s">
        <v>65</v>
      </c>
      <c r="E364" s="359" t="s">
        <v>59</v>
      </c>
      <c r="F364" s="360" t="s">
        <v>64</v>
      </c>
      <c r="G364" s="361"/>
      <c r="H364" s="304">
        <f>H365+H367</f>
        <v>52577.999999999993</v>
      </c>
    </row>
    <row r="365" spans="1:8" ht="18.75">
      <c r="A365" s="290"/>
      <c r="B365" s="163" t="s">
        <v>1003</v>
      </c>
      <c r="C365" s="750" t="s">
        <v>100</v>
      </c>
      <c r="D365" s="751" t="s">
        <v>65</v>
      </c>
      <c r="E365" s="751" t="s">
        <v>59</v>
      </c>
      <c r="F365" s="752" t="s">
        <v>1001</v>
      </c>
      <c r="G365" s="149"/>
      <c r="H365" s="304">
        <f>H366</f>
        <v>5.2</v>
      </c>
    </row>
    <row r="366" spans="1:8" ht="37.5">
      <c r="A366" s="290"/>
      <c r="B366" s="163" t="s">
        <v>141</v>
      </c>
      <c r="C366" s="750" t="s">
        <v>100</v>
      </c>
      <c r="D366" s="751" t="s">
        <v>65</v>
      </c>
      <c r="E366" s="751" t="s">
        <v>59</v>
      </c>
      <c r="F366" s="752" t="s">
        <v>1001</v>
      </c>
      <c r="G366" s="149" t="s">
        <v>142</v>
      </c>
      <c r="H366" s="304">
        <f>'прил12(ведом 21)'!M712</f>
        <v>5.2</v>
      </c>
    </row>
    <row r="367" spans="1:8" ht="97.5" customHeight="1">
      <c r="A367" s="290"/>
      <c r="B367" s="362" t="s">
        <v>590</v>
      </c>
      <c r="C367" s="307" t="s">
        <v>100</v>
      </c>
      <c r="D367" s="308" t="s">
        <v>65</v>
      </c>
      <c r="E367" s="308" t="s">
        <v>59</v>
      </c>
      <c r="F367" s="363" t="s">
        <v>591</v>
      </c>
      <c r="G367" s="310"/>
      <c r="H367" s="304">
        <f>H368</f>
        <v>52572.799999999996</v>
      </c>
    </row>
    <row r="368" spans="1:8" ht="37.5">
      <c r="A368" s="290"/>
      <c r="B368" s="362" t="s">
        <v>225</v>
      </c>
      <c r="C368" s="307" t="s">
        <v>100</v>
      </c>
      <c r="D368" s="308" t="s">
        <v>65</v>
      </c>
      <c r="E368" s="308" t="s">
        <v>59</v>
      </c>
      <c r="F368" s="363" t="s">
        <v>591</v>
      </c>
      <c r="G368" s="310" t="s">
        <v>226</v>
      </c>
      <c r="H368" s="304">
        <f>'прил12(ведом 21)'!M367</f>
        <v>52572.799999999996</v>
      </c>
    </row>
    <row r="369" spans="1:8" ht="37.5">
      <c r="A369" s="290"/>
      <c r="B369" s="303" t="s">
        <v>251</v>
      </c>
      <c r="C369" s="750" t="s">
        <v>100</v>
      </c>
      <c r="D369" s="751" t="s">
        <v>65</v>
      </c>
      <c r="E369" s="751" t="s">
        <v>84</v>
      </c>
      <c r="F369" s="752" t="s">
        <v>64</v>
      </c>
      <c r="G369" s="149"/>
      <c r="H369" s="304">
        <f>H370+H373+H376</f>
        <v>7591.7</v>
      </c>
    </row>
    <row r="370" spans="1:8" ht="75">
      <c r="A370" s="290"/>
      <c r="B370" s="303" t="s">
        <v>253</v>
      </c>
      <c r="C370" s="750" t="s">
        <v>100</v>
      </c>
      <c r="D370" s="751" t="s">
        <v>65</v>
      </c>
      <c r="E370" s="751" t="s">
        <v>84</v>
      </c>
      <c r="F370" s="752" t="s">
        <v>346</v>
      </c>
      <c r="G370" s="149"/>
      <c r="H370" s="304">
        <f>SUM(H371:H372)</f>
        <v>6084</v>
      </c>
    </row>
    <row r="371" spans="1:8" ht="93.75">
      <c r="A371" s="290"/>
      <c r="B371" s="303" t="s">
        <v>69</v>
      </c>
      <c r="C371" s="750" t="s">
        <v>100</v>
      </c>
      <c r="D371" s="751" t="s">
        <v>65</v>
      </c>
      <c r="E371" s="751" t="s">
        <v>84</v>
      </c>
      <c r="F371" s="752" t="s">
        <v>346</v>
      </c>
      <c r="G371" s="149" t="s">
        <v>70</v>
      </c>
      <c r="H371" s="304">
        <f>'прил12(ведом 21)'!M719</f>
        <v>5725.5</v>
      </c>
    </row>
    <row r="372" spans="1:8" ht="37.5">
      <c r="A372" s="290"/>
      <c r="B372" s="303" t="s">
        <v>75</v>
      </c>
      <c r="C372" s="364" t="s">
        <v>100</v>
      </c>
      <c r="D372" s="365" t="s">
        <v>65</v>
      </c>
      <c r="E372" s="365" t="s">
        <v>84</v>
      </c>
      <c r="F372" s="366" t="s">
        <v>346</v>
      </c>
      <c r="G372" s="149" t="s">
        <v>76</v>
      </c>
      <c r="H372" s="304">
        <f>'прил12(ведом 21)'!M720</f>
        <v>358.5</v>
      </c>
    </row>
    <row r="373" spans="1:8" ht="93.75">
      <c r="A373" s="290"/>
      <c r="B373" s="230" t="s">
        <v>789</v>
      </c>
      <c r="C373" s="750" t="s">
        <v>100</v>
      </c>
      <c r="D373" s="751" t="s">
        <v>65</v>
      </c>
      <c r="E373" s="751" t="s">
        <v>84</v>
      </c>
      <c r="F373" s="752" t="s">
        <v>347</v>
      </c>
      <c r="G373" s="149"/>
      <c r="H373" s="304">
        <f>SUM(H374:H375)</f>
        <v>636.69999999999993</v>
      </c>
    </row>
    <row r="374" spans="1:8" ht="93.75">
      <c r="A374" s="290"/>
      <c r="B374" s="303" t="s">
        <v>69</v>
      </c>
      <c r="C374" s="750" t="s">
        <v>100</v>
      </c>
      <c r="D374" s="751" t="s">
        <v>65</v>
      </c>
      <c r="E374" s="751" t="s">
        <v>84</v>
      </c>
      <c r="F374" s="752" t="s">
        <v>347</v>
      </c>
      <c r="G374" s="149" t="s">
        <v>70</v>
      </c>
      <c r="H374" s="304">
        <f>'прил12(ведом 21)'!M722</f>
        <v>607.29999999999995</v>
      </c>
    </row>
    <row r="375" spans="1:8" ht="37.5">
      <c r="A375" s="290"/>
      <c r="B375" s="303" t="s">
        <v>75</v>
      </c>
      <c r="C375" s="750" t="s">
        <v>100</v>
      </c>
      <c r="D375" s="751" t="s">
        <v>65</v>
      </c>
      <c r="E375" s="751" t="s">
        <v>84</v>
      </c>
      <c r="F375" s="752" t="s">
        <v>347</v>
      </c>
      <c r="G375" s="149" t="s">
        <v>76</v>
      </c>
      <c r="H375" s="304">
        <f>'прил12(ведом 21)'!M723</f>
        <v>29.4</v>
      </c>
    </row>
    <row r="376" spans="1:8" ht="246" customHeight="1">
      <c r="A376" s="290"/>
      <c r="B376" s="303" t="s">
        <v>254</v>
      </c>
      <c r="C376" s="750" t="s">
        <v>100</v>
      </c>
      <c r="D376" s="751" t="s">
        <v>65</v>
      </c>
      <c r="E376" s="751" t="s">
        <v>84</v>
      </c>
      <c r="F376" s="752" t="s">
        <v>348</v>
      </c>
      <c r="G376" s="149"/>
      <c r="H376" s="304">
        <f>H377+H378</f>
        <v>871</v>
      </c>
    </row>
    <row r="377" spans="1:8" ht="93.75">
      <c r="A377" s="290"/>
      <c r="B377" s="303" t="s">
        <v>69</v>
      </c>
      <c r="C377" s="750" t="s">
        <v>100</v>
      </c>
      <c r="D377" s="751" t="s">
        <v>65</v>
      </c>
      <c r="E377" s="751" t="s">
        <v>84</v>
      </c>
      <c r="F377" s="752" t="s">
        <v>348</v>
      </c>
      <c r="G377" s="149" t="s">
        <v>70</v>
      </c>
      <c r="H377" s="304">
        <f>'прил12(ведом 21)'!M725</f>
        <v>808.2</v>
      </c>
    </row>
    <row r="378" spans="1:8" ht="37.5">
      <c r="A378" s="290"/>
      <c r="B378" s="303" t="s">
        <v>75</v>
      </c>
      <c r="C378" s="750" t="s">
        <v>100</v>
      </c>
      <c r="D378" s="751" t="s">
        <v>65</v>
      </c>
      <c r="E378" s="751" t="s">
        <v>84</v>
      </c>
      <c r="F378" s="752" t="s">
        <v>348</v>
      </c>
      <c r="G378" s="149" t="s">
        <v>76</v>
      </c>
      <c r="H378" s="304">
        <f>'прил12(ведом 21)'!M726</f>
        <v>62.8</v>
      </c>
    </row>
    <row r="379" spans="1:8" ht="81.75" customHeight="1">
      <c r="A379" s="328"/>
      <c r="B379" s="317" t="s">
        <v>753</v>
      </c>
      <c r="C379" s="750" t="s">
        <v>100</v>
      </c>
      <c r="D379" s="751" t="s">
        <v>65</v>
      </c>
      <c r="E379" s="751" t="s">
        <v>72</v>
      </c>
      <c r="F379" s="752" t="s">
        <v>64</v>
      </c>
      <c r="G379" s="149"/>
      <c r="H379" s="304">
        <f>H380</f>
        <v>552</v>
      </c>
    </row>
    <row r="380" spans="1:8" ht="75">
      <c r="A380" s="328"/>
      <c r="B380" s="317" t="s">
        <v>746</v>
      </c>
      <c r="C380" s="750" t="s">
        <v>100</v>
      </c>
      <c r="D380" s="751" t="s">
        <v>65</v>
      </c>
      <c r="E380" s="751" t="s">
        <v>72</v>
      </c>
      <c r="F380" s="752" t="s">
        <v>433</v>
      </c>
      <c r="G380" s="149"/>
      <c r="H380" s="304">
        <f>H381</f>
        <v>552</v>
      </c>
    </row>
    <row r="381" spans="1:8" ht="23.25" customHeight="1">
      <c r="A381" s="328"/>
      <c r="B381" s="305" t="s">
        <v>141</v>
      </c>
      <c r="C381" s="750" t="s">
        <v>100</v>
      </c>
      <c r="D381" s="751" t="s">
        <v>65</v>
      </c>
      <c r="E381" s="751" t="s">
        <v>72</v>
      </c>
      <c r="F381" s="752" t="s">
        <v>433</v>
      </c>
      <c r="G381" s="149" t="s">
        <v>142</v>
      </c>
      <c r="H381" s="304">
        <f>'прил12(ведом 21)'!M180</f>
        <v>552</v>
      </c>
    </row>
    <row r="382" spans="1:8" ht="18.75">
      <c r="A382" s="290"/>
      <c r="B382" s="303"/>
      <c r="C382" s="751"/>
      <c r="D382" s="751"/>
      <c r="E382" s="751"/>
      <c r="F382" s="752"/>
      <c r="G382" s="149"/>
      <c r="H382" s="304"/>
    </row>
    <row r="383" spans="1:8" ht="75">
      <c r="A383" s="313">
        <v>9</v>
      </c>
      <c r="B383" s="326" t="s">
        <v>397</v>
      </c>
      <c r="C383" s="314" t="s">
        <v>125</v>
      </c>
      <c r="D383" s="314" t="s">
        <v>62</v>
      </c>
      <c r="E383" s="314" t="s">
        <v>63</v>
      </c>
      <c r="F383" s="315" t="s">
        <v>64</v>
      </c>
      <c r="G383" s="367"/>
      <c r="H383" s="301">
        <f>H384+H391</f>
        <v>17604.099999999999</v>
      </c>
    </row>
    <row r="384" spans="1:8" ht="37.5">
      <c r="A384" s="313"/>
      <c r="B384" s="303" t="s">
        <v>399</v>
      </c>
      <c r="C384" s="750" t="s">
        <v>125</v>
      </c>
      <c r="D384" s="751" t="s">
        <v>65</v>
      </c>
      <c r="E384" s="751" t="s">
        <v>63</v>
      </c>
      <c r="F384" s="752" t="s">
        <v>64</v>
      </c>
      <c r="G384" s="149"/>
      <c r="H384" s="304">
        <f>H385</f>
        <v>16440.5</v>
      </c>
    </row>
    <row r="385" spans="1:8" ht="56.25">
      <c r="A385" s="313"/>
      <c r="B385" s="163" t="s">
        <v>460</v>
      </c>
      <c r="C385" s="750" t="s">
        <v>125</v>
      </c>
      <c r="D385" s="751" t="s">
        <v>65</v>
      </c>
      <c r="E385" s="751" t="s">
        <v>57</v>
      </c>
      <c r="F385" s="752" t="s">
        <v>64</v>
      </c>
      <c r="G385" s="149"/>
      <c r="H385" s="304">
        <f>H389+H386</f>
        <v>16440.5</v>
      </c>
    </row>
    <row r="386" spans="1:8" ht="56.25">
      <c r="A386" s="313"/>
      <c r="B386" s="357" t="s">
        <v>763</v>
      </c>
      <c r="C386" s="307" t="s">
        <v>125</v>
      </c>
      <c r="D386" s="308" t="s">
        <v>65</v>
      </c>
      <c r="E386" s="308" t="s">
        <v>57</v>
      </c>
      <c r="F386" s="363" t="s">
        <v>762</v>
      </c>
      <c r="G386" s="569"/>
      <c r="H386" s="567">
        <f>H388+H387</f>
        <v>3808.9</v>
      </c>
    </row>
    <row r="387" spans="1:8" ht="37.5">
      <c r="A387" s="313"/>
      <c r="B387" s="815" t="s">
        <v>75</v>
      </c>
      <c r="C387" s="803" t="s">
        <v>125</v>
      </c>
      <c r="D387" s="789" t="s">
        <v>65</v>
      </c>
      <c r="E387" s="789" t="s">
        <v>57</v>
      </c>
      <c r="F387" s="804" t="s">
        <v>762</v>
      </c>
      <c r="G387" s="791" t="s">
        <v>76</v>
      </c>
      <c r="H387" s="567">
        <f>'прил12(ведом 21)'!M342</f>
        <v>3351.8</v>
      </c>
    </row>
    <row r="388" spans="1:8" ht="37.5">
      <c r="A388" s="313"/>
      <c r="B388" s="357" t="s">
        <v>225</v>
      </c>
      <c r="C388" s="307" t="s">
        <v>125</v>
      </c>
      <c r="D388" s="308" t="s">
        <v>65</v>
      </c>
      <c r="E388" s="308" t="s">
        <v>57</v>
      </c>
      <c r="F388" s="363" t="s">
        <v>762</v>
      </c>
      <c r="G388" s="568" t="s">
        <v>226</v>
      </c>
      <c r="H388" s="304">
        <f>'прил12(ведом 21)'!M343</f>
        <v>457.09999999999991</v>
      </c>
    </row>
    <row r="389" spans="1:8" ht="56.25">
      <c r="A389" s="313"/>
      <c r="B389" s="357" t="s">
        <v>1011</v>
      </c>
      <c r="C389" s="307" t="s">
        <v>125</v>
      </c>
      <c r="D389" s="308" t="s">
        <v>65</v>
      </c>
      <c r="E389" s="308" t="s">
        <v>57</v>
      </c>
      <c r="F389" s="363" t="s">
        <v>589</v>
      </c>
      <c r="G389" s="310"/>
      <c r="H389" s="304">
        <f>SUM(H390:H390)</f>
        <v>12631.6</v>
      </c>
    </row>
    <row r="390" spans="1:8" ht="37.5">
      <c r="A390" s="565"/>
      <c r="B390" s="557" t="s">
        <v>225</v>
      </c>
      <c r="C390" s="413" t="s">
        <v>125</v>
      </c>
      <c r="D390" s="414" t="s">
        <v>65</v>
      </c>
      <c r="E390" s="414" t="s">
        <v>57</v>
      </c>
      <c r="F390" s="566" t="s">
        <v>589</v>
      </c>
      <c r="G390" s="556" t="s">
        <v>226</v>
      </c>
      <c r="H390" s="567">
        <f>'прил12(ведом 21)'!M345</f>
        <v>12631.6</v>
      </c>
    </row>
    <row r="391" spans="1:8" ht="56.25">
      <c r="A391" s="565"/>
      <c r="B391" s="163" t="s">
        <v>976</v>
      </c>
      <c r="C391" s="750" t="s">
        <v>125</v>
      </c>
      <c r="D391" s="751" t="s">
        <v>54</v>
      </c>
      <c r="E391" s="751" t="s">
        <v>63</v>
      </c>
      <c r="F391" s="752" t="s">
        <v>64</v>
      </c>
      <c r="G391" s="149"/>
      <c r="H391" s="567">
        <f>H392</f>
        <v>1163.5999999999999</v>
      </c>
    </row>
    <row r="392" spans="1:8" ht="37.5">
      <c r="A392" s="565"/>
      <c r="B392" s="163" t="s">
        <v>977</v>
      </c>
      <c r="C392" s="750" t="s">
        <v>125</v>
      </c>
      <c r="D392" s="751" t="s">
        <v>54</v>
      </c>
      <c r="E392" s="751" t="s">
        <v>57</v>
      </c>
      <c r="F392" s="752" t="s">
        <v>64</v>
      </c>
      <c r="G392" s="149"/>
      <c r="H392" s="567">
        <f>H393</f>
        <v>1163.5999999999999</v>
      </c>
    </row>
    <row r="393" spans="1:8" ht="37.5">
      <c r="A393" s="565"/>
      <c r="B393" s="163" t="s">
        <v>978</v>
      </c>
      <c r="C393" s="750" t="s">
        <v>125</v>
      </c>
      <c r="D393" s="751" t="s">
        <v>54</v>
      </c>
      <c r="E393" s="751" t="s">
        <v>57</v>
      </c>
      <c r="F393" s="752" t="s">
        <v>979</v>
      </c>
      <c r="G393" s="149"/>
      <c r="H393" s="567">
        <f>H394</f>
        <v>1163.5999999999999</v>
      </c>
    </row>
    <row r="394" spans="1:8" ht="37.5">
      <c r="A394" s="565"/>
      <c r="B394" s="163" t="s">
        <v>75</v>
      </c>
      <c r="C394" s="750" t="s">
        <v>125</v>
      </c>
      <c r="D394" s="751" t="s">
        <v>54</v>
      </c>
      <c r="E394" s="751" t="s">
        <v>57</v>
      </c>
      <c r="F394" s="752" t="s">
        <v>979</v>
      </c>
      <c r="G394" s="149" t="s">
        <v>76</v>
      </c>
      <c r="H394" s="567">
        <f>'прил12(ведом 21)'!M173</f>
        <v>1163.5999999999999</v>
      </c>
    </row>
    <row r="395" spans="1:8" ht="18.75">
      <c r="A395" s="565"/>
      <c r="B395" s="163"/>
      <c r="C395" s="751"/>
      <c r="D395" s="751"/>
      <c r="E395" s="751"/>
      <c r="F395" s="752"/>
      <c r="G395" s="149"/>
      <c r="H395" s="567"/>
    </row>
    <row r="396" spans="1:8" s="302" customFormat="1" ht="56.25">
      <c r="A396" s="313">
        <v>10</v>
      </c>
      <c r="B396" s="326" t="s">
        <v>115</v>
      </c>
      <c r="C396" s="314" t="s">
        <v>88</v>
      </c>
      <c r="D396" s="314" t="s">
        <v>62</v>
      </c>
      <c r="E396" s="314" t="s">
        <v>63</v>
      </c>
      <c r="F396" s="315" t="s">
        <v>64</v>
      </c>
      <c r="G396" s="367"/>
      <c r="H396" s="301">
        <f>H397</f>
        <v>11255.300000000001</v>
      </c>
    </row>
    <row r="397" spans="1:8" ht="27" customHeight="1">
      <c r="A397" s="290"/>
      <c r="B397" s="303" t="s">
        <v>404</v>
      </c>
      <c r="C397" s="750" t="s">
        <v>88</v>
      </c>
      <c r="D397" s="751" t="s">
        <v>65</v>
      </c>
      <c r="E397" s="751" t="s">
        <v>63</v>
      </c>
      <c r="F397" s="752" t="s">
        <v>64</v>
      </c>
      <c r="G397" s="322"/>
      <c r="H397" s="304">
        <f>H398+H401</f>
        <v>11255.300000000001</v>
      </c>
    </row>
    <row r="398" spans="1:8" ht="37.5">
      <c r="A398" s="290"/>
      <c r="B398" s="303" t="s">
        <v>116</v>
      </c>
      <c r="C398" s="750" t="s">
        <v>88</v>
      </c>
      <c r="D398" s="751" t="s">
        <v>65</v>
      </c>
      <c r="E398" s="751" t="s">
        <v>57</v>
      </c>
      <c r="F398" s="752" t="s">
        <v>64</v>
      </c>
      <c r="G398" s="322"/>
      <c r="H398" s="304">
        <f>H399</f>
        <v>11070.6</v>
      </c>
    </row>
    <row r="399" spans="1:8" ht="56.25">
      <c r="A399" s="290"/>
      <c r="B399" s="195" t="s">
        <v>582</v>
      </c>
      <c r="C399" s="750" t="s">
        <v>88</v>
      </c>
      <c r="D399" s="751" t="s">
        <v>65</v>
      </c>
      <c r="E399" s="751" t="s">
        <v>57</v>
      </c>
      <c r="F399" s="752" t="s">
        <v>82</v>
      </c>
      <c r="G399" s="149"/>
      <c r="H399" s="304">
        <f>H400</f>
        <v>11070.6</v>
      </c>
    </row>
    <row r="400" spans="1:8" ht="18.75">
      <c r="A400" s="290"/>
      <c r="B400" s="303" t="s">
        <v>77</v>
      </c>
      <c r="C400" s="750" t="s">
        <v>88</v>
      </c>
      <c r="D400" s="751" t="s">
        <v>65</v>
      </c>
      <c r="E400" s="751" t="s">
        <v>57</v>
      </c>
      <c r="F400" s="752" t="s">
        <v>82</v>
      </c>
      <c r="G400" s="149" t="s">
        <v>78</v>
      </c>
      <c r="H400" s="304">
        <f>'прил12(ведом 21)'!M132</f>
        <v>11070.6</v>
      </c>
    </row>
    <row r="401" spans="1:8" ht="56.25">
      <c r="A401" s="290"/>
      <c r="B401" s="303" t="s">
        <v>117</v>
      </c>
      <c r="C401" s="750" t="s">
        <v>88</v>
      </c>
      <c r="D401" s="751" t="s">
        <v>65</v>
      </c>
      <c r="E401" s="751" t="s">
        <v>59</v>
      </c>
      <c r="F401" s="752" t="s">
        <v>64</v>
      </c>
      <c r="G401" s="149"/>
      <c r="H401" s="304">
        <f>H402</f>
        <v>184.70000000000002</v>
      </c>
    </row>
    <row r="402" spans="1:8" ht="18.75">
      <c r="A402" s="290"/>
      <c r="B402" s="163" t="s">
        <v>687</v>
      </c>
      <c r="C402" s="750" t="s">
        <v>88</v>
      </c>
      <c r="D402" s="751" t="s">
        <v>65</v>
      </c>
      <c r="E402" s="751" t="s">
        <v>59</v>
      </c>
      <c r="F402" s="752" t="s">
        <v>118</v>
      </c>
      <c r="G402" s="149"/>
      <c r="H402" s="304">
        <f>H403</f>
        <v>184.70000000000002</v>
      </c>
    </row>
    <row r="403" spans="1:8" ht="37.5">
      <c r="A403" s="290"/>
      <c r="B403" s="303" t="s">
        <v>75</v>
      </c>
      <c r="C403" s="750" t="s">
        <v>88</v>
      </c>
      <c r="D403" s="751" t="s">
        <v>65</v>
      </c>
      <c r="E403" s="751" t="s">
        <v>59</v>
      </c>
      <c r="F403" s="752" t="s">
        <v>118</v>
      </c>
      <c r="G403" s="149" t="s">
        <v>76</v>
      </c>
      <c r="H403" s="304">
        <f>'прил12(ведом 21)'!M135</f>
        <v>184.70000000000002</v>
      </c>
    </row>
    <row r="404" spans="1:8" ht="18.75">
      <c r="A404" s="290"/>
      <c r="B404" s="312"/>
      <c r="C404" s="745"/>
      <c r="D404" s="745"/>
      <c r="E404" s="745"/>
      <c r="F404" s="746"/>
      <c r="G404" s="288"/>
      <c r="H404" s="304"/>
    </row>
    <row r="405" spans="1:8" s="302" customFormat="1" ht="56.25">
      <c r="A405" s="313">
        <v>11</v>
      </c>
      <c r="B405" s="326" t="s">
        <v>120</v>
      </c>
      <c r="C405" s="314" t="s">
        <v>121</v>
      </c>
      <c r="D405" s="314" t="s">
        <v>62</v>
      </c>
      <c r="E405" s="314" t="s">
        <v>63</v>
      </c>
      <c r="F405" s="315" t="s">
        <v>64</v>
      </c>
      <c r="G405" s="300"/>
      <c r="H405" s="301">
        <f>H406</f>
        <v>9802.3829999999998</v>
      </c>
    </row>
    <row r="406" spans="1:8" s="302" customFormat="1" ht="27.75" customHeight="1">
      <c r="A406" s="290"/>
      <c r="B406" s="303" t="s">
        <v>404</v>
      </c>
      <c r="C406" s="750" t="s">
        <v>121</v>
      </c>
      <c r="D406" s="751" t="s">
        <v>65</v>
      </c>
      <c r="E406" s="751" t="s">
        <v>63</v>
      </c>
      <c r="F406" s="752" t="s">
        <v>64</v>
      </c>
      <c r="G406" s="149"/>
      <c r="H406" s="304">
        <f>H407</f>
        <v>9802.3829999999998</v>
      </c>
    </row>
    <row r="407" spans="1:8" s="302" customFormat="1" ht="75">
      <c r="A407" s="290"/>
      <c r="B407" s="303" t="s">
        <v>122</v>
      </c>
      <c r="C407" s="750" t="s">
        <v>121</v>
      </c>
      <c r="D407" s="751" t="s">
        <v>65</v>
      </c>
      <c r="E407" s="751" t="s">
        <v>57</v>
      </c>
      <c r="F407" s="752" t="s">
        <v>64</v>
      </c>
      <c r="G407" s="149"/>
      <c r="H407" s="304">
        <f>H408</f>
        <v>9802.3829999999998</v>
      </c>
    </row>
    <row r="408" spans="1:8" s="302" customFormat="1" ht="75">
      <c r="A408" s="290"/>
      <c r="B408" s="316" t="s">
        <v>123</v>
      </c>
      <c r="C408" s="750" t="s">
        <v>121</v>
      </c>
      <c r="D408" s="751" t="s">
        <v>65</v>
      </c>
      <c r="E408" s="751" t="s">
        <v>57</v>
      </c>
      <c r="F408" s="752" t="s">
        <v>124</v>
      </c>
      <c r="G408" s="149"/>
      <c r="H408" s="304">
        <f>H409</f>
        <v>9802.3829999999998</v>
      </c>
    </row>
    <row r="409" spans="1:8" ht="37.5">
      <c r="A409" s="290"/>
      <c r="B409" s="303" t="s">
        <v>75</v>
      </c>
      <c r="C409" s="750" t="s">
        <v>121</v>
      </c>
      <c r="D409" s="751" t="s">
        <v>65</v>
      </c>
      <c r="E409" s="751" t="s">
        <v>57</v>
      </c>
      <c r="F409" s="752" t="s">
        <v>124</v>
      </c>
      <c r="G409" s="149" t="s">
        <v>76</v>
      </c>
      <c r="H409" s="304">
        <f>'прил12(ведом 21)'!M141</f>
        <v>9802.3829999999998</v>
      </c>
    </row>
    <row r="410" spans="1:8" ht="18.75">
      <c r="A410" s="290"/>
      <c r="B410" s="312"/>
      <c r="C410" s="745"/>
      <c r="D410" s="745"/>
      <c r="E410" s="745"/>
      <c r="F410" s="746"/>
      <c r="G410" s="288"/>
      <c r="H410" s="304"/>
    </row>
    <row r="411" spans="1:8" s="302" customFormat="1" ht="75">
      <c r="A411" s="313">
        <v>12</v>
      </c>
      <c r="B411" s="326" t="s">
        <v>128</v>
      </c>
      <c r="C411" s="314" t="s">
        <v>92</v>
      </c>
      <c r="D411" s="314" t="s">
        <v>62</v>
      </c>
      <c r="E411" s="314" t="s">
        <v>63</v>
      </c>
      <c r="F411" s="315" t="s">
        <v>64</v>
      </c>
      <c r="G411" s="300"/>
      <c r="H411" s="301">
        <f>H412+H416</f>
        <v>1025.0999999999999</v>
      </c>
    </row>
    <row r="412" spans="1:8" s="302" customFormat="1" ht="37.5">
      <c r="A412" s="290"/>
      <c r="B412" s="327" t="s">
        <v>129</v>
      </c>
      <c r="C412" s="750" t="s">
        <v>92</v>
      </c>
      <c r="D412" s="751" t="s">
        <v>65</v>
      </c>
      <c r="E412" s="751" t="s">
        <v>63</v>
      </c>
      <c r="F412" s="752" t="s">
        <v>64</v>
      </c>
      <c r="G412" s="149"/>
      <c r="H412" s="304">
        <f>H413</f>
        <v>310</v>
      </c>
    </row>
    <row r="413" spans="1:8" s="302" customFormat="1" ht="37.5">
      <c r="A413" s="290"/>
      <c r="B413" s="303" t="s">
        <v>130</v>
      </c>
      <c r="C413" s="750" t="s">
        <v>92</v>
      </c>
      <c r="D413" s="751" t="s">
        <v>65</v>
      </c>
      <c r="E413" s="751" t="s">
        <v>57</v>
      </c>
      <c r="F413" s="752" t="s">
        <v>64</v>
      </c>
      <c r="G413" s="149"/>
      <c r="H413" s="304">
        <f>H414</f>
        <v>310</v>
      </c>
    </row>
    <row r="414" spans="1:8" s="302" customFormat="1" ht="37.5">
      <c r="A414" s="290"/>
      <c r="B414" s="327" t="s">
        <v>131</v>
      </c>
      <c r="C414" s="750" t="s">
        <v>92</v>
      </c>
      <c r="D414" s="751" t="s">
        <v>65</v>
      </c>
      <c r="E414" s="751" t="s">
        <v>57</v>
      </c>
      <c r="F414" s="752" t="s">
        <v>132</v>
      </c>
      <c r="G414" s="149"/>
      <c r="H414" s="304">
        <f>SUM(H415:H415)</f>
        <v>310</v>
      </c>
    </row>
    <row r="415" spans="1:8" s="302" customFormat="1" ht="37.5">
      <c r="A415" s="290"/>
      <c r="B415" s="303" t="s">
        <v>75</v>
      </c>
      <c r="C415" s="750" t="s">
        <v>92</v>
      </c>
      <c r="D415" s="751" t="s">
        <v>65</v>
      </c>
      <c r="E415" s="751" t="s">
        <v>57</v>
      </c>
      <c r="F415" s="752" t="s">
        <v>132</v>
      </c>
      <c r="G415" s="149" t="s">
        <v>76</v>
      </c>
      <c r="H415" s="304">
        <f>'прил12(ведом 21)'!M147</f>
        <v>310</v>
      </c>
    </row>
    <row r="416" spans="1:8" s="302" customFormat="1" ht="19.149999999999999" customHeight="1">
      <c r="A416" s="290"/>
      <c r="B416" s="327" t="s">
        <v>133</v>
      </c>
      <c r="C416" s="750" t="s">
        <v>92</v>
      </c>
      <c r="D416" s="751" t="s">
        <v>110</v>
      </c>
      <c r="E416" s="751" t="s">
        <v>63</v>
      </c>
      <c r="F416" s="752" t="s">
        <v>64</v>
      </c>
      <c r="G416" s="149"/>
      <c r="H416" s="304">
        <f>H417</f>
        <v>715.1</v>
      </c>
    </row>
    <row r="417" spans="1:8" s="302" customFormat="1" ht="37.5">
      <c r="A417" s="290"/>
      <c r="B417" s="327" t="s">
        <v>134</v>
      </c>
      <c r="C417" s="750" t="s">
        <v>92</v>
      </c>
      <c r="D417" s="751" t="s">
        <v>110</v>
      </c>
      <c r="E417" s="751" t="s">
        <v>57</v>
      </c>
      <c r="F417" s="752" t="s">
        <v>64</v>
      </c>
      <c r="G417" s="149"/>
      <c r="H417" s="304">
        <f>H418</f>
        <v>715.1</v>
      </c>
    </row>
    <row r="418" spans="1:8" s="302" customFormat="1" ht="75">
      <c r="A418" s="290"/>
      <c r="B418" s="327" t="s">
        <v>135</v>
      </c>
      <c r="C418" s="750" t="s">
        <v>92</v>
      </c>
      <c r="D418" s="751" t="s">
        <v>110</v>
      </c>
      <c r="E418" s="751" t="s">
        <v>57</v>
      </c>
      <c r="F418" s="752" t="s">
        <v>136</v>
      </c>
      <c r="G418" s="149"/>
      <c r="H418" s="304">
        <f>H419</f>
        <v>715.1</v>
      </c>
    </row>
    <row r="419" spans="1:8" ht="37.5">
      <c r="A419" s="290"/>
      <c r="B419" s="303" t="s">
        <v>75</v>
      </c>
      <c r="C419" s="750" t="s">
        <v>92</v>
      </c>
      <c r="D419" s="751" t="s">
        <v>110</v>
      </c>
      <c r="E419" s="751" t="s">
        <v>57</v>
      </c>
      <c r="F419" s="752" t="s">
        <v>136</v>
      </c>
      <c r="G419" s="149" t="s">
        <v>76</v>
      </c>
      <c r="H419" s="304">
        <f>'прил12(ведом 21)'!M151</f>
        <v>715.1</v>
      </c>
    </row>
    <row r="420" spans="1:8" ht="18.75">
      <c r="A420" s="290"/>
      <c r="B420" s="312"/>
      <c r="C420" s="745"/>
      <c r="D420" s="745"/>
      <c r="E420" s="745"/>
      <c r="F420" s="746"/>
      <c r="G420" s="288"/>
      <c r="H420" s="304"/>
    </row>
    <row r="421" spans="1:8" s="302" customFormat="1" ht="59.25" customHeight="1">
      <c r="A421" s="313">
        <v>13</v>
      </c>
      <c r="B421" s="326" t="s">
        <v>137</v>
      </c>
      <c r="C421" s="314" t="s">
        <v>109</v>
      </c>
      <c r="D421" s="314" t="s">
        <v>62</v>
      </c>
      <c r="E421" s="314" t="s">
        <v>63</v>
      </c>
      <c r="F421" s="315" t="s">
        <v>64</v>
      </c>
      <c r="G421" s="300"/>
      <c r="H421" s="301">
        <f>H422</f>
        <v>891.2</v>
      </c>
    </row>
    <row r="422" spans="1:8" s="302" customFormat="1" ht="31.5" customHeight="1">
      <c r="A422" s="290"/>
      <c r="B422" s="303" t="s">
        <v>404</v>
      </c>
      <c r="C422" s="750" t="s">
        <v>109</v>
      </c>
      <c r="D422" s="751" t="s">
        <v>65</v>
      </c>
      <c r="E422" s="751" t="s">
        <v>63</v>
      </c>
      <c r="F422" s="752" t="s">
        <v>64</v>
      </c>
      <c r="G422" s="149"/>
      <c r="H422" s="304">
        <f>H423</f>
        <v>891.2</v>
      </c>
    </row>
    <row r="423" spans="1:8" s="302" customFormat="1" ht="56.25">
      <c r="A423" s="290"/>
      <c r="B423" s="327" t="s">
        <v>360</v>
      </c>
      <c r="C423" s="750" t="s">
        <v>109</v>
      </c>
      <c r="D423" s="751" t="s">
        <v>65</v>
      </c>
      <c r="E423" s="751" t="s">
        <v>57</v>
      </c>
      <c r="F423" s="752" t="s">
        <v>64</v>
      </c>
      <c r="G423" s="149"/>
      <c r="H423" s="304">
        <f>H424+H426</f>
        <v>891.2</v>
      </c>
    </row>
    <row r="424" spans="1:8" s="302" customFormat="1" ht="56.25">
      <c r="A424" s="290"/>
      <c r="B424" s="327" t="s">
        <v>138</v>
      </c>
      <c r="C424" s="750" t="s">
        <v>109</v>
      </c>
      <c r="D424" s="751" t="s">
        <v>65</v>
      </c>
      <c r="E424" s="751" t="s">
        <v>57</v>
      </c>
      <c r="F424" s="752" t="s">
        <v>139</v>
      </c>
      <c r="G424" s="149"/>
      <c r="H424" s="304">
        <f>H425</f>
        <v>112.2</v>
      </c>
    </row>
    <row r="425" spans="1:8" ht="37.5">
      <c r="A425" s="290"/>
      <c r="B425" s="303" t="s">
        <v>75</v>
      </c>
      <c r="C425" s="750" t="s">
        <v>109</v>
      </c>
      <c r="D425" s="751" t="s">
        <v>65</v>
      </c>
      <c r="E425" s="751" t="s">
        <v>57</v>
      </c>
      <c r="F425" s="752" t="s">
        <v>139</v>
      </c>
      <c r="G425" s="149" t="s">
        <v>76</v>
      </c>
      <c r="H425" s="304">
        <f>'прил12(ведом 21)'!M156</f>
        <v>112.2</v>
      </c>
    </row>
    <row r="426" spans="1:8" ht="56.25">
      <c r="A426" s="290"/>
      <c r="B426" s="163" t="s">
        <v>497</v>
      </c>
      <c r="C426" s="750" t="s">
        <v>109</v>
      </c>
      <c r="D426" s="751" t="s">
        <v>65</v>
      </c>
      <c r="E426" s="751" t="s">
        <v>57</v>
      </c>
      <c r="F426" s="752" t="s">
        <v>496</v>
      </c>
      <c r="G426" s="149"/>
      <c r="H426" s="304">
        <f>H427</f>
        <v>779</v>
      </c>
    </row>
    <row r="427" spans="1:8" ht="37.5">
      <c r="A427" s="290"/>
      <c r="B427" s="163" t="s">
        <v>75</v>
      </c>
      <c r="C427" s="750" t="s">
        <v>109</v>
      </c>
      <c r="D427" s="751" t="s">
        <v>65</v>
      </c>
      <c r="E427" s="751" t="s">
        <v>57</v>
      </c>
      <c r="F427" s="752" t="s">
        <v>496</v>
      </c>
      <c r="G427" s="149" t="s">
        <v>76</v>
      </c>
      <c r="H427" s="304">
        <f>'прил12(ведом 21)'!M158</f>
        <v>779</v>
      </c>
    </row>
    <row r="428" spans="1:8" s="302" customFormat="1" ht="18.75">
      <c r="A428" s="290"/>
      <c r="B428" s="305"/>
      <c r="C428" s="745"/>
      <c r="D428" s="745"/>
      <c r="E428" s="745"/>
      <c r="F428" s="746"/>
      <c r="G428" s="288"/>
      <c r="H428" s="304"/>
    </row>
    <row r="429" spans="1:8" s="302" customFormat="1" ht="75">
      <c r="A429" s="313">
        <v>14</v>
      </c>
      <c r="B429" s="326" t="s">
        <v>93</v>
      </c>
      <c r="C429" s="314" t="s">
        <v>94</v>
      </c>
      <c r="D429" s="314" t="s">
        <v>62</v>
      </c>
      <c r="E429" s="314" t="s">
        <v>63</v>
      </c>
      <c r="F429" s="315" t="s">
        <v>64</v>
      </c>
      <c r="G429" s="300"/>
      <c r="H429" s="301">
        <f>H430</f>
        <v>3278.5999999999995</v>
      </c>
    </row>
    <row r="430" spans="1:8" ht="19.5" customHeight="1">
      <c r="A430" s="290"/>
      <c r="B430" s="303" t="s">
        <v>404</v>
      </c>
      <c r="C430" s="750" t="s">
        <v>94</v>
      </c>
      <c r="D430" s="751" t="s">
        <v>65</v>
      </c>
      <c r="E430" s="751" t="s">
        <v>63</v>
      </c>
      <c r="F430" s="752" t="s">
        <v>64</v>
      </c>
      <c r="G430" s="149"/>
      <c r="H430" s="304">
        <f>H431</f>
        <v>3278.5999999999995</v>
      </c>
    </row>
    <row r="431" spans="1:8" ht="37.5">
      <c r="A431" s="290"/>
      <c r="B431" s="317" t="s">
        <v>306</v>
      </c>
      <c r="C431" s="750" t="s">
        <v>94</v>
      </c>
      <c r="D431" s="751" t="s">
        <v>65</v>
      </c>
      <c r="E431" s="751" t="s">
        <v>57</v>
      </c>
      <c r="F431" s="752" t="s">
        <v>64</v>
      </c>
      <c r="G431" s="149"/>
      <c r="H431" s="304">
        <f>H432</f>
        <v>3278.5999999999995</v>
      </c>
    </row>
    <row r="432" spans="1:8" ht="37.5">
      <c r="A432" s="290"/>
      <c r="B432" s="317" t="s">
        <v>95</v>
      </c>
      <c r="C432" s="750" t="s">
        <v>94</v>
      </c>
      <c r="D432" s="751" t="s">
        <v>65</v>
      </c>
      <c r="E432" s="751" t="s">
        <v>57</v>
      </c>
      <c r="F432" s="752" t="s">
        <v>96</v>
      </c>
      <c r="G432" s="149"/>
      <c r="H432" s="304">
        <f>H433</f>
        <v>3278.5999999999995</v>
      </c>
    </row>
    <row r="433" spans="1:8" ht="40.5" customHeight="1">
      <c r="A433" s="290"/>
      <c r="B433" s="305" t="s">
        <v>97</v>
      </c>
      <c r="C433" s="750" t="s">
        <v>94</v>
      </c>
      <c r="D433" s="751" t="s">
        <v>65</v>
      </c>
      <c r="E433" s="751" t="s">
        <v>57</v>
      </c>
      <c r="F433" s="752" t="s">
        <v>96</v>
      </c>
      <c r="G433" s="149" t="s">
        <v>98</v>
      </c>
      <c r="H433" s="304">
        <f>'прил12(ведом 21)'!M62+'прил12(ведом 21)'!M195</f>
        <v>3278.5999999999995</v>
      </c>
    </row>
    <row r="434" spans="1:8" ht="18.75">
      <c r="A434" s="290"/>
      <c r="B434" s="305"/>
      <c r="C434" s="745"/>
      <c r="D434" s="745"/>
      <c r="E434" s="745"/>
      <c r="F434" s="746"/>
      <c r="G434" s="288"/>
      <c r="H434" s="304"/>
    </row>
    <row r="435" spans="1:8" s="302" customFormat="1" ht="56.25">
      <c r="A435" s="313">
        <v>15</v>
      </c>
      <c r="B435" s="326" t="s">
        <v>60</v>
      </c>
      <c r="C435" s="314" t="s">
        <v>61</v>
      </c>
      <c r="D435" s="314" t="s">
        <v>62</v>
      </c>
      <c r="E435" s="314" t="s">
        <v>63</v>
      </c>
      <c r="F435" s="315" t="s">
        <v>64</v>
      </c>
      <c r="G435" s="300"/>
      <c r="H435" s="301">
        <f>H436</f>
        <v>93794.831000000006</v>
      </c>
    </row>
    <row r="436" spans="1:8" s="302" customFormat="1" ht="30" customHeight="1">
      <c r="A436" s="290"/>
      <c r="B436" s="303" t="s">
        <v>404</v>
      </c>
      <c r="C436" s="750" t="s">
        <v>61</v>
      </c>
      <c r="D436" s="751" t="s">
        <v>65</v>
      </c>
      <c r="E436" s="751" t="s">
        <v>63</v>
      </c>
      <c r="F436" s="752" t="s">
        <v>64</v>
      </c>
      <c r="G436" s="149"/>
      <c r="H436" s="304">
        <f>H437+H440+H461+H467+H472+H477+H483+H489+H492+H480+H495</f>
        <v>93794.831000000006</v>
      </c>
    </row>
    <row r="437" spans="1:8" s="302" customFormat="1" ht="37.5">
      <c r="A437" s="290"/>
      <c r="B437" s="303" t="s">
        <v>66</v>
      </c>
      <c r="C437" s="750" t="s">
        <v>61</v>
      </c>
      <c r="D437" s="751" t="s">
        <v>65</v>
      </c>
      <c r="E437" s="751" t="s">
        <v>57</v>
      </c>
      <c r="F437" s="752" t="s">
        <v>64</v>
      </c>
      <c r="G437" s="149"/>
      <c r="H437" s="304">
        <f>H438</f>
        <v>2067.1</v>
      </c>
    </row>
    <row r="438" spans="1:8" s="302" customFormat="1" ht="37.5">
      <c r="A438" s="290"/>
      <c r="B438" s="303" t="s">
        <v>67</v>
      </c>
      <c r="C438" s="750" t="s">
        <v>61</v>
      </c>
      <c r="D438" s="751" t="s">
        <v>65</v>
      </c>
      <c r="E438" s="751" t="s">
        <v>57</v>
      </c>
      <c r="F438" s="752" t="s">
        <v>68</v>
      </c>
      <c r="G438" s="149"/>
      <c r="H438" s="304">
        <f>H439</f>
        <v>2067.1</v>
      </c>
    </row>
    <row r="439" spans="1:8" s="302" customFormat="1" ht="93.75">
      <c r="A439" s="290"/>
      <c r="B439" s="303" t="s">
        <v>69</v>
      </c>
      <c r="C439" s="750" t="s">
        <v>61</v>
      </c>
      <c r="D439" s="751" t="s">
        <v>65</v>
      </c>
      <c r="E439" s="751" t="s">
        <v>57</v>
      </c>
      <c r="F439" s="752" t="s">
        <v>68</v>
      </c>
      <c r="G439" s="149" t="s">
        <v>70</v>
      </c>
      <c r="H439" s="304">
        <f>'прил12(ведом 21)'!M22</f>
        <v>2067.1</v>
      </c>
    </row>
    <row r="440" spans="1:8" s="302" customFormat="1" ht="37.5">
      <c r="A440" s="290"/>
      <c r="B440" s="303" t="s">
        <v>74</v>
      </c>
      <c r="C440" s="750" t="s">
        <v>61</v>
      </c>
      <c r="D440" s="751" t="s">
        <v>65</v>
      </c>
      <c r="E440" s="751" t="s">
        <v>59</v>
      </c>
      <c r="F440" s="752" t="s">
        <v>64</v>
      </c>
      <c r="G440" s="149"/>
      <c r="H440" s="304">
        <f>H441+H449+H451+H453+H456+H459+H447+H446</f>
        <v>73128.630999999994</v>
      </c>
    </row>
    <row r="441" spans="1:8" s="302" customFormat="1" ht="37.5">
      <c r="A441" s="290"/>
      <c r="B441" s="303" t="s">
        <v>67</v>
      </c>
      <c r="C441" s="750" t="s">
        <v>61</v>
      </c>
      <c r="D441" s="751" t="s">
        <v>65</v>
      </c>
      <c r="E441" s="751" t="s">
        <v>59</v>
      </c>
      <c r="F441" s="752" t="s">
        <v>68</v>
      </c>
      <c r="G441" s="149"/>
      <c r="H441" s="304">
        <f>SUM(H442:H444)</f>
        <v>68188.130999999994</v>
      </c>
    </row>
    <row r="442" spans="1:8" s="302" customFormat="1" ht="93.75">
      <c r="A442" s="290"/>
      <c r="B442" s="303" t="s">
        <v>69</v>
      </c>
      <c r="C442" s="750" t="s">
        <v>61</v>
      </c>
      <c r="D442" s="751" t="s">
        <v>65</v>
      </c>
      <c r="E442" s="751" t="s">
        <v>59</v>
      </c>
      <c r="F442" s="752" t="s">
        <v>68</v>
      </c>
      <c r="G442" s="149" t="s">
        <v>70</v>
      </c>
      <c r="H442" s="304">
        <f>'прил12(ведом 21)'!M28</f>
        <v>59825.8</v>
      </c>
    </row>
    <row r="443" spans="1:8" ht="37.5">
      <c r="A443" s="290"/>
      <c r="B443" s="303" t="s">
        <v>75</v>
      </c>
      <c r="C443" s="750" t="s">
        <v>61</v>
      </c>
      <c r="D443" s="751" t="s">
        <v>65</v>
      </c>
      <c r="E443" s="751" t="s">
        <v>59</v>
      </c>
      <c r="F443" s="752" t="s">
        <v>68</v>
      </c>
      <c r="G443" s="149" t="s">
        <v>76</v>
      </c>
      <c r="H443" s="304">
        <f>'прил12(ведом 21)'!M29</f>
        <v>8270.4310000000005</v>
      </c>
    </row>
    <row r="444" spans="1:8" s="302" customFormat="1" ht="18.75">
      <c r="A444" s="290"/>
      <c r="B444" s="303" t="s">
        <v>77</v>
      </c>
      <c r="C444" s="750" t="s">
        <v>61</v>
      </c>
      <c r="D444" s="751" t="s">
        <v>65</v>
      </c>
      <c r="E444" s="751" t="s">
        <v>59</v>
      </c>
      <c r="F444" s="752" t="s">
        <v>68</v>
      </c>
      <c r="G444" s="149" t="s">
        <v>78</v>
      </c>
      <c r="H444" s="304">
        <f>'прил12(ведом 21)'!M30</f>
        <v>91.9</v>
      </c>
    </row>
    <row r="445" spans="1:8" s="302" customFormat="1" ht="18.75">
      <c r="A445" s="290"/>
      <c r="B445" s="163" t="s">
        <v>1022</v>
      </c>
      <c r="C445" s="800" t="s">
        <v>61</v>
      </c>
      <c r="D445" s="801" t="s">
        <v>65</v>
      </c>
      <c r="E445" s="801" t="s">
        <v>59</v>
      </c>
      <c r="F445" s="802" t="s">
        <v>1021</v>
      </c>
      <c r="G445" s="149"/>
      <c r="H445" s="304">
        <f>H446</f>
        <v>80.5</v>
      </c>
    </row>
    <row r="446" spans="1:8" s="302" customFormat="1" ht="37.5">
      <c r="A446" s="290"/>
      <c r="B446" s="163" t="s">
        <v>75</v>
      </c>
      <c r="C446" s="800" t="s">
        <v>61</v>
      </c>
      <c r="D446" s="801" t="s">
        <v>65</v>
      </c>
      <c r="E446" s="801" t="s">
        <v>59</v>
      </c>
      <c r="F446" s="802" t="s">
        <v>1021</v>
      </c>
      <c r="G446" s="799" t="s">
        <v>76</v>
      </c>
      <c r="H446" s="828">
        <f>'прил12(ведом 21)'!M67</f>
        <v>80.5</v>
      </c>
    </row>
    <row r="447" spans="1:8" s="302" customFormat="1" ht="75">
      <c r="A447" s="290"/>
      <c r="B447" s="163" t="s">
        <v>490</v>
      </c>
      <c r="C447" s="750" t="s">
        <v>61</v>
      </c>
      <c r="D447" s="751" t="s">
        <v>65</v>
      </c>
      <c r="E447" s="751" t="s">
        <v>59</v>
      </c>
      <c r="F447" s="752" t="s">
        <v>489</v>
      </c>
      <c r="G447" s="149"/>
      <c r="H447" s="304">
        <f>H448</f>
        <v>13.2</v>
      </c>
    </row>
    <row r="448" spans="1:8" s="302" customFormat="1" ht="37.5">
      <c r="A448" s="290"/>
      <c r="B448" s="163" t="s">
        <v>75</v>
      </c>
      <c r="C448" s="750" t="s">
        <v>61</v>
      </c>
      <c r="D448" s="751" t="s">
        <v>65</v>
      </c>
      <c r="E448" s="751" t="s">
        <v>59</v>
      </c>
      <c r="F448" s="752" t="s">
        <v>489</v>
      </c>
      <c r="G448" s="149" t="s">
        <v>76</v>
      </c>
      <c r="H448" s="304">
        <f>'прил12(ведом 21)'!M51</f>
        <v>13.2</v>
      </c>
    </row>
    <row r="449" spans="1:8" ht="78.75" customHeight="1">
      <c r="A449" s="290"/>
      <c r="B449" s="303" t="s">
        <v>747</v>
      </c>
      <c r="C449" s="750" t="s">
        <v>61</v>
      </c>
      <c r="D449" s="751" t="s">
        <v>65</v>
      </c>
      <c r="E449" s="751" t="s">
        <v>59</v>
      </c>
      <c r="F449" s="752" t="s">
        <v>305</v>
      </c>
      <c r="G449" s="149"/>
      <c r="H449" s="304">
        <f>H450</f>
        <v>66</v>
      </c>
    </row>
    <row r="450" spans="1:8" ht="37.5">
      <c r="A450" s="290"/>
      <c r="B450" s="303" t="s">
        <v>75</v>
      </c>
      <c r="C450" s="750" t="s">
        <v>61</v>
      </c>
      <c r="D450" s="751" t="s">
        <v>65</v>
      </c>
      <c r="E450" s="751" t="s">
        <v>59</v>
      </c>
      <c r="F450" s="752" t="s">
        <v>305</v>
      </c>
      <c r="G450" s="149" t="s">
        <v>76</v>
      </c>
      <c r="H450" s="304">
        <f>'прил12(ведом 21)'!M32</f>
        <v>66</v>
      </c>
    </row>
    <row r="451" spans="1:8" ht="162.75" customHeight="1">
      <c r="A451" s="290"/>
      <c r="B451" s="195" t="s">
        <v>757</v>
      </c>
      <c r="C451" s="750" t="s">
        <v>61</v>
      </c>
      <c r="D451" s="751" t="s">
        <v>65</v>
      </c>
      <c r="E451" s="751" t="s">
        <v>59</v>
      </c>
      <c r="F451" s="752" t="s">
        <v>79</v>
      </c>
      <c r="G451" s="149"/>
      <c r="H451" s="304">
        <f>H452</f>
        <v>636.5</v>
      </c>
    </row>
    <row r="452" spans="1:8" ht="93.75">
      <c r="A452" s="290"/>
      <c r="B452" s="163" t="s">
        <v>69</v>
      </c>
      <c r="C452" s="750" t="s">
        <v>61</v>
      </c>
      <c r="D452" s="751" t="s">
        <v>65</v>
      </c>
      <c r="E452" s="751" t="s">
        <v>59</v>
      </c>
      <c r="F452" s="752" t="s">
        <v>79</v>
      </c>
      <c r="G452" s="149" t="s">
        <v>70</v>
      </c>
      <c r="H452" s="304">
        <f>'прил12(ведом 21)'!M34</f>
        <v>636.5</v>
      </c>
    </row>
    <row r="453" spans="1:8" ht="75">
      <c r="A453" s="290"/>
      <c r="B453" s="303" t="s">
        <v>80</v>
      </c>
      <c r="C453" s="750" t="s">
        <v>61</v>
      </c>
      <c r="D453" s="751" t="s">
        <v>65</v>
      </c>
      <c r="E453" s="751" t="s">
        <v>59</v>
      </c>
      <c r="F453" s="752" t="s">
        <v>81</v>
      </c>
      <c r="G453" s="149"/>
      <c r="H453" s="304">
        <f>SUM(H454:H455)</f>
        <v>3441.6</v>
      </c>
    </row>
    <row r="454" spans="1:8" ht="93.75">
      <c r="A454" s="290"/>
      <c r="B454" s="303" t="s">
        <v>69</v>
      </c>
      <c r="C454" s="750" t="s">
        <v>61</v>
      </c>
      <c r="D454" s="751" t="s">
        <v>65</v>
      </c>
      <c r="E454" s="751" t="s">
        <v>59</v>
      </c>
      <c r="F454" s="752" t="s">
        <v>81</v>
      </c>
      <c r="G454" s="149" t="s">
        <v>70</v>
      </c>
      <c r="H454" s="304">
        <f>'прил12(ведом 21)'!M36</f>
        <v>3251.6</v>
      </c>
    </row>
    <row r="455" spans="1:8" ht="37.5">
      <c r="A455" s="290"/>
      <c r="B455" s="163" t="s">
        <v>75</v>
      </c>
      <c r="C455" s="750" t="s">
        <v>61</v>
      </c>
      <c r="D455" s="751" t="s">
        <v>65</v>
      </c>
      <c r="E455" s="751" t="s">
        <v>59</v>
      </c>
      <c r="F455" s="752" t="s">
        <v>81</v>
      </c>
      <c r="G455" s="149" t="s">
        <v>76</v>
      </c>
      <c r="H455" s="304">
        <f>'прил12(ведом 21)'!M37</f>
        <v>190</v>
      </c>
    </row>
    <row r="456" spans="1:8" ht="56.25">
      <c r="A456" s="290"/>
      <c r="B456" s="163" t="s">
        <v>582</v>
      </c>
      <c r="C456" s="750" t="s">
        <v>61</v>
      </c>
      <c r="D456" s="751" t="s">
        <v>65</v>
      </c>
      <c r="E456" s="751" t="s">
        <v>59</v>
      </c>
      <c r="F456" s="752" t="s">
        <v>82</v>
      </c>
      <c r="G456" s="149"/>
      <c r="H456" s="304">
        <f>H457+H458</f>
        <v>636.70000000000005</v>
      </c>
    </row>
    <row r="457" spans="1:8" ht="93.75">
      <c r="A457" s="290"/>
      <c r="B457" s="163" t="s">
        <v>69</v>
      </c>
      <c r="C457" s="750" t="s">
        <v>61</v>
      </c>
      <c r="D457" s="751" t="s">
        <v>65</v>
      </c>
      <c r="E457" s="751" t="s">
        <v>59</v>
      </c>
      <c r="F457" s="752" t="s">
        <v>82</v>
      </c>
      <c r="G457" s="149" t="s">
        <v>70</v>
      </c>
      <c r="H457" s="304">
        <f>'прил12(ведом 21)'!M39</f>
        <v>632.5</v>
      </c>
    </row>
    <row r="458" spans="1:8" ht="37.5">
      <c r="A458" s="290"/>
      <c r="B458" s="163" t="s">
        <v>75</v>
      </c>
      <c r="C458" s="750" t="s">
        <v>61</v>
      </c>
      <c r="D458" s="751" t="s">
        <v>65</v>
      </c>
      <c r="E458" s="751" t="s">
        <v>59</v>
      </c>
      <c r="F458" s="752" t="s">
        <v>82</v>
      </c>
      <c r="G458" s="149" t="s">
        <v>76</v>
      </c>
      <c r="H458" s="304">
        <f>'прил12(ведом 21)'!M40</f>
        <v>4.2</v>
      </c>
    </row>
    <row r="459" spans="1:8" ht="18.75">
      <c r="A459" s="290"/>
      <c r="B459" s="163" t="s">
        <v>466</v>
      </c>
      <c r="C459" s="750" t="s">
        <v>61</v>
      </c>
      <c r="D459" s="751" t="s">
        <v>65</v>
      </c>
      <c r="E459" s="751" t="s">
        <v>59</v>
      </c>
      <c r="F459" s="752" t="s">
        <v>465</v>
      </c>
      <c r="G459" s="149"/>
      <c r="H459" s="304">
        <f>H460</f>
        <v>66</v>
      </c>
    </row>
    <row r="460" spans="1:8" ht="37.5">
      <c r="A460" s="290"/>
      <c r="B460" s="163" t="s">
        <v>75</v>
      </c>
      <c r="C460" s="750" t="s">
        <v>61</v>
      </c>
      <c r="D460" s="751" t="s">
        <v>65</v>
      </c>
      <c r="E460" s="751" t="s">
        <v>59</v>
      </c>
      <c r="F460" s="752" t="s">
        <v>465</v>
      </c>
      <c r="G460" s="149" t="s">
        <v>76</v>
      </c>
      <c r="H460" s="304">
        <f>'прил12(ведом 21)'!M42</f>
        <v>66</v>
      </c>
    </row>
    <row r="461" spans="1:8" ht="18.75">
      <c r="A461" s="290"/>
      <c r="B461" s="303" t="s">
        <v>83</v>
      </c>
      <c r="C461" s="750" t="s">
        <v>61</v>
      </c>
      <c r="D461" s="751" t="s">
        <v>65</v>
      </c>
      <c r="E461" s="751" t="s">
        <v>84</v>
      </c>
      <c r="F461" s="752" t="s">
        <v>64</v>
      </c>
      <c r="G461" s="149"/>
      <c r="H461" s="304">
        <f>H462+H464</f>
        <v>1953.6000000000001</v>
      </c>
    </row>
    <row r="462" spans="1:8" ht="37.5">
      <c r="A462" s="290"/>
      <c r="B462" s="303" t="s">
        <v>67</v>
      </c>
      <c r="C462" s="750" t="s">
        <v>61</v>
      </c>
      <c r="D462" s="751" t="s">
        <v>65</v>
      </c>
      <c r="E462" s="751" t="s">
        <v>84</v>
      </c>
      <c r="F462" s="752" t="s">
        <v>68</v>
      </c>
      <c r="G462" s="149"/>
      <c r="H462" s="304">
        <f>H463</f>
        <v>129.4</v>
      </c>
    </row>
    <row r="463" spans="1:8" ht="37.5">
      <c r="A463" s="290"/>
      <c r="B463" s="303" t="s">
        <v>75</v>
      </c>
      <c r="C463" s="750" t="s">
        <v>61</v>
      </c>
      <c r="D463" s="751" t="s">
        <v>65</v>
      </c>
      <c r="E463" s="751" t="s">
        <v>84</v>
      </c>
      <c r="F463" s="752" t="s">
        <v>68</v>
      </c>
      <c r="G463" s="149" t="s">
        <v>76</v>
      </c>
      <c r="H463" s="304">
        <f>'прил12(ведом 21)'!M45</f>
        <v>129.4</v>
      </c>
    </row>
    <row r="464" spans="1:8" ht="56.25">
      <c r="A464" s="290"/>
      <c r="B464" s="163" t="s">
        <v>478</v>
      </c>
      <c r="C464" s="750" t="s">
        <v>61</v>
      </c>
      <c r="D464" s="751" t="s">
        <v>65</v>
      </c>
      <c r="E464" s="751" t="s">
        <v>84</v>
      </c>
      <c r="F464" s="752" t="s">
        <v>477</v>
      </c>
      <c r="G464" s="149"/>
      <c r="H464" s="304">
        <f>H465+H466</f>
        <v>1824.2</v>
      </c>
    </row>
    <row r="465" spans="1:8" ht="37.5">
      <c r="A465" s="290"/>
      <c r="B465" s="163" t="s">
        <v>75</v>
      </c>
      <c r="C465" s="750" t="s">
        <v>61</v>
      </c>
      <c r="D465" s="751" t="s">
        <v>65</v>
      </c>
      <c r="E465" s="751" t="s">
        <v>84</v>
      </c>
      <c r="F465" s="752" t="s">
        <v>477</v>
      </c>
      <c r="G465" s="149" t="s">
        <v>76</v>
      </c>
      <c r="H465" s="304">
        <f>'прил12(ведом 21)'!M70</f>
        <v>1593.4</v>
      </c>
    </row>
    <row r="466" spans="1:8" ht="18.75">
      <c r="A466" s="290"/>
      <c r="B466" s="163" t="s">
        <v>77</v>
      </c>
      <c r="C466" s="750" t="s">
        <v>61</v>
      </c>
      <c r="D466" s="751" t="s">
        <v>65</v>
      </c>
      <c r="E466" s="751" t="s">
        <v>84</v>
      </c>
      <c r="F466" s="752" t="s">
        <v>477</v>
      </c>
      <c r="G466" s="149" t="s">
        <v>78</v>
      </c>
      <c r="H466" s="304">
        <f>'прил12(ведом 21)'!M71</f>
        <v>230.8</v>
      </c>
    </row>
    <row r="467" spans="1:8" ht="18.75">
      <c r="A467" s="290"/>
      <c r="B467" s="303" t="s">
        <v>85</v>
      </c>
      <c r="C467" s="750" t="s">
        <v>61</v>
      </c>
      <c r="D467" s="751" t="s">
        <v>65</v>
      </c>
      <c r="E467" s="751" t="s">
        <v>72</v>
      </c>
      <c r="F467" s="752" t="s">
        <v>64</v>
      </c>
      <c r="G467" s="149"/>
      <c r="H467" s="304">
        <f>H468+H470</f>
        <v>3270.4000000000005</v>
      </c>
    </row>
    <row r="468" spans="1:8" ht="56.25">
      <c r="A468" s="290"/>
      <c r="B468" s="327" t="s">
        <v>429</v>
      </c>
      <c r="C468" s="750" t="s">
        <v>61</v>
      </c>
      <c r="D468" s="751" t="s">
        <v>65</v>
      </c>
      <c r="E468" s="751" t="s">
        <v>72</v>
      </c>
      <c r="F468" s="752" t="s">
        <v>126</v>
      </c>
      <c r="G468" s="149"/>
      <c r="H468" s="304">
        <f>H469</f>
        <v>1213.3</v>
      </c>
    </row>
    <row r="469" spans="1:8" ht="37.5">
      <c r="A469" s="290"/>
      <c r="B469" s="303" t="s">
        <v>75</v>
      </c>
      <c r="C469" s="750" t="s">
        <v>61</v>
      </c>
      <c r="D469" s="751" t="s">
        <v>65</v>
      </c>
      <c r="E469" s="751" t="s">
        <v>72</v>
      </c>
      <c r="F469" s="752" t="s">
        <v>126</v>
      </c>
      <c r="G469" s="149" t="s">
        <v>76</v>
      </c>
      <c r="H469" s="304">
        <f>'прил12(ведом 21)'!M74</f>
        <v>1213.3</v>
      </c>
    </row>
    <row r="470" spans="1:8" ht="56.25">
      <c r="A470" s="290"/>
      <c r="B470" s="303" t="s">
        <v>431</v>
      </c>
      <c r="C470" s="750" t="s">
        <v>61</v>
      </c>
      <c r="D470" s="751" t="s">
        <v>65</v>
      </c>
      <c r="E470" s="751" t="s">
        <v>72</v>
      </c>
      <c r="F470" s="752" t="s">
        <v>430</v>
      </c>
      <c r="G470" s="149"/>
      <c r="H470" s="304">
        <f>H471</f>
        <v>2057.1000000000004</v>
      </c>
    </row>
    <row r="471" spans="1:8" ht="37.5">
      <c r="A471" s="290"/>
      <c r="B471" s="303" t="s">
        <v>75</v>
      </c>
      <c r="C471" s="750" t="s">
        <v>61</v>
      </c>
      <c r="D471" s="751" t="s">
        <v>65</v>
      </c>
      <c r="E471" s="751" t="s">
        <v>72</v>
      </c>
      <c r="F471" s="752" t="s">
        <v>430</v>
      </c>
      <c r="G471" s="149" t="s">
        <v>76</v>
      </c>
      <c r="H471" s="304">
        <f>'прил12(ведом 21)'!M76</f>
        <v>2057.1000000000004</v>
      </c>
    </row>
    <row r="472" spans="1:8" ht="51" customHeight="1">
      <c r="A472" s="328"/>
      <c r="B472" s="333" t="s">
        <v>351</v>
      </c>
      <c r="C472" s="179" t="s">
        <v>61</v>
      </c>
      <c r="D472" s="174" t="s">
        <v>65</v>
      </c>
      <c r="E472" s="174" t="s">
        <v>102</v>
      </c>
      <c r="F472" s="175" t="s">
        <v>64</v>
      </c>
      <c r="G472" s="173"/>
      <c r="H472" s="304">
        <f>H473</f>
        <v>5076.9000000000005</v>
      </c>
    </row>
    <row r="473" spans="1:8" ht="37.5">
      <c r="A473" s="328"/>
      <c r="B473" s="303" t="s">
        <v>795</v>
      </c>
      <c r="C473" s="179" t="s">
        <v>61</v>
      </c>
      <c r="D473" s="174" t="s">
        <v>65</v>
      </c>
      <c r="E473" s="174" t="s">
        <v>102</v>
      </c>
      <c r="F473" s="175" t="s">
        <v>112</v>
      </c>
      <c r="G473" s="173"/>
      <c r="H473" s="304">
        <f>SUM(H474:H476)</f>
        <v>5076.9000000000005</v>
      </c>
    </row>
    <row r="474" spans="1:8" ht="93.75">
      <c r="A474" s="328"/>
      <c r="B474" s="333" t="s">
        <v>69</v>
      </c>
      <c r="C474" s="179" t="s">
        <v>61</v>
      </c>
      <c r="D474" s="174" t="s">
        <v>65</v>
      </c>
      <c r="E474" s="174" t="s">
        <v>102</v>
      </c>
      <c r="F474" s="175" t="s">
        <v>112</v>
      </c>
      <c r="G474" s="173" t="s">
        <v>70</v>
      </c>
      <c r="H474" s="304">
        <f>'прил12(ведом 21)'!M316</f>
        <v>4593.1000000000004</v>
      </c>
    </row>
    <row r="475" spans="1:8" ht="37.5">
      <c r="A475" s="328"/>
      <c r="B475" s="303" t="s">
        <v>75</v>
      </c>
      <c r="C475" s="179" t="s">
        <v>61</v>
      </c>
      <c r="D475" s="174" t="s">
        <v>65</v>
      </c>
      <c r="E475" s="174" t="s">
        <v>102</v>
      </c>
      <c r="F475" s="175" t="s">
        <v>112</v>
      </c>
      <c r="G475" s="173" t="s">
        <v>76</v>
      </c>
      <c r="H475" s="304">
        <f>'прил12(ведом 21)'!M317</f>
        <v>483.7</v>
      </c>
    </row>
    <row r="476" spans="1:8" ht="18.75">
      <c r="A476" s="328"/>
      <c r="B476" s="362" t="s">
        <v>77</v>
      </c>
      <c r="C476" s="179" t="s">
        <v>61</v>
      </c>
      <c r="D476" s="174" t="s">
        <v>65</v>
      </c>
      <c r="E476" s="174" t="s">
        <v>102</v>
      </c>
      <c r="F476" s="175" t="s">
        <v>112</v>
      </c>
      <c r="G476" s="173" t="s">
        <v>78</v>
      </c>
      <c r="H476" s="304">
        <f>'прил12(ведом 21)'!M318</f>
        <v>0.1</v>
      </c>
    </row>
    <row r="477" spans="1:8" ht="38.25" customHeight="1">
      <c r="A477" s="328"/>
      <c r="B477" s="167" t="s">
        <v>472</v>
      </c>
      <c r="C477" s="750" t="s">
        <v>61</v>
      </c>
      <c r="D477" s="751" t="s">
        <v>65</v>
      </c>
      <c r="E477" s="751" t="s">
        <v>100</v>
      </c>
      <c r="F477" s="752" t="s">
        <v>64</v>
      </c>
      <c r="G477" s="149"/>
      <c r="H477" s="304">
        <f>H478</f>
        <v>16.5</v>
      </c>
    </row>
    <row r="478" spans="1:8" ht="18.75">
      <c r="A478" s="328"/>
      <c r="B478" s="167" t="s">
        <v>473</v>
      </c>
      <c r="C478" s="750" t="s">
        <v>61</v>
      </c>
      <c r="D478" s="751" t="s">
        <v>65</v>
      </c>
      <c r="E478" s="751" t="s">
        <v>100</v>
      </c>
      <c r="F478" s="752" t="s">
        <v>474</v>
      </c>
      <c r="G478" s="149"/>
      <c r="H478" s="304">
        <f>H479</f>
        <v>16.5</v>
      </c>
    </row>
    <row r="479" spans="1:8" ht="37.5">
      <c r="A479" s="328"/>
      <c r="B479" s="167" t="s">
        <v>475</v>
      </c>
      <c r="C479" s="750" t="s">
        <v>61</v>
      </c>
      <c r="D479" s="751" t="s">
        <v>65</v>
      </c>
      <c r="E479" s="751" t="s">
        <v>100</v>
      </c>
      <c r="F479" s="752" t="s">
        <v>474</v>
      </c>
      <c r="G479" s="149" t="s">
        <v>476</v>
      </c>
      <c r="H479" s="304">
        <f>'прил12(ведом 21)'!M202</f>
        <v>16.5</v>
      </c>
    </row>
    <row r="480" spans="1:8" ht="35.25" customHeight="1">
      <c r="A480" s="328"/>
      <c r="B480" s="163" t="s">
        <v>900</v>
      </c>
      <c r="C480" s="750" t="s">
        <v>61</v>
      </c>
      <c r="D480" s="751" t="s">
        <v>65</v>
      </c>
      <c r="E480" s="751" t="s">
        <v>92</v>
      </c>
      <c r="F480" s="752" t="s">
        <v>64</v>
      </c>
      <c r="G480" s="149"/>
      <c r="H480" s="304">
        <f>H481</f>
        <v>1332.1</v>
      </c>
    </row>
    <row r="481" spans="1:8" ht="35.25" customHeight="1">
      <c r="A481" s="328"/>
      <c r="B481" s="163" t="s">
        <v>901</v>
      </c>
      <c r="C481" s="750" t="s">
        <v>61</v>
      </c>
      <c r="D481" s="751" t="s">
        <v>65</v>
      </c>
      <c r="E481" s="751" t="s">
        <v>92</v>
      </c>
      <c r="F481" s="752" t="s">
        <v>902</v>
      </c>
      <c r="G481" s="149"/>
      <c r="H481" s="304">
        <f>H482</f>
        <v>1332.1</v>
      </c>
    </row>
    <row r="482" spans="1:8" ht="37.5">
      <c r="A482" s="328"/>
      <c r="B482" s="163" t="s">
        <v>75</v>
      </c>
      <c r="C482" s="750" t="s">
        <v>61</v>
      </c>
      <c r="D482" s="751" t="s">
        <v>65</v>
      </c>
      <c r="E482" s="751" t="s">
        <v>92</v>
      </c>
      <c r="F482" s="752" t="s">
        <v>902</v>
      </c>
      <c r="G482" s="149" t="s">
        <v>76</v>
      </c>
      <c r="H482" s="304">
        <f>'прил12(ведом 21)'!M79</f>
        <v>1332.1</v>
      </c>
    </row>
    <row r="483" spans="1:8" ht="37.5">
      <c r="A483" s="328"/>
      <c r="B483" s="163" t="s">
        <v>396</v>
      </c>
      <c r="C483" s="750" t="s">
        <v>61</v>
      </c>
      <c r="D483" s="751" t="s">
        <v>65</v>
      </c>
      <c r="E483" s="751" t="s">
        <v>109</v>
      </c>
      <c r="F483" s="752" t="s">
        <v>64</v>
      </c>
      <c r="G483" s="173"/>
      <c r="H483" s="304">
        <f>H484+H487</f>
        <v>6584.4</v>
      </c>
    </row>
    <row r="484" spans="1:8" ht="37.5">
      <c r="A484" s="328"/>
      <c r="B484" s="303" t="s">
        <v>795</v>
      </c>
      <c r="C484" s="750" t="s">
        <v>61</v>
      </c>
      <c r="D484" s="751" t="s">
        <v>65</v>
      </c>
      <c r="E484" s="751" t="s">
        <v>109</v>
      </c>
      <c r="F484" s="752" t="s">
        <v>112</v>
      </c>
      <c r="G484" s="149"/>
      <c r="H484" s="304">
        <f>SUM(H485:H486)</f>
        <v>4604.3999999999996</v>
      </c>
    </row>
    <row r="485" spans="1:8" ht="93.75">
      <c r="A485" s="328"/>
      <c r="B485" s="163" t="s">
        <v>69</v>
      </c>
      <c r="C485" s="750" t="s">
        <v>61</v>
      </c>
      <c r="D485" s="751" t="s">
        <v>65</v>
      </c>
      <c r="E485" s="751" t="s">
        <v>109</v>
      </c>
      <c r="F485" s="752" t="s">
        <v>112</v>
      </c>
      <c r="G485" s="149" t="s">
        <v>70</v>
      </c>
      <c r="H485" s="304">
        <f>'прил12(ведом 21)'!M163</f>
        <v>4360.3999999999996</v>
      </c>
    </row>
    <row r="486" spans="1:8" ht="37.5">
      <c r="A486" s="328"/>
      <c r="B486" s="163" t="s">
        <v>75</v>
      </c>
      <c r="C486" s="750" t="s">
        <v>61</v>
      </c>
      <c r="D486" s="751" t="s">
        <v>65</v>
      </c>
      <c r="E486" s="751" t="s">
        <v>109</v>
      </c>
      <c r="F486" s="752" t="s">
        <v>112</v>
      </c>
      <c r="G486" s="149" t="s">
        <v>76</v>
      </c>
      <c r="H486" s="304">
        <f>'прил12(ведом 21)'!M164</f>
        <v>244</v>
      </c>
    </row>
    <row r="487" spans="1:8" ht="37.5">
      <c r="A487" s="328"/>
      <c r="B487" s="163" t="s">
        <v>906</v>
      </c>
      <c r="C487" s="750" t="s">
        <v>61</v>
      </c>
      <c r="D487" s="751" t="s">
        <v>65</v>
      </c>
      <c r="E487" s="751" t="s">
        <v>109</v>
      </c>
      <c r="F487" s="752" t="s">
        <v>905</v>
      </c>
      <c r="G487" s="149"/>
      <c r="H487" s="304">
        <f>H488</f>
        <v>1980</v>
      </c>
    </row>
    <row r="488" spans="1:8" ht="37.5">
      <c r="A488" s="328"/>
      <c r="B488" s="163" t="s">
        <v>75</v>
      </c>
      <c r="C488" s="750" t="s">
        <v>61</v>
      </c>
      <c r="D488" s="751" t="s">
        <v>65</v>
      </c>
      <c r="E488" s="751" t="s">
        <v>109</v>
      </c>
      <c r="F488" s="752" t="s">
        <v>905</v>
      </c>
      <c r="G488" s="149" t="s">
        <v>76</v>
      </c>
      <c r="H488" s="304">
        <f>'прил12(ведом 21)'!M166</f>
        <v>1980</v>
      </c>
    </row>
    <row r="489" spans="1:8" ht="37.5">
      <c r="A489" s="328"/>
      <c r="B489" s="163" t="s">
        <v>813</v>
      </c>
      <c r="C489" s="750" t="s">
        <v>61</v>
      </c>
      <c r="D489" s="751" t="s">
        <v>65</v>
      </c>
      <c r="E489" s="751" t="s">
        <v>585</v>
      </c>
      <c r="F489" s="752" t="s">
        <v>64</v>
      </c>
      <c r="G489" s="149"/>
      <c r="H489" s="304">
        <f>H490</f>
        <v>145.6</v>
      </c>
    </row>
    <row r="490" spans="1:8" ht="37.5">
      <c r="A490" s="328"/>
      <c r="B490" s="168" t="s">
        <v>814</v>
      </c>
      <c r="C490" s="750" t="s">
        <v>61</v>
      </c>
      <c r="D490" s="751" t="s">
        <v>65</v>
      </c>
      <c r="E490" s="751" t="s">
        <v>585</v>
      </c>
      <c r="F490" s="752" t="s">
        <v>111</v>
      </c>
      <c r="G490" s="149"/>
      <c r="H490" s="304">
        <f>H491</f>
        <v>145.6</v>
      </c>
    </row>
    <row r="491" spans="1:8" ht="37.5">
      <c r="A491" s="328"/>
      <c r="B491" s="163" t="s">
        <v>75</v>
      </c>
      <c r="C491" s="750" t="s">
        <v>61</v>
      </c>
      <c r="D491" s="751" t="s">
        <v>65</v>
      </c>
      <c r="E491" s="751" t="s">
        <v>585</v>
      </c>
      <c r="F491" s="752" t="s">
        <v>111</v>
      </c>
      <c r="G491" s="149" t="s">
        <v>76</v>
      </c>
      <c r="H491" s="304">
        <f>'прил12(ведом 21)'!M82</f>
        <v>145.6</v>
      </c>
    </row>
    <row r="492" spans="1:8" ht="37.5">
      <c r="A492" s="328"/>
      <c r="B492" s="163" t="s">
        <v>799</v>
      </c>
      <c r="C492" s="750" t="s">
        <v>61</v>
      </c>
      <c r="D492" s="751" t="s">
        <v>65</v>
      </c>
      <c r="E492" s="751" t="s">
        <v>61</v>
      </c>
      <c r="F492" s="752" t="s">
        <v>64</v>
      </c>
      <c r="G492" s="149"/>
      <c r="H492" s="304">
        <f>H493</f>
        <v>124.6</v>
      </c>
    </row>
    <row r="493" spans="1:8" ht="18.75">
      <c r="A493" s="328"/>
      <c r="B493" s="168" t="s">
        <v>797</v>
      </c>
      <c r="C493" s="750" t="s">
        <v>61</v>
      </c>
      <c r="D493" s="751" t="s">
        <v>65</v>
      </c>
      <c r="E493" s="751" t="s">
        <v>61</v>
      </c>
      <c r="F493" s="752" t="s">
        <v>798</v>
      </c>
      <c r="G493" s="149"/>
      <c r="H493" s="304">
        <f>H494</f>
        <v>124.6</v>
      </c>
    </row>
    <row r="494" spans="1:8" ht="37.5">
      <c r="A494" s="328"/>
      <c r="B494" s="163" t="s">
        <v>75</v>
      </c>
      <c r="C494" s="750" t="s">
        <v>61</v>
      </c>
      <c r="D494" s="751" t="s">
        <v>65</v>
      </c>
      <c r="E494" s="751" t="s">
        <v>61</v>
      </c>
      <c r="F494" s="752" t="s">
        <v>798</v>
      </c>
      <c r="G494" s="149" t="s">
        <v>76</v>
      </c>
      <c r="H494" s="304">
        <f>'прил12(ведом 21)'!M85</f>
        <v>124.6</v>
      </c>
    </row>
    <row r="495" spans="1:8" ht="37.5">
      <c r="A495" s="328"/>
      <c r="B495" s="163" t="s">
        <v>464</v>
      </c>
      <c r="C495" s="750" t="s">
        <v>61</v>
      </c>
      <c r="D495" s="751" t="s">
        <v>65</v>
      </c>
      <c r="E495" s="751" t="s">
        <v>996</v>
      </c>
      <c r="F495" s="752" t="s">
        <v>64</v>
      </c>
      <c r="G495" s="149"/>
      <c r="H495" s="304">
        <f>H496</f>
        <v>95</v>
      </c>
    </row>
    <row r="496" spans="1:8" ht="37.5">
      <c r="A496" s="328"/>
      <c r="B496" s="163" t="s">
        <v>402</v>
      </c>
      <c r="C496" s="750" t="s">
        <v>61</v>
      </c>
      <c r="D496" s="751" t="s">
        <v>65</v>
      </c>
      <c r="E496" s="751" t="s">
        <v>996</v>
      </c>
      <c r="F496" s="752" t="s">
        <v>401</v>
      </c>
      <c r="G496" s="149"/>
      <c r="H496" s="304">
        <f>H497</f>
        <v>95</v>
      </c>
    </row>
    <row r="497" spans="1:8" ht="18.75">
      <c r="A497" s="328"/>
      <c r="B497" s="163" t="s">
        <v>77</v>
      </c>
      <c r="C497" s="750" t="s">
        <v>61</v>
      </c>
      <c r="D497" s="751" t="s">
        <v>65</v>
      </c>
      <c r="E497" s="751" t="s">
        <v>996</v>
      </c>
      <c r="F497" s="752" t="s">
        <v>401</v>
      </c>
      <c r="G497" s="149" t="s">
        <v>78</v>
      </c>
      <c r="H497" s="304">
        <f>'прил12(ведом 21)'!M88</f>
        <v>95</v>
      </c>
    </row>
    <row r="498" spans="1:8" ht="18.75">
      <c r="A498" s="328"/>
      <c r="B498" s="303"/>
      <c r="C498" s="751"/>
      <c r="D498" s="751"/>
      <c r="E498" s="751"/>
      <c r="F498" s="752"/>
      <c r="G498" s="149"/>
      <c r="H498" s="304"/>
    </row>
    <row r="499" spans="1:8" ht="56.25">
      <c r="A499" s="313">
        <v>16</v>
      </c>
      <c r="B499" s="330" t="s">
        <v>255</v>
      </c>
      <c r="C499" s="314" t="s">
        <v>256</v>
      </c>
      <c r="D499" s="314" t="s">
        <v>62</v>
      </c>
      <c r="E499" s="314" t="s">
        <v>63</v>
      </c>
      <c r="F499" s="315" t="s">
        <v>64</v>
      </c>
      <c r="G499" s="300"/>
      <c r="H499" s="301">
        <f>H500</f>
        <v>51.3</v>
      </c>
    </row>
    <row r="500" spans="1:8" ht="30" customHeight="1">
      <c r="A500" s="290"/>
      <c r="B500" s="303" t="s">
        <v>404</v>
      </c>
      <c r="C500" s="750" t="s">
        <v>256</v>
      </c>
      <c r="D500" s="751" t="s">
        <v>65</v>
      </c>
      <c r="E500" s="751" t="s">
        <v>63</v>
      </c>
      <c r="F500" s="752" t="s">
        <v>64</v>
      </c>
      <c r="G500" s="149"/>
      <c r="H500" s="304">
        <f>H501</f>
        <v>51.3</v>
      </c>
    </row>
    <row r="501" spans="1:8" ht="56.25">
      <c r="A501" s="290"/>
      <c r="B501" s="303" t="s">
        <v>326</v>
      </c>
      <c r="C501" s="750" t="s">
        <v>256</v>
      </c>
      <c r="D501" s="751" t="s">
        <v>65</v>
      </c>
      <c r="E501" s="751" t="s">
        <v>57</v>
      </c>
      <c r="F501" s="752" t="s">
        <v>64</v>
      </c>
      <c r="G501" s="149"/>
      <c r="H501" s="304">
        <f>H502</f>
        <v>51.3</v>
      </c>
    </row>
    <row r="502" spans="1:8" ht="37.5">
      <c r="A502" s="290"/>
      <c r="B502" s="303" t="s">
        <v>257</v>
      </c>
      <c r="C502" s="750" t="s">
        <v>256</v>
      </c>
      <c r="D502" s="751" t="s">
        <v>65</v>
      </c>
      <c r="E502" s="751" t="s">
        <v>57</v>
      </c>
      <c r="F502" s="752" t="s">
        <v>320</v>
      </c>
      <c r="G502" s="149"/>
      <c r="H502" s="304">
        <f>H503</f>
        <v>51.3</v>
      </c>
    </row>
    <row r="503" spans="1:8" ht="39" customHeight="1">
      <c r="A503" s="290"/>
      <c r="B503" s="303" t="s">
        <v>97</v>
      </c>
      <c r="C503" s="750" t="s">
        <v>256</v>
      </c>
      <c r="D503" s="751" t="s">
        <v>65</v>
      </c>
      <c r="E503" s="751" t="s">
        <v>57</v>
      </c>
      <c r="F503" s="752" t="s">
        <v>320</v>
      </c>
      <c r="G503" s="149" t="s">
        <v>98</v>
      </c>
      <c r="H503" s="304">
        <f>'прил12(ведом 21)'!M409</f>
        <v>51.3</v>
      </c>
    </row>
    <row r="504" spans="1:8" ht="18.75">
      <c r="A504" s="328"/>
      <c r="B504" s="303"/>
      <c r="C504" s="751"/>
      <c r="D504" s="751"/>
      <c r="E504" s="751"/>
      <c r="F504" s="751"/>
      <c r="G504" s="149"/>
      <c r="H504" s="304"/>
    </row>
    <row r="505" spans="1:8" ht="37.5">
      <c r="A505" s="313">
        <v>17</v>
      </c>
      <c r="B505" s="368" t="s">
        <v>152</v>
      </c>
      <c r="C505" s="314" t="s">
        <v>153</v>
      </c>
      <c r="D505" s="314" t="s">
        <v>62</v>
      </c>
      <c r="E505" s="314" t="s">
        <v>63</v>
      </c>
      <c r="F505" s="314" t="s">
        <v>64</v>
      </c>
      <c r="G505" s="300"/>
      <c r="H505" s="301">
        <f>H506</f>
        <v>4258.2</v>
      </c>
    </row>
    <row r="506" spans="1:8" ht="37.5">
      <c r="A506" s="290"/>
      <c r="B506" s="166" t="s">
        <v>154</v>
      </c>
      <c r="C506" s="750" t="s">
        <v>153</v>
      </c>
      <c r="D506" s="751" t="s">
        <v>65</v>
      </c>
      <c r="E506" s="751" t="s">
        <v>63</v>
      </c>
      <c r="F506" s="752" t="s">
        <v>64</v>
      </c>
      <c r="G506" s="149"/>
      <c r="H506" s="304">
        <f>H507+H511</f>
        <v>4258.2</v>
      </c>
    </row>
    <row r="507" spans="1:8" ht="37.5">
      <c r="A507" s="290"/>
      <c r="B507" s="303" t="s">
        <v>67</v>
      </c>
      <c r="C507" s="750" t="s">
        <v>153</v>
      </c>
      <c r="D507" s="751" t="s">
        <v>65</v>
      </c>
      <c r="E507" s="751" t="s">
        <v>63</v>
      </c>
      <c r="F507" s="752" t="s">
        <v>68</v>
      </c>
      <c r="G507" s="149"/>
      <c r="H507" s="304">
        <f>H508+H509+H510</f>
        <v>3343.9</v>
      </c>
    </row>
    <row r="508" spans="1:8" ht="93.75">
      <c r="A508" s="290"/>
      <c r="B508" s="317" t="s">
        <v>69</v>
      </c>
      <c r="C508" s="750" t="s">
        <v>153</v>
      </c>
      <c r="D508" s="751" t="s">
        <v>65</v>
      </c>
      <c r="E508" s="751" t="s">
        <v>63</v>
      </c>
      <c r="F508" s="752" t="s">
        <v>68</v>
      </c>
      <c r="G508" s="149" t="s">
        <v>70</v>
      </c>
      <c r="H508" s="304">
        <f>'прил12(ведом 21)'!M271</f>
        <v>3098.4</v>
      </c>
    </row>
    <row r="509" spans="1:8" ht="37.5">
      <c r="A509" s="290"/>
      <c r="B509" s="303" t="s">
        <v>75</v>
      </c>
      <c r="C509" s="750" t="s">
        <v>153</v>
      </c>
      <c r="D509" s="751" t="s">
        <v>65</v>
      </c>
      <c r="E509" s="751" t="s">
        <v>63</v>
      </c>
      <c r="F509" s="752" t="s">
        <v>68</v>
      </c>
      <c r="G509" s="149" t="s">
        <v>76</v>
      </c>
      <c r="H509" s="304">
        <f>'прил12(ведом 21)'!M272</f>
        <v>235.5</v>
      </c>
    </row>
    <row r="510" spans="1:8" ht="18.75">
      <c r="A510" s="290"/>
      <c r="B510" s="303" t="s">
        <v>77</v>
      </c>
      <c r="C510" s="750" t="s">
        <v>153</v>
      </c>
      <c r="D510" s="751" t="s">
        <v>65</v>
      </c>
      <c r="E510" s="751" t="s">
        <v>63</v>
      </c>
      <c r="F510" s="752" t="s">
        <v>68</v>
      </c>
      <c r="G510" s="149" t="s">
        <v>78</v>
      </c>
      <c r="H510" s="304">
        <f>'прил12(ведом 21)'!M273</f>
        <v>10</v>
      </c>
    </row>
    <row r="511" spans="1:8" ht="37.5">
      <c r="A511" s="290"/>
      <c r="B511" s="303" t="s">
        <v>258</v>
      </c>
      <c r="C511" s="750" t="s">
        <v>153</v>
      </c>
      <c r="D511" s="751" t="s">
        <v>65</v>
      </c>
      <c r="E511" s="751" t="s">
        <v>63</v>
      </c>
      <c r="F511" s="752" t="s">
        <v>155</v>
      </c>
      <c r="G511" s="149"/>
      <c r="H511" s="304">
        <f>SUM(H512:H512)</f>
        <v>914.3</v>
      </c>
    </row>
    <row r="512" spans="1:8" ht="93.75">
      <c r="A512" s="290"/>
      <c r="B512" s="303" t="s">
        <v>69</v>
      </c>
      <c r="C512" s="750" t="s">
        <v>153</v>
      </c>
      <c r="D512" s="751" t="s">
        <v>65</v>
      </c>
      <c r="E512" s="751" t="s">
        <v>63</v>
      </c>
      <c r="F512" s="752" t="s">
        <v>155</v>
      </c>
      <c r="G512" s="149" t="s">
        <v>70</v>
      </c>
      <c r="H512" s="304">
        <f>'прил12(ведом 21)'!M275</f>
        <v>914.3</v>
      </c>
    </row>
    <row r="513" spans="1:8" ht="112.5">
      <c r="A513" s="699">
        <v>18</v>
      </c>
      <c r="B513" s="733" t="s">
        <v>926</v>
      </c>
      <c r="C513" s="734" t="s">
        <v>922</v>
      </c>
      <c r="D513" s="735" t="s">
        <v>62</v>
      </c>
      <c r="E513" s="735" t="s">
        <v>63</v>
      </c>
      <c r="F513" s="736" t="s">
        <v>64</v>
      </c>
      <c r="G513" s="149"/>
      <c r="H513" s="700">
        <f>H514+H521</f>
        <v>9861.1779999999999</v>
      </c>
    </row>
    <row r="514" spans="1:8" ht="93.75">
      <c r="A514" s="699"/>
      <c r="B514" s="167" t="s">
        <v>986</v>
      </c>
      <c r="C514" s="750" t="s">
        <v>922</v>
      </c>
      <c r="D514" s="751" t="s">
        <v>65</v>
      </c>
      <c r="E514" s="751" t="s">
        <v>63</v>
      </c>
      <c r="F514" s="752" t="s">
        <v>64</v>
      </c>
      <c r="G514" s="288"/>
      <c r="H514" s="594">
        <f>H515+H518</f>
        <v>1060</v>
      </c>
    </row>
    <row r="515" spans="1:8" ht="56.25">
      <c r="A515" s="699"/>
      <c r="B515" s="167" t="s">
        <v>987</v>
      </c>
      <c r="C515" s="750" t="s">
        <v>922</v>
      </c>
      <c r="D515" s="751" t="s">
        <v>65</v>
      </c>
      <c r="E515" s="751" t="s">
        <v>57</v>
      </c>
      <c r="F515" s="752" t="s">
        <v>64</v>
      </c>
      <c r="G515" s="288"/>
      <c r="H515" s="594">
        <f>H516</f>
        <v>210</v>
      </c>
    </row>
    <row r="516" spans="1:8" s="209" customFormat="1" ht="37.5">
      <c r="A516" s="699"/>
      <c r="B516" s="167" t="s">
        <v>997</v>
      </c>
      <c r="C516" s="750" t="s">
        <v>922</v>
      </c>
      <c r="D516" s="751" t="s">
        <v>65</v>
      </c>
      <c r="E516" s="751" t="s">
        <v>57</v>
      </c>
      <c r="F516" s="752" t="s">
        <v>998</v>
      </c>
      <c r="G516" s="149"/>
      <c r="H516" s="594">
        <f>H517</f>
        <v>210</v>
      </c>
    </row>
    <row r="517" spans="1:8" s="209" customFormat="1" ht="37.5">
      <c r="A517" s="699"/>
      <c r="B517" s="167" t="s">
        <v>141</v>
      </c>
      <c r="C517" s="750" t="s">
        <v>922</v>
      </c>
      <c r="D517" s="751" t="s">
        <v>65</v>
      </c>
      <c r="E517" s="751" t="s">
        <v>57</v>
      </c>
      <c r="F517" s="752" t="s">
        <v>998</v>
      </c>
      <c r="G517" s="149" t="s">
        <v>142</v>
      </c>
      <c r="H517" s="594">
        <f>'прил12(ведом 21)'!M186</f>
        <v>210</v>
      </c>
    </row>
    <row r="518" spans="1:8" ht="56.25">
      <c r="A518" s="699"/>
      <c r="B518" s="167" t="s">
        <v>988</v>
      </c>
      <c r="C518" s="750" t="s">
        <v>922</v>
      </c>
      <c r="D518" s="751" t="s">
        <v>65</v>
      </c>
      <c r="E518" s="751" t="s">
        <v>59</v>
      </c>
      <c r="F518" s="752" t="s">
        <v>64</v>
      </c>
      <c r="G518" s="149"/>
      <c r="H518" s="594">
        <f>H519</f>
        <v>850</v>
      </c>
    </row>
    <row r="519" spans="1:8" ht="37.5">
      <c r="A519" s="699"/>
      <c r="B519" s="167" t="s">
        <v>997</v>
      </c>
      <c r="C519" s="750" t="s">
        <v>922</v>
      </c>
      <c r="D519" s="751" t="s">
        <v>65</v>
      </c>
      <c r="E519" s="751" t="s">
        <v>59</v>
      </c>
      <c r="F519" s="752" t="s">
        <v>998</v>
      </c>
      <c r="G519" s="149"/>
      <c r="H519" s="594">
        <f>H520</f>
        <v>850</v>
      </c>
    </row>
    <row r="520" spans="1:8" ht="37.5">
      <c r="A520" s="699"/>
      <c r="B520" s="167" t="s">
        <v>141</v>
      </c>
      <c r="C520" s="750" t="s">
        <v>922</v>
      </c>
      <c r="D520" s="751" t="s">
        <v>65</v>
      </c>
      <c r="E520" s="751" t="s">
        <v>59</v>
      </c>
      <c r="F520" s="752" t="s">
        <v>998</v>
      </c>
      <c r="G520" s="149" t="s">
        <v>142</v>
      </c>
      <c r="H520" s="594">
        <f>'прил12(ведом 21)'!M189</f>
        <v>850</v>
      </c>
    </row>
    <row r="521" spans="1:8" ht="93.75">
      <c r="A521" s="290"/>
      <c r="B521" s="163" t="s">
        <v>923</v>
      </c>
      <c r="C521" s="750" t="s">
        <v>922</v>
      </c>
      <c r="D521" s="751" t="s">
        <v>110</v>
      </c>
      <c r="E521" s="751" t="s">
        <v>63</v>
      </c>
      <c r="F521" s="752" t="s">
        <v>64</v>
      </c>
      <c r="G521" s="149"/>
      <c r="H521" s="304">
        <f>H522+H525+H528+H531+H534+H537+H540+H543</f>
        <v>8801.1779999999999</v>
      </c>
    </row>
    <row r="522" spans="1:8" ht="75">
      <c r="A522" s="290"/>
      <c r="B522" s="167" t="s">
        <v>924</v>
      </c>
      <c r="C522" s="750" t="s">
        <v>922</v>
      </c>
      <c r="D522" s="751" t="s">
        <v>110</v>
      </c>
      <c r="E522" s="751" t="s">
        <v>57</v>
      </c>
      <c r="F522" s="752" t="s">
        <v>64</v>
      </c>
      <c r="G522" s="149"/>
      <c r="H522" s="304">
        <f>H523</f>
        <v>1897.2919999999999</v>
      </c>
    </row>
    <row r="523" spans="1:8" ht="75">
      <c r="A523" s="290"/>
      <c r="B523" s="167" t="s">
        <v>925</v>
      </c>
      <c r="C523" s="750" t="s">
        <v>922</v>
      </c>
      <c r="D523" s="751" t="s">
        <v>110</v>
      </c>
      <c r="E523" s="751" t="s">
        <v>57</v>
      </c>
      <c r="F523" s="752" t="s">
        <v>927</v>
      </c>
      <c r="G523" s="149"/>
      <c r="H523" s="304">
        <f>H524</f>
        <v>1897.2919999999999</v>
      </c>
    </row>
    <row r="524" spans="1:8" ht="18.75">
      <c r="A524" s="290"/>
      <c r="B524" s="163" t="s">
        <v>144</v>
      </c>
      <c r="C524" s="750" t="s">
        <v>922</v>
      </c>
      <c r="D524" s="751" t="s">
        <v>110</v>
      </c>
      <c r="E524" s="751" t="s">
        <v>57</v>
      </c>
      <c r="F524" s="752" t="s">
        <v>927</v>
      </c>
      <c r="G524" s="149" t="s">
        <v>145</v>
      </c>
      <c r="H524" s="304">
        <f>'прил12(ведом 21)'!M209</f>
        <v>1897.2919999999999</v>
      </c>
    </row>
    <row r="525" spans="1:8" ht="56.25">
      <c r="A525" s="290"/>
      <c r="B525" s="163" t="s">
        <v>982</v>
      </c>
      <c r="C525" s="750" t="s">
        <v>922</v>
      </c>
      <c r="D525" s="751" t="s">
        <v>110</v>
      </c>
      <c r="E525" s="751" t="s">
        <v>59</v>
      </c>
      <c r="F525" s="752" t="s">
        <v>64</v>
      </c>
      <c r="G525" s="149"/>
      <c r="H525" s="304">
        <f>H526</f>
        <v>1078.8879999999999</v>
      </c>
    </row>
    <row r="526" spans="1:8" ht="75">
      <c r="A526" s="290"/>
      <c r="B526" s="163" t="s">
        <v>925</v>
      </c>
      <c r="C526" s="750" t="s">
        <v>922</v>
      </c>
      <c r="D526" s="751" t="s">
        <v>110</v>
      </c>
      <c r="E526" s="751" t="s">
        <v>59</v>
      </c>
      <c r="F526" s="752" t="s">
        <v>927</v>
      </c>
      <c r="G526" s="149"/>
      <c r="H526" s="304">
        <f>H527</f>
        <v>1078.8879999999999</v>
      </c>
    </row>
    <row r="527" spans="1:8" ht="18.75">
      <c r="A527" s="290"/>
      <c r="B527" s="163" t="s">
        <v>144</v>
      </c>
      <c r="C527" s="750" t="s">
        <v>922</v>
      </c>
      <c r="D527" s="751" t="s">
        <v>110</v>
      </c>
      <c r="E527" s="751" t="s">
        <v>59</v>
      </c>
      <c r="F527" s="752" t="s">
        <v>927</v>
      </c>
      <c r="G527" s="149" t="s">
        <v>145</v>
      </c>
      <c r="H527" s="165">
        <f>'прил12(ведом 21)'!M212</f>
        <v>1078.8879999999999</v>
      </c>
    </row>
    <row r="528" spans="1:8" ht="112.5">
      <c r="A528" s="290"/>
      <c r="B528" s="163" t="s">
        <v>994</v>
      </c>
      <c r="C528" s="750" t="s">
        <v>922</v>
      </c>
      <c r="D528" s="751" t="s">
        <v>110</v>
      </c>
      <c r="E528" s="751" t="s">
        <v>84</v>
      </c>
      <c r="F528" s="752" t="s">
        <v>64</v>
      </c>
      <c r="G528" s="149"/>
      <c r="H528" s="165">
        <f>H529</f>
        <v>63</v>
      </c>
    </row>
    <row r="529" spans="1:8" ht="75">
      <c r="A529" s="290"/>
      <c r="B529" s="163" t="s">
        <v>925</v>
      </c>
      <c r="C529" s="750" t="s">
        <v>922</v>
      </c>
      <c r="D529" s="751" t="s">
        <v>110</v>
      </c>
      <c r="E529" s="751" t="s">
        <v>84</v>
      </c>
      <c r="F529" s="752" t="s">
        <v>927</v>
      </c>
      <c r="G529" s="149"/>
      <c r="H529" s="165">
        <f>H530</f>
        <v>63</v>
      </c>
    </row>
    <row r="530" spans="1:8" ht="18.75">
      <c r="A530" s="290"/>
      <c r="B530" s="163" t="s">
        <v>144</v>
      </c>
      <c r="C530" s="750" t="s">
        <v>922</v>
      </c>
      <c r="D530" s="751" t="s">
        <v>110</v>
      </c>
      <c r="E530" s="751" t="s">
        <v>84</v>
      </c>
      <c r="F530" s="752" t="s">
        <v>927</v>
      </c>
      <c r="G530" s="149" t="s">
        <v>145</v>
      </c>
      <c r="H530" s="165">
        <f>'прил12(ведом 21)'!M215</f>
        <v>63</v>
      </c>
    </row>
    <row r="531" spans="1:8" ht="112.5">
      <c r="A531" s="290"/>
      <c r="B531" s="163" t="s">
        <v>995</v>
      </c>
      <c r="C531" s="750" t="s">
        <v>922</v>
      </c>
      <c r="D531" s="751" t="s">
        <v>110</v>
      </c>
      <c r="E531" s="751" t="s">
        <v>72</v>
      </c>
      <c r="F531" s="752" t="s">
        <v>64</v>
      </c>
      <c r="G531" s="149"/>
      <c r="H531" s="165">
        <f>H532</f>
        <v>202</v>
      </c>
    </row>
    <row r="532" spans="1:8" ht="75">
      <c r="A532" s="290"/>
      <c r="B532" s="163" t="s">
        <v>925</v>
      </c>
      <c r="C532" s="750" t="s">
        <v>922</v>
      </c>
      <c r="D532" s="751" t="s">
        <v>110</v>
      </c>
      <c r="E532" s="751" t="s">
        <v>72</v>
      </c>
      <c r="F532" s="752" t="s">
        <v>927</v>
      </c>
      <c r="G532" s="149"/>
      <c r="H532" s="165">
        <f>H533</f>
        <v>202</v>
      </c>
    </row>
    <row r="533" spans="1:8" ht="18.75">
      <c r="A533" s="290"/>
      <c r="B533" s="163" t="s">
        <v>144</v>
      </c>
      <c r="C533" s="750" t="s">
        <v>922</v>
      </c>
      <c r="D533" s="751" t="s">
        <v>110</v>
      </c>
      <c r="E533" s="751" t="s">
        <v>72</v>
      </c>
      <c r="F533" s="752" t="s">
        <v>927</v>
      </c>
      <c r="G533" s="288" t="s">
        <v>145</v>
      </c>
      <c r="H533" s="304">
        <f>'прил12(ведом 21)'!M218</f>
        <v>202</v>
      </c>
    </row>
    <row r="534" spans="1:8" ht="93.75">
      <c r="A534" s="290"/>
      <c r="B534" s="163" t="s">
        <v>1004</v>
      </c>
      <c r="C534" s="750" t="s">
        <v>922</v>
      </c>
      <c r="D534" s="751" t="s">
        <v>110</v>
      </c>
      <c r="E534" s="751" t="s">
        <v>86</v>
      </c>
      <c r="F534" s="752" t="s">
        <v>64</v>
      </c>
      <c r="G534" s="288"/>
      <c r="H534" s="304">
        <f>H535</f>
        <v>150</v>
      </c>
    </row>
    <row r="535" spans="1:8" ht="75">
      <c r="A535" s="290"/>
      <c r="B535" s="163" t="s">
        <v>925</v>
      </c>
      <c r="C535" s="750" t="s">
        <v>922</v>
      </c>
      <c r="D535" s="751" t="s">
        <v>110</v>
      </c>
      <c r="E535" s="751" t="s">
        <v>86</v>
      </c>
      <c r="F535" s="752" t="s">
        <v>927</v>
      </c>
      <c r="G535" s="288"/>
      <c r="H535" s="304">
        <f>H536</f>
        <v>150</v>
      </c>
    </row>
    <row r="536" spans="1:8" ht="18.75">
      <c r="A536" s="290"/>
      <c r="B536" s="163" t="s">
        <v>144</v>
      </c>
      <c r="C536" s="750" t="s">
        <v>922</v>
      </c>
      <c r="D536" s="751" t="s">
        <v>110</v>
      </c>
      <c r="E536" s="751" t="s">
        <v>86</v>
      </c>
      <c r="F536" s="752" t="s">
        <v>927</v>
      </c>
      <c r="G536" s="288" t="s">
        <v>145</v>
      </c>
      <c r="H536" s="304">
        <f>'прил12(ведом 21)'!M221</f>
        <v>150</v>
      </c>
    </row>
    <row r="537" spans="1:8" ht="18.75">
      <c r="A537" s="290"/>
      <c r="B537" s="163" t="s">
        <v>1005</v>
      </c>
      <c r="C537" s="750" t="s">
        <v>922</v>
      </c>
      <c r="D537" s="751" t="s">
        <v>110</v>
      </c>
      <c r="E537" s="751" t="s">
        <v>102</v>
      </c>
      <c r="F537" s="752" t="s">
        <v>64</v>
      </c>
      <c r="G537" s="288"/>
      <c r="H537" s="304">
        <f>H538</f>
        <v>86</v>
      </c>
    </row>
    <row r="538" spans="1:8" ht="75">
      <c r="A538" s="290"/>
      <c r="B538" s="163" t="s">
        <v>1006</v>
      </c>
      <c r="C538" s="750" t="s">
        <v>922</v>
      </c>
      <c r="D538" s="751" t="s">
        <v>110</v>
      </c>
      <c r="E538" s="751" t="s">
        <v>102</v>
      </c>
      <c r="F538" s="752" t="s">
        <v>927</v>
      </c>
      <c r="G538" s="288"/>
      <c r="H538" s="304">
        <f>H539</f>
        <v>86</v>
      </c>
    </row>
    <row r="539" spans="1:8" ht="18.75">
      <c r="A539" s="290"/>
      <c r="B539" s="163" t="s">
        <v>144</v>
      </c>
      <c r="C539" s="750" t="s">
        <v>922</v>
      </c>
      <c r="D539" s="751" t="s">
        <v>110</v>
      </c>
      <c r="E539" s="751" t="s">
        <v>102</v>
      </c>
      <c r="F539" s="752" t="s">
        <v>927</v>
      </c>
      <c r="G539" s="288" t="s">
        <v>145</v>
      </c>
      <c r="H539" s="304">
        <f>'прил12(ведом 21)'!M224</f>
        <v>86</v>
      </c>
    </row>
    <row r="540" spans="1:8" ht="112.5">
      <c r="A540" s="290"/>
      <c r="B540" s="163" t="s">
        <v>1019</v>
      </c>
      <c r="C540" s="781" t="s">
        <v>922</v>
      </c>
      <c r="D540" s="782" t="s">
        <v>110</v>
      </c>
      <c r="E540" s="782" t="s">
        <v>246</v>
      </c>
      <c r="F540" s="783" t="s">
        <v>64</v>
      </c>
      <c r="G540" s="288"/>
      <c r="H540" s="304">
        <f>H541</f>
        <v>2569.998</v>
      </c>
    </row>
    <row r="541" spans="1:8" ht="75">
      <c r="A541" s="290"/>
      <c r="B541" s="163" t="s">
        <v>1006</v>
      </c>
      <c r="C541" s="781" t="s">
        <v>922</v>
      </c>
      <c r="D541" s="782" t="s">
        <v>110</v>
      </c>
      <c r="E541" s="782" t="s">
        <v>246</v>
      </c>
      <c r="F541" s="783" t="s">
        <v>927</v>
      </c>
      <c r="G541" s="288"/>
      <c r="H541" s="304">
        <f>H542</f>
        <v>2569.998</v>
      </c>
    </row>
    <row r="542" spans="1:8" ht="18.75">
      <c r="A542" s="290"/>
      <c r="B542" s="763" t="s">
        <v>144</v>
      </c>
      <c r="C542" s="766" t="s">
        <v>922</v>
      </c>
      <c r="D542" s="767" t="s">
        <v>110</v>
      </c>
      <c r="E542" s="767" t="s">
        <v>246</v>
      </c>
      <c r="F542" s="768" t="s">
        <v>927</v>
      </c>
      <c r="G542" s="765" t="s">
        <v>145</v>
      </c>
      <c r="H542" s="833">
        <f>'прил12(ведом 21)'!M227</f>
        <v>2569.998</v>
      </c>
    </row>
    <row r="543" spans="1:8" ht="37.5">
      <c r="A543" s="290"/>
      <c r="B543" s="785" t="s">
        <v>1020</v>
      </c>
      <c r="C543" s="788" t="s">
        <v>922</v>
      </c>
      <c r="D543" s="789" t="s">
        <v>110</v>
      </c>
      <c r="E543" s="789" t="s">
        <v>248</v>
      </c>
      <c r="F543" s="790" t="s">
        <v>64</v>
      </c>
      <c r="G543" s="791"/>
      <c r="H543" s="833">
        <f>H544</f>
        <v>2754</v>
      </c>
    </row>
    <row r="544" spans="1:8" ht="37.5">
      <c r="A544" s="290"/>
      <c r="B544" s="785" t="s">
        <v>749</v>
      </c>
      <c r="C544" s="788" t="s">
        <v>922</v>
      </c>
      <c r="D544" s="789" t="s">
        <v>110</v>
      </c>
      <c r="E544" s="789" t="s">
        <v>248</v>
      </c>
      <c r="F544" s="790" t="s">
        <v>90</v>
      </c>
      <c r="G544" s="834"/>
      <c r="H544" s="833">
        <f>H545</f>
        <v>2754</v>
      </c>
    </row>
    <row r="545" spans="1:8" ht="18.75">
      <c r="A545" s="290"/>
      <c r="B545" s="362" t="s">
        <v>77</v>
      </c>
      <c r="C545" s="788" t="s">
        <v>922</v>
      </c>
      <c r="D545" s="789" t="s">
        <v>110</v>
      </c>
      <c r="E545" s="789" t="s">
        <v>248</v>
      </c>
      <c r="F545" s="790" t="s">
        <v>90</v>
      </c>
      <c r="G545" s="791" t="s">
        <v>78</v>
      </c>
      <c r="H545" s="833">
        <f>'прил12(ведом 21)'!M323</f>
        <v>2754</v>
      </c>
    </row>
    <row r="546" spans="1:8" ht="18.75">
      <c r="A546" s="290"/>
      <c r="B546" s="163"/>
      <c r="C546" s="745"/>
      <c r="D546" s="745"/>
      <c r="E546" s="745"/>
      <c r="F546" s="745"/>
      <c r="G546" s="288"/>
      <c r="H546" s="304"/>
    </row>
    <row r="547" spans="1:8" s="302" customFormat="1" ht="44.25" customHeight="1">
      <c r="A547" s="313">
        <v>19</v>
      </c>
      <c r="B547" s="659" t="s">
        <v>755</v>
      </c>
      <c r="C547" s="314" t="s">
        <v>89</v>
      </c>
      <c r="D547" s="314" t="s">
        <v>62</v>
      </c>
      <c r="E547" s="314" t="s">
        <v>63</v>
      </c>
      <c r="F547" s="314" t="s">
        <v>64</v>
      </c>
      <c r="G547" s="300"/>
      <c r="H547" s="301">
        <f>H548</f>
        <v>5092.8220000000001</v>
      </c>
    </row>
    <row r="548" spans="1:8" ht="18.600000000000001" customHeight="1">
      <c r="A548" s="290"/>
      <c r="B548" s="317" t="s">
        <v>751</v>
      </c>
      <c r="C548" s="750" t="s">
        <v>89</v>
      </c>
      <c r="D548" s="751" t="s">
        <v>65</v>
      </c>
      <c r="E548" s="751" t="s">
        <v>63</v>
      </c>
      <c r="F548" s="752" t="s">
        <v>64</v>
      </c>
      <c r="G548" s="149"/>
      <c r="H548" s="304">
        <f>H549</f>
        <v>5092.8220000000001</v>
      </c>
    </row>
    <row r="549" spans="1:8" ht="37.5">
      <c r="A549" s="290"/>
      <c r="B549" s="303" t="s">
        <v>749</v>
      </c>
      <c r="C549" s="750" t="s">
        <v>89</v>
      </c>
      <c r="D549" s="751" t="s">
        <v>65</v>
      </c>
      <c r="E549" s="751" t="s">
        <v>63</v>
      </c>
      <c r="F549" s="752" t="s">
        <v>90</v>
      </c>
      <c r="G549" s="149"/>
      <c r="H549" s="304">
        <f>H550</f>
        <v>5092.8220000000001</v>
      </c>
    </row>
    <row r="550" spans="1:8" ht="18.75">
      <c r="A550" s="290"/>
      <c r="B550" s="303" t="s">
        <v>77</v>
      </c>
      <c r="C550" s="750" t="s">
        <v>89</v>
      </c>
      <c r="D550" s="751" t="s">
        <v>65</v>
      </c>
      <c r="E550" s="751" t="s">
        <v>63</v>
      </c>
      <c r="F550" s="752" t="s">
        <v>90</v>
      </c>
      <c r="G550" s="149" t="s">
        <v>78</v>
      </c>
      <c r="H550" s="304">
        <f>'прил12(ведом 21)'!M56</f>
        <v>5092.8220000000001</v>
      </c>
    </row>
    <row r="551" spans="1:8" ht="18.75">
      <c r="A551" s="369"/>
      <c r="B551" s="370"/>
      <c r="C551" s="371"/>
      <c r="D551" s="371"/>
      <c r="E551" s="371"/>
      <c r="F551" s="371"/>
      <c r="G551" s="371"/>
      <c r="H551" s="372"/>
    </row>
    <row r="552" spans="1:8" ht="18.75">
      <c r="A552" s="281"/>
      <c r="B552" s="282"/>
      <c r="C552" s="283"/>
      <c r="D552" s="283"/>
      <c r="E552" s="283"/>
      <c r="F552" s="283"/>
      <c r="G552" s="373"/>
    </row>
    <row r="553" spans="1:8" ht="18.75">
      <c r="A553" s="374" t="s">
        <v>467</v>
      </c>
      <c r="B553" s="282"/>
      <c r="C553" s="283"/>
      <c r="D553" s="283"/>
      <c r="E553" s="283"/>
      <c r="F553" s="283"/>
      <c r="G553" s="373"/>
    </row>
    <row r="554" spans="1:8" ht="18.75">
      <c r="A554" s="374" t="s">
        <v>468</v>
      </c>
      <c r="B554" s="282"/>
      <c r="C554" s="283"/>
      <c r="D554" s="283"/>
      <c r="E554" s="283"/>
      <c r="F554" s="283"/>
      <c r="G554" s="373"/>
    </row>
    <row r="555" spans="1:8" ht="18.75">
      <c r="A555" s="375" t="s">
        <v>469</v>
      </c>
      <c r="B555" s="282"/>
      <c r="C555" s="279"/>
      <c r="D555" s="283"/>
      <c r="E555" s="283"/>
      <c r="F555" s="283"/>
      <c r="G555" s="279"/>
      <c r="H555" s="376" t="s">
        <v>494</v>
      </c>
    </row>
    <row r="556" spans="1:8">
      <c r="A556" s="281"/>
      <c r="B556" s="282"/>
      <c r="C556" s="283"/>
      <c r="D556" s="283"/>
      <c r="E556" s="283"/>
      <c r="F556" s="283"/>
    </row>
    <row r="557" spans="1:8">
      <c r="A557" s="281"/>
      <c r="B557" s="282"/>
      <c r="C557" s="283"/>
      <c r="D557" s="283"/>
      <c r="E557" s="283"/>
      <c r="F557" s="283"/>
    </row>
    <row r="558" spans="1:8">
      <c r="A558" s="281"/>
      <c r="B558" s="282"/>
      <c r="C558" s="283"/>
      <c r="D558" s="283"/>
      <c r="E558" s="283"/>
      <c r="F558" s="283"/>
    </row>
    <row r="559" spans="1:8" ht="18.75">
      <c r="A559" s="281"/>
      <c r="B559" s="282"/>
      <c r="C559" s="283"/>
      <c r="D559" s="283"/>
      <c r="E559" s="283"/>
      <c r="F559" s="283"/>
      <c r="G559" s="373"/>
    </row>
    <row r="560" spans="1:8">
      <c r="B560" s="275" t="s">
        <v>259</v>
      </c>
      <c r="H560" s="280">
        <f>H14+H142+H196+H231+H256+H290+H312+H347+H396+H405+H411+H421+H429+H435+H383+H499</f>
        <v>1620417.8900000004</v>
      </c>
    </row>
    <row r="562" spans="2:8">
      <c r="H562" s="280">
        <f>(H560/H13)*100</f>
        <v>98.828260098593333</v>
      </c>
    </row>
    <row r="564" spans="2:8">
      <c r="B564" s="275" t="s">
        <v>260</v>
      </c>
      <c r="H564" s="280">
        <f>H505+H547</f>
        <v>9351.0220000000008</v>
      </c>
    </row>
    <row r="565" spans="2:8">
      <c r="H565" s="280">
        <f>(H564/H566)*100</f>
        <v>0.57376367478532431</v>
      </c>
    </row>
    <row r="566" spans="2:8">
      <c r="H566" s="280">
        <f>H560+H564</f>
        <v>1629768.9120000005</v>
      </c>
    </row>
  </sheetData>
  <autoFilter ref="A4:J566"/>
  <mergeCells count="3">
    <mergeCell ref="A8:H8"/>
    <mergeCell ref="C11:F11"/>
    <mergeCell ref="C12:F12"/>
  </mergeCells>
  <printOptions horizontalCentered="1"/>
  <pageMargins left="1.1811023622047245" right="0.39370078740157483" top="0.78740157480314965" bottom="0.78740157480314965" header="0" footer="0"/>
  <pageSetup paperSize="9" scale="78" fitToHeight="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L430"/>
  <sheetViews>
    <sheetView zoomScale="80" zoomScaleNormal="80" zoomScaleSheetLayoutView="40" workbookViewId="0">
      <pane ySplit="5" topLeftCell="A14" activePane="bottomLeft" state="frozen"/>
      <selection activeCell="C24" sqref="C24"/>
      <selection pane="bottomLeft" activeCell="I2" sqref="I2"/>
    </sheetView>
  </sheetViews>
  <sheetFormatPr defaultColWidth="9.140625" defaultRowHeight="15.75"/>
  <cols>
    <col min="1" max="1" width="4.5703125" style="274" customWidth="1"/>
    <col min="2" max="2" width="62.42578125" style="275" customWidth="1"/>
    <col min="3" max="3" width="3.140625" style="276" customWidth="1"/>
    <col min="4" max="4" width="2.28515625" style="276" customWidth="1"/>
    <col min="5" max="5" width="3" style="276" customWidth="1"/>
    <col min="6" max="6" width="8" style="276" customWidth="1"/>
    <col min="7" max="7" width="5.5703125" style="277" customWidth="1"/>
    <col min="8" max="8" width="14.140625" style="434" customWidth="1"/>
    <col min="9" max="9" width="13.28515625" style="279" customWidth="1"/>
    <col min="10" max="10" width="17.7109375" style="279" customWidth="1"/>
    <col min="11" max="11" width="17.28515625" style="279" customWidth="1"/>
    <col min="12" max="12" width="15.5703125" style="279" customWidth="1"/>
    <col min="13" max="16384" width="9.140625" style="279"/>
  </cols>
  <sheetData>
    <row r="1" spans="1:12" s="193" customFormat="1" ht="18.75">
      <c r="I1" s="200" t="s">
        <v>541</v>
      </c>
    </row>
    <row r="2" spans="1:12" s="193" customFormat="1" ht="18.75">
      <c r="I2" s="200" t="s">
        <v>1029</v>
      </c>
    </row>
    <row r="4" spans="1:12" ht="18.75">
      <c r="I4" s="278" t="s">
        <v>569</v>
      </c>
    </row>
    <row r="5" spans="1:12" ht="18.75">
      <c r="I5" s="495" t="s">
        <v>917</v>
      </c>
    </row>
    <row r="8" spans="1:12" ht="76.5" customHeight="1">
      <c r="A8" s="959" t="s">
        <v>772</v>
      </c>
      <c r="B8" s="959"/>
      <c r="C8" s="959"/>
      <c r="D8" s="959"/>
      <c r="E8" s="959"/>
      <c r="F8" s="959"/>
      <c r="G8" s="959"/>
      <c r="H8" s="959"/>
      <c r="I8" s="959"/>
    </row>
    <row r="9" spans="1:12">
      <c r="A9" s="279"/>
      <c r="B9" s="279"/>
      <c r="C9" s="274"/>
      <c r="D9" s="274"/>
      <c r="E9" s="274"/>
      <c r="F9" s="274"/>
      <c r="G9" s="280"/>
    </row>
    <row r="10" spans="1:12" ht="18.75">
      <c r="A10" s="281"/>
      <c r="B10" s="282"/>
      <c r="C10" s="283"/>
      <c r="D10" s="283"/>
      <c r="E10" s="283"/>
      <c r="F10" s="283"/>
      <c r="G10" s="279"/>
      <c r="I10" s="484" t="s">
        <v>42</v>
      </c>
    </row>
    <row r="11" spans="1:12" ht="18.75">
      <c r="A11" s="967" t="s">
        <v>43</v>
      </c>
      <c r="B11" s="968" t="s">
        <v>44</v>
      </c>
      <c r="C11" s="968" t="s">
        <v>48</v>
      </c>
      <c r="D11" s="968"/>
      <c r="E11" s="968"/>
      <c r="F11" s="968"/>
      <c r="G11" s="968" t="s">
        <v>49</v>
      </c>
      <c r="H11" s="966" t="s">
        <v>33</v>
      </c>
      <c r="I11" s="966"/>
    </row>
    <row r="12" spans="1:12" ht="40.9" customHeight="1">
      <c r="A12" s="967"/>
      <c r="B12" s="968"/>
      <c r="C12" s="968"/>
      <c r="D12" s="968"/>
      <c r="E12" s="968"/>
      <c r="F12" s="968"/>
      <c r="G12" s="968"/>
      <c r="H12" s="485" t="s">
        <v>580</v>
      </c>
      <c r="I12" s="485" t="s">
        <v>773</v>
      </c>
    </row>
    <row r="13" spans="1:12" ht="18.75">
      <c r="A13" s="286">
        <v>1</v>
      </c>
      <c r="B13" s="287">
        <v>2</v>
      </c>
      <c r="C13" s="963" t="s">
        <v>50</v>
      </c>
      <c r="D13" s="964"/>
      <c r="E13" s="964"/>
      <c r="F13" s="965"/>
      <c r="G13" s="288" t="s">
        <v>51</v>
      </c>
      <c r="H13" s="289">
        <v>5</v>
      </c>
      <c r="I13" s="289">
        <v>6</v>
      </c>
    </row>
    <row r="14" spans="1:12" ht="18.75">
      <c r="A14" s="290"/>
      <c r="B14" s="291" t="s">
        <v>224</v>
      </c>
      <c r="C14" s="292"/>
      <c r="D14" s="292"/>
      <c r="E14" s="292"/>
      <c r="F14" s="292"/>
      <c r="G14" s="293"/>
      <c r="H14" s="294">
        <f>H15+H99+H139+H166+H189+H215+H232+H256+H292+H304+H313+H319+H329+H343+H397+H404+H409+H337</f>
        <v>1571867.3</v>
      </c>
      <c r="I14" s="294">
        <f>I15+I99+I139+I166+I189+I215+I232+I256+I292+I304+I313+I319+I329+I343+I397+I404+I409+I337</f>
        <v>1512134.5</v>
      </c>
      <c r="J14" s="486"/>
      <c r="K14" s="486">
        <f>H14-'прил13(ведом 22-23)'!M15</f>
        <v>0</v>
      </c>
      <c r="L14" s="486">
        <f>I14-'прил13(ведом 22-23)'!N15</f>
        <v>0</v>
      </c>
    </row>
    <row r="15" spans="1:12" s="302" customFormat="1" ht="56.25">
      <c r="A15" s="296">
        <v>1</v>
      </c>
      <c r="B15" s="297" t="s">
        <v>227</v>
      </c>
      <c r="C15" s="298" t="s">
        <v>59</v>
      </c>
      <c r="D15" s="298" t="s">
        <v>62</v>
      </c>
      <c r="E15" s="298" t="s">
        <v>63</v>
      </c>
      <c r="F15" s="299" t="s">
        <v>64</v>
      </c>
      <c r="G15" s="300"/>
      <c r="H15" s="301">
        <f>H16+H56+H69</f>
        <v>1111901.3999999999</v>
      </c>
      <c r="I15" s="301">
        <f>I16+I56+I69</f>
        <v>1007074.2</v>
      </c>
    </row>
    <row r="16" spans="1:12" ht="24" customHeight="1">
      <c r="A16" s="290"/>
      <c r="B16" s="303" t="s">
        <v>228</v>
      </c>
      <c r="C16" s="745" t="s">
        <v>59</v>
      </c>
      <c r="D16" s="745" t="s">
        <v>65</v>
      </c>
      <c r="E16" s="745" t="s">
        <v>63</v>
      </c>
      <c r="F16" s="746" t="s">
        <v>64</v>
      </c>
      <c r="G16" s="288"/>
      <c r="H16" s="304">
        <f>H17+H29</f>
        <v>984531.5</v>
      </c>
      <c r="I16" s="304">
        <f>I17+I29</f>
        <v>879606.29999999993</v>
      </c>
    </row>
    <row r="17" spans="1:9" ht="18.75">
      <c r="A17" s="290"/>
      <c r="B17" s="303" t="s">
        <v>307</v>
      </c>
      <c r="C17" s="750" t="s">
        <v>59</v>
      </c>
      <c r="D17" s="751" t="s">
        <v>65</v>
      </c>
      <c r="E17" s="751" t="s">
        <v>57</v>
      </c>
      <c r="F17" s="752" t="s">
        <v>64</v>
      </c>
      <c r="G17" s="288"/>
      <c r="H17" s="304">
        <f>H20+H23+H25+H18+H27</f>
        <v>416538.2</v>
      </c>
      <c r="I17" s="304">
        <f>I20+I23+I25+I18+I27</f>
        <v>317984.90000000002</v>
      </c>
    </row>
    <row r="18" spans="1:9" ht="37.5">
      <c r="A18" s="290"/>
      <c r="B18" s="303" t="s">
        <v>795</v>
      </c>
      <c r="C18" s="750" t="s">
        <v>59</v>
      </c>
      <c r="D18" s="751" t="s">
        <v>65</v>
      </c>
      <c r="E18" s="751" t="s">
        <v>57</v>
      </c>
      <c r="F18" s="752" t="s">
        <v>112</v>
      </c>
      <c r="G18" s="149"/>
      <c r="H18" s="304">
        <f>H19</f>
        <v>97128.3</v>
      </c>
      <c r="I18" s="304">
        <f>I19</f>
        <v>96714.1</v>
      </c>
    </row>
    <row r="19" spans="1:9" ht="42" customHeight="1">
      <c r="A19" s="290"/>
      <c r="B19" s="303" t="s">
        <v>97</v>
      </c>
      <c r="C19" s="750" t="s">
        <v>59</v>
      </c>
      <c r="D19" s="751" t="s">
        <v>65</v>
      </c>
      <c r="E19" s="751" t="s">
        <v>57</v>
      </c>
      <c r="F19" s="752" t="s">
        <v>112</v>
      </c>
      <c r="G19" s="149" t="s">
        <v>98</v>
      </c>
      <c r="H19" s="304">
        <f>'прил13(ведом 22-23)'!M299</f>
        <v>97128.3</v>
      </c>
      <c r="I19" s="304">
        <f>'прил13(ведом 22-23)'!N299</f>
        <v>96714.1</v>
      </c>
    </row>
    <row r="20" spans="1:9" ht="117.75" customHeight="1">
      <c r="A20" s="290"/>
      <c r="B20" s="303" t="s">
        <v>323</v>
      </c>
      <c r="C20" s="750" t="s">
        <v>59</v>
      </c>
      <c r="D20" s="751" t="s">
        <v>65</v>
      </c>
      <c r="E20" s="751" t="s">
        <v>57</v>
      </c>
      <c r="F20" s="752" t="s">
        <v>324</v>
      </c>
      <c r="G20" s="149"/>
      <c r="H20" s="304">
        <f>SUM(H21:H22)</f>
        <v>8034.2</v>
      </c>
      <c r="I20" s="304">
        <f>SUM(I21:I22)</f>
        <v>8034.2</v>
      </c>
    </row>
    <row r="21" spans="1:9" ht="37.5">
      <c r="A21" s="290"/>
      <c r="B21" s="303" t="s">
        <v>75</v>
      </c>
      <c r="C21" s="750" t="s">
        <v>59</v>
      </c>
      <c r="D21" s="751" t="s">
        <v>65</v>
      </c>
      <c r="E21" s="751" t="s">
        <v>57</v>
      </c>
      <c r="F21" s="752" t="s">
        <v>324</v>
      </c>
      <c r="G21" s="149" t="s">
        <v>76</v>
      </c>
      <c r="H21" s="304">
        <f>'прил13(ведом 22-23)'!M397</f>
        <v>118.7</v>
      </c>
      <c r="I21" s="304">
        <f>'прил13(ведом 22-23)'!N397</f>
        <v>118.7</v>
      </c>
    </row>
    <row r="22" spans="1:9" ht="24" customHeight="1">
      <c r="A22" s="290"/>
      <c r="B22" s="305" t="s">
        <v>141</v>
      </c>
      <c r="C22" s="750" t="s">
        <v>59</v>
      </c>
      <c r="D22" s="751" t="s">
        <v>65</v>
      </c>
      <c r="E22" s="751" t="s">
        <v>57</v>
      </c>
      <c r="F22" s="752" t="s">
        <v>324</v>
      </c>
      <c r="G22" s="149" t="s">
        <v>142</v>
      </c>
      <c r="H22" s="304">
        <f>'прил13(ведом 22-23)'!M398</f>
        <v>7915.5</v>
      </c>
      <c r="I22" s="304">
        <f>'прил13(ведом 22-23)'!N398</f>
        <v>7915.5</v>
      </c>
    </row>
    <row r="23" spans="1:9" ht="18.75">
      <c r="A23" s="290"/>
      <c r="B23" s="303" t="s">
        <v>308</v>
      </c>
      <c r="C23" s="750" t="s">
        <v>59</v>
      </c>
      <c r="D23" s="751" t="s">
        <v>65</v>
      </c>
      <c r="E23" s="751" t="s">
        <v>57</v>
      </c>
      <c r="F23" s="752" t="s">
        <v>309</v>
      </c>
      <c r="G23" s="149"/>
      <c r="H23" s="304">
        <f>H24</f>
        <v>520.70000000000005</v>
      </c>
      <c r="I23" s="304">
        <f>I24</f>
        <v>538.79999999999995</v>
      </c>
    </row>
    <row r="24" spans="1:9" ht="42.75" customHeight="1">
      <c r="A24" s="290"/>
      <c r="B24" s="303" t="s">
        <v>97</v>
      </c>
      <c r="C24" s="750" t="s">
        <v>59</v>
      </c>
      <c r="D24" s="751" t="s">
        <v>65</v>
      </c>
      <c r="E24" s="751" t="s">
        <v>57</v>
      </c>
      <c r="F24" s="752" t="s">
        <v>309</v>
      </c>
      <c r="G24" s="149" t="s">
        <v>98</v>
      </c>
      <c r="H24" s="304">
        <f>'прил13(ведом 22-23)'!M301</f>
        <v>520.70000000000005</v>
      </c>
      <c r="I24" s="304">
        <f>'прил13(ведом 22-23)'!N301</f>
        <v>538.79999999999995</v>
      </c>
    </row>
    <row r="25" spans="1:9" ht="97.5" customHeight="1">
      <c r="A25" s="290"/>
      <c r="B25" s="303" t="s">
        <v>415</v>
      </c>
      <c r="C25" s="750" t="s">
        <v>59</v>
      </c>
      <c r="D25" s="751" t="s">
        <v>65</v>
      </c>
      <c r="E25" s="751" t="s">
        <v>57</v>
      </c>
      <c r="F25" s="752" t="s">
        <v>310</v>
      </c>
      <c r="G25" s="149"/>
      <c r="H25" s="304">
        <f>H26</f>
        <v>212697.8</v>
      </c>
      <c r="I25" s="304">
        <f>I26</f>
        <v>212697.8</v>
      </c>
    </row>
    <row r="26" spans="1:9" ht="42.75" customHeight="1">
      <c r="A26" s="290"/>
      <c r="B26" s="305" t="s">
        <v>97</v>
      </c>
      <c r="C26" s="750" t="s">
        <v>59</v>
      </c>
      <c r="D26" s="751" t="s">
        <v>65</v>
      </c>
      <c r="E26" s="751" t="s">
        <v>57</v>
      </c>
      <c r="F26" s="752" t="s">
        <v>310</v>
      </c>
      <c r="G26" s="149" t="s">
        <v>98</v>
      </c>
      <c r="H26" s="304">
        <f>'прил13(ведом 22-23)'!M303</f>
        <v>212697.8</v>
      </c>
      <c r="I26" s="304">
        <f>'прил13(ведом 22-23)'!N303</f>
        <v>212697.8</v>
      </c>
    </row>
    <row r="27" spans="1:9" s="910" customFormat="1" ht="18.75">
      <c r="A27" s="907"/>
      <c r="B27" s="908" t="s">
        <v>1027</v>
      </c>
      <c r="C27" s="904" t="s">
        <v>59</v>
      </c>
      <c r="D27" s="905" t="s">
        <v>65</v>
      </c>
      <c r="E27" s="905" t="s">
        <v>57</v>
      </c>
      <c r="F27" s="906" t="s">
        <v>1026</v>
      </c>
      <c r="G27" s="895"/>
      <c r="H27" s="909">
        <f>H28</f>
        <v>98157.2</v>
      </c>
      <c r="I27" s="909">
        <f>I28</f>
        <v>0</v>
      </c>
    </row>
    <row r="28" spans="1:9" ht="42.75" customHeight="1">
      <c r="A28" s="290"/>
      <c r="B28" s="863" t="s">
        <v>225</v>
      </c>
      <c r="C28" s="830" t="s">
        <v>59</v>
      </c>
      <c r="D28" s="831" t="s">
        <v>65</v>
      </c>
      <c r="E28" s="831" t="s">
        <v>57</v>
      </c>
      <c r="F28" s="832" t="s">
        <v>1026</v>
      </c>
      <c r="G28" s="829" t="s">
        <v>226</v>
      </c>
      <c r="H28" s="873">
        <f>'прил13(ведом 22-23)'!M262</f>
        <v>98157.2</v>
      </c>
      <c r="I28" s="873">
        <f>'прил13(ведом 22-23)'!N262</f>
        <v>0</v>
      </c>
    </row>
    <row r="29" spans="1:9" ht="18.75">
      <c r="A29" s="290"/>
      <c r="B29" s="303" t="s">
        <v>312</v>
      </c>
      <c r="C29" s="750" t="s">
        <v>59</v>
      </c>
      <c r="D29" s="751" t="s">
        <v>65</v>
      </c>
      <c r="E29" s="751" t="s">
        <v>59</v>
      </c>
      <c r="F29" s="752" t="s">
        <v>64</v>
      </c>
      <c r="G29" s="149"/>
      <c r="H29" s="304">
        <f>H42+H46+H50+H30+H35+H53+H39</f>
        <v>567993.29999999993</v>
      </c>
      <c r="I29" s="304">
        <f>I42+I46+I50+I30+I35+I53+I39</f>
        <v>561621.39999999991</v>
      </c>
    </row>
    <row r="30" spans="1:9" ht="37.5">
      <c r="A30" s="290"/>
      <c r="B30" s="303" t="s">
        <v>795</v>
      </c>
      <c r="C30" s="750" t="s">
        <v>59</v>
      </c>
      <c r="D30" s="751" t="s">
        <v>65</v>
      </c>
      <c r="E30" s="751" t="s">
        <v>59</v>
      </c>
      <c r="F30" s="752" t="s">
        <v>112</v>
      </c>
      <c r="G30" s="149"/>
      <c r="H30" s="304">
        <f>SUM(H31:H34)</f>
        <v>59981.899999999994</v>
      </c>
      <c r="I30" s="304">
        <f>SUM(I31:I34)</f>
        <v>59681.7</v>
      </c>
    </row>
    <row r="31" spans="1:9" ht="93.75">
      <c r="A31" s="290"/>
      <c r="B31" s="163" t="s">
        <v>69</v>
      </c>
      <c r="C31" s="750" t="s">
        <v>59</v>
      </c>
      <c r="D31" s="751" t="s">
        <v>65</v>
      </c>
      <c r="E31" s="751" t="s">
        <v>59</v>
      </c>
      <c r="F31" s="752" t="s">
        <v>112</v>
      </c>
      <c r="G31" s="149" t="s">
        <v>70</v>
      </c>
      <c r="H31" s="304">
        <f>'прил13(ведом 22-23)'!M314</f>
        <v>899.4</v>
      </c>
      <c r="I31" s="304">
        <f>'прил13(ведом 22-23)'!N314</f>
        <v>899.4</v>
      </c>
    </row>
    <row r="32" spans="1:9" ht="37.5">
      <c r="A32" s="290"/>
      <c r="B32" s="163" t="s">
        <v>75</v>
      </c>
      <c r="C32" s="750" t="s">
        <v>59</v>
      </c>
      <c r="D32" s="751" t="s">
        <v>65</v>
      </c>
      <c r="E32" s="751" t="s">
        <v>59</v>
      </c>
      <c r="F32" s="752" t="s">
        <v>112</v>
      </c>
      <c r="G32" s="149" t="s">
        <v>76</v>
      </c>
      <c r="H32" s="304">
        <f>'прил13(ведом 22-23)'!M315</f>
        <v>3918.2</v>
      </c>
      <c r="I32" s="304">
        <f>'прил13(ведом 22-23)'!N315</f>
        <v>3924.6</v>
      </c>
    </row>
    <row r="33" spans="1:9" ht="43.5" customHeight="1">
      <c r="A33" s="290"/>
      <c r="B33" s="303" t="s">
        <v>97</v>
      </c>
      <c r="C33" s="750" t="s">
        <v>59</v>
      </c>
      <c r="D33" s="751" t="s">
        <v>65</v>
      </c>
      <c r="E33" s="751" t="s">
        <v>59</v>
      </c>
      <c r="F33" s="752" t="s">
        <v>112</v>
      </c>
      <c r="G33" s="149" t="s">
        <v>98</v>
      </c>
      <c r="H33" s="304">
        <f>'прил13(ведом 22-23)'!M316</f>
        <v>54546.299999999996</v>
      </c>
      <c r="I33" s="304">
        <f>'прил13(ведом 22-23)'!N316</f>
        <v>54250.6</v>
      </c>
    </row>
    <row r="34" spans="1:9" ht="18.75">
      <c r="A34" s="290"/>
      <c r="B34" s="303" t="s">
        <v>77</v>
      </c>
      <c r="C34" s="750" t="s">
        <v>59</v>
      </c>
      <c r="D34" s="751" t="s">
        <v>65</v>
      </c>
      <c r="E34" s="751" t="s">
        <v>59</v>
      </c>
      <c r="F34" s="752" t="s">
        <v>112</v>
      </c>
      <c r="G34" s="149" t="s">
        <v>78</v>
      </c>
      <c r="H34" s="304">
        <f>'прил13(ведом 22-23)'!M317</f>
        <v>618</v>
      </c>
      <c r="I34" s="304">
        <f>'прил13(ведом 22-23)'!N317</f>
        <v>607.1</v>
      </c>
    </row>
    <row r="35" spans="1:9" ht="37.5">
      <c r="A35" s="290"/>
      <c r="B35" s="163" t="s">
        <v>230</v>
      </c>
      <c r="C35" s="750" t="s">
        <v>59</v>
      </c>
      <c r="D35" s="751" t="s">
        <v>65</v>
      </c>
      <c r="E35" s="751" t="s">
        <v>59</v>
      </c>
      <c r="F35" s="752" t="s">
        <v>314</v>
      </c>
      <c r="G35" s="149"/>
      <c r="H35" s="304">
        <f>H36+H38+H37</f>
        <v>4724.5999999999995</v>
      </c>
      <c r="I35" s="304">
        <f>I36+I38+I37</f>
        <v>0</v>
      </c>
    </row>
    <row r="36" spans="1:9" ht="37.5">
      <c r="A36" s="290"/>
      <c r="B36" s="163" t="s">
        <v>75</v>
      </c>
      <c r="C36" s="750" t="s">
        <v>59</v>
      </c>
      <c r="D36" s="751" t="s">
        <v>65</v>
      </c>
      <c r="E36" s="751" t="s">
        <v>59</v>
      </c>
      <c r="F36" s="752" t="s">
        <v>314</v>
      </c>
      <c r="G36" s="149" t="s">
        <v>76</v>
      </c>
      <c r="H36" s="304">
        <f>'прил13(ведом 22-23)'!M319</f>
        <v>178</v>
      </c>
      <c r="I36" s="304">
        <f>'прил13(ведом 22-23)'!N319</f>
        <v>0</v>
      </c>
    </row>
    <row r="37" spans="1:9" ht="37.5">
      <c r="A37" s="290"/>
      <c r="B37" s="863" t="s">
        <v>225</v>
      </c>
      <c r="C37" s="818" t="s">
        <v>59</v>
      </c>
      <c r="D37" s="819" t="s">
        <v>65</v>
      </c>
      <c r="E37" s="819" t="s">
        <v>59</v>
      </c>
      <c r="F37" s="820" t="s">
        <v>314</v>
      </c>
      <c r="G37" s="149" t="s">
        <v>226</v>
      </c>
      <c r="H37" s="304">
        <f>'прил13(ведом 22-23)'!M268</f>
        <v>197.2</v>
      </c>
      <c r="I37" s="304"/>
    </row>
    <row r="38" spans="1:9" ht="37.5" customHeight="1">
      <c r="A38" s="290"/>
      <c r="B38" s="163" t="s">
        <v>97</v>
      </c>
      <c r="C38" s="750" t="s">
        <v>59</v>
      </c>
      <c r="D38" s="751" t="s">
        <v>65</v>
      </c>
      <c r="E38" s="751" t="s">
        <v>59</v>
      </c>
      <c r="F38" s="752" t="s">
        <v>314</v>
      </c>
      <c r="G38" s="149" t="s">
        <v>98</v>
      </c>
      <c r="H38" s="304">
        <f>'прил13(ведом 22-23)'!M320</f>
        <v>4349.3999999999996</v>
      </c>
      <c r="I38" s="304">
        <f>'прил13(ведом 22-23)'!N320</f>
        <v>0</v>
      </c>
    </row>
    <row r="39" spans="1:9" ht="70.5" customHeight="1">
      <c r="A39" s="290"/>
      <c r="B39" s="163" t="s">
        <v>892</v>
      </c>
      <c r="C39" s="750" t="s">
        <v>59</v>
      </c>
      <c r="D39" s="751" t="s">
        <v>65</v>
      </c>
      <c r="E39" s="751" t="s">
        <v>59</v>
      </c>
      <c r="F39" s="752" t="s">
        <v>891</v>
      </c>
      <c r="G39" s="149"/>
      <c r="H39" s="304">
        <f>H40+H41</f>
        <v>36560.199999999997</v>
      </c>
      <c r="I39" s="304">
        <f>I40+I41</f>
        <v>36560.199999999997</v>
      </c>
    </row>
    <row r="40" spans="1:9" ht="90.75" customHeight="1">
      <c r="A40" s="290"/>
      <c r="B40" s="163" t="s">
        <v>69</v>
      </c>
      <c r="C40" s="750" t="s">
        <v>59</v>
      </c>
      <c r="D40" s="751" t="s">
        <v>65</v>
      </c>
      <c r="E40" s="751" t="s">
        <v>59</v>
      </c>
      <c r="F40" s="752" t="s">
        <v>891</v>
      </c>
      <c r="G40" s="149" t="s">
        <v>70</v>
      </c>
      <c r="H40" s="304">
        <f>'прил13(ведом 22-23)'!M322</f>
        <v>2968.6</v>
      </c>
      <c r="I40" s="304">
        <f>'прил13(ведом 22-23)'!N322</f>
        <v>2968.6</v>
      </c>
    </row>
    <row r="41" spans="1:9" ht="36" customHeight="1">
      <c r="A41" s="290"/>
      <c r="B41" s="163" t="s">
        <v>97</v>
      </c>
      <c r="C41" s="750" t="s">
        <v>59</v>
      </c>
      <c r="D41" s="751" t="s">
        <v>65</v>
      </c>
      <c r="E41" s="751" t="s">
        <v>59</v>
      </c>
      <c r="F41" s="752" t="s">
        <v>891</v>
      </c>
      <c r="G41" s="149" t="s">
        <v>98</v>
      </c>
      <c r="H41" s="304">
        <f>'прил13(ведом 22-23)'!M323</f>
        <v>33591.599999999999</v>
      </c>
      <c r="I41" s="304">
        <f>'прил13(ведом 22-23)'!N323</f>
        <v>33591.599999999999</v>
      </c>
    </row>
    <row r="42" spans="1:9" ht="18.75">
      <c r="A42" s="290"/>
      <c r="B42" s="303" t="s">
        <v>308</v>
      </c>
      <c r="C42" s="750" t="s">
        <v>59</v>
      </c>
      <c r="D42" s="751" t="s">
        <v>65</v>
      </c>
      <c r="E42" s="751" t="s">
        <v>59</v>
      </c>
      <c r="F42" s="752" t="s">
        <v>309</v>
      </c>
      <c r="G42" s="149"/>
      <c r="H42" s="304">
        <f>SUM(H43:H45)</f>
        <v>1632.2</v>
      </c>
      <c r="I42" s="304">
        <f>SUM(I43:I45)</f>
        <v>1689.1000000000001</v>
      </c>
    </row>
    <row r="43" spans="1:9" ht="93.75">
      <c r="A43" s="290"/>
      <c r="B43" s="163" t="s">
        <v>69</v>
      </c>
      <c r="C43" s="750" t="s">
        <v>59</v>
      </c>
      <c r="D43" s="751" t="s">
        <v>65</v>
      </c>
      <c r="E43" s="751" t="s">
        <v>59</v>
      </c>
      <c r="F43" s="752" t="s">
        <v>309</v>
      </c>
      <c r="G43" s="149" t="s">
        <v>70</v>
      </c>
      <c r="H43" s="304">
        <f>'прил13(ведом 22-23)'!M325</f>
        <v>115.8</v>
      </c>
      <c r="I43" s="304">
        <f>'прил13(ведом 22-23)'!N325</f>
        <v>115.8</v>
      </c>
    </row>
    <row r="44" spans="1:9" ht="26.25" customHeight="1">
      <c r="A44" s="290"/>
      <c r="B44" s="163" t="s">
        <v>141</v>
      </c>
      <c r="C44" s="750" t="s">
        <v>59</v>
      </c>
      <c r="D44" s="751" t="s">
        <v>65</v>
      </c>
      <c r="E44" s="751" t="s">
        <v>59</v>
      </c>
      <c r="F44" s="752" t="s">
        <v>309</v>
      </c>
      <c r="G44" s="149" t="s">
        <v>142</v>
      </c>
      <c r="H44" s="304">
        <f>'прил13(ведом 22-23)'!M326</f>
        <v>13.9</v>
      </c>
      <c r="I44" s="304">
        <f>'прил13(ведом 22-23)'!N326</f>
        <v>13.9</v>
      </c>
    </row>
    <row r="45" spans="1:9" ht="39" customHeight="1">
      <c r="A45" s="290"/>
      <c r="B45" s="303" t="s">
        <v>97</v>
      </c>
      <c r="C45" s="750" t="s">
        <v>59</v>
      </c>
      <c r="D45" s="751" t="s">
        <v>65</v>
      </c>
      <c r="E45" s="751" t="s">
        <v>59</v>
      </c>
      <c r="F45" s="752" t="s">
        <v>309</v>
      </c>
      <c r="G45" s="149" t="s">
        <v>98</v>
      </c>
      <c r="H45" s="304">
        <f>'прил13(ведом 22-23)'!M327</f>
        <v>1502.5</v>
      </c>
      <c r="I45" s="304">
        <f>'прил13(ведом 22-23)'!N327</f>
        <v>1559.4</v>
      </c>
    </row>
    <row r="46" spans="1:9" ht="93" customHeight="1">
      <c r="A46" s="290"/>
      <c r="B46" s="303" t="s">
        <v>415</v>
      </c>
      <c r="C46" s="750" t="s">
        <v>59</v>
      </c>
      <c r="D46" s="751" t="s">
        <v>65</v>
      </c>
      <c r="E46" s="751" t="s">
        <v>59</v>
      </c>
      <c r="F46" s="752" t="s">
        <v>310</v>
      </c>
      <c r="G46" s="149"/>
      <c r="H46" s="304">
        <f>SUM(H47:H49)</f>
        <v>404790.7</v>
      </c>
      <c r="I46" s="304">
        <f>SUM(I47:I49)</f>
        <v>404790.7</v>
      </c>
    </row>
    <row r="47" spans="1:9" ht="93.75">
      <c r="A47" s="290"/>
      <c r="B47" s="303" t="s">
        <v>69</v>
      </c>
      <c r="C47" s="750" t="s">
        <v>59</v>
      </c>
      <c r="D47" s="751" t="s">
        <v>65</v>
      </c>
      <c r="E47" s="751" t="s">
        <v>59</v>
      </c>
      <c r="F47" s="752" t="s">
        <v>310</v>
      </c>
      <c r="G47" s="149" t="s">
        <v>70</v>
      </c>
      <c r="H47" s="304">
        <f>'прил13(ведом 22-23)'!M329</f>
        <v>27962</v>
      </c>
      <c r="I47" s="304">
        <f>'прил13(ведом 22-23)'!N329</f>
        <v>27962</v>
      </c>
    </row>
    <row r="48" spans="1:9" ht="37.5">
      <c r="A48" s="290"/>
      <c r="B48" s="303" t="s">
        <v>75</v>
      </c>
      <c r="C48" s="750" t="s">
        <v>59</v>
      </c>
      <c r="D48" s="751" t="s">
        <v>65</v>
      </c>
      <c r="E48" s="751" t="s">
        <v>59</v>
      </c>
      <c r="F48" s="752" t="s">
        <v>310</v>
      </c>
      <c r="G48" s="149" t="s">
        <v>76</v>
      </c>
      <c r="H48" s="304">
        <f>'прил13(ведом 22-23)'!M330</f>
        <v>1898.4</v>
      </c>
      <c r="I48" s="304">
        <f>'прил13(ведом 22-23)'!N330</f>
        <v>1898.4</v>
      </c>
    </row>
    <row r="49" spans="1:9" ht="43.5" customHeight="1">
      <c r="A49" s="290"/>
      <c r="B49" s="303" t="s">
        <v>97</v>
      </c>
      <c r="C49" s="750" t="s">
        <v>59</v>
      </c>
      <c r="D49" s="751" t="s">
        <v>65</v>
      </c>
      <c r="E49" s="751" t="s">
        <v>59</v>
      </c>
      <c r="F49" s="752" t="s">
        <v>310</v>
      </c>
      <c r="G49" s="149" t="s">
        <v>98</v>
      </c>
      <c r="H49" s="304">
        <f>'прил13(ведом 22-23)'!M331</f>
        <v>374930.3</v>
      </c>
      <c r="I49" s="304">
        <f>'прил13(ведом 22-23)'!N331</f>
        <v>374930.3</v>
      </c>
    </row>
    <row r="50" spans="1:9" ht="78" customHeight="1">
      <c r="A50" s="290"/>
      <c r="B50" s="303" t="s">
        <v>231</v>
      </c>
      <c r="C50" s="745" t="s">
        <v>59</v>
      </c>
      <c r="D50" s="745" t="s">
        <v>65</v>
      </c>
      <c r="E50" s="745" t="s">
        <v>59</v>
      </c>
      <c r="F50" s="746" t="s">
        <v>315</v>
      </c>
      <c r="G50" s="288"/>
      <c r="H50" s="304">
        <f>SUM(H51:H52)</f>
        <v>2399</v>
      </c>
      <c r="I50" s="304">
        <f>SUM(I51:I52)</f>
        <v>2399</v>
      </c>
    </row>
    <row r="51" spans="1:9" ht="37.5">
      <c r="A51" s="290"/>
      <c r="B51" s="163" t="s">
        <v>75</v>
      </c>
      <c r="C51" s="750" t="s">
        <v>59</v>
      </c>
      <c r="D51" s="751" t="s">
        <v>65</v>
      </c>
      <c r="E51" s="751" t="s">
        <v>59</v>
      </c>
      <c r="F51" s="752" t="s">
        <v>315</v>
      </c>
      <c r="G51" s="149" t="s">
        <v>76</v>
      </c>
      <c r="H51" s="304">
        <f>'прил13(ведом 22-23)'!M333</f>
        <v>104.8</v>
      </c>
      <c r="I51" s="304">
        <f>'прил13(ведом 22-23)'!N333</f>
        <v>104.8</v>
      </c>
    </row>
    <row r="52" spans="1:9" ht="45.75" customHeight="1">
      <c r="A52" s="290"/>
      <c r="B52" s="303" t="s">
        <v>97</v>
      </c>
      <c r="C52" s="745" t="s">
        <v>59</v>
      </c>
      <c r="D52" s="745" t="s">
        <v>65</v>
      </c>
      <c r="E52" s="745" t="s">
        <v>59</v>
      </c>
      <c r="F52" s="746" t="s">
        <v>315</v>
      </c>
      <c r="G52" s="288" t="s">
        <v>98</v>
      </c>
      <c r="H52" s="304">
        <f>'прил13(ведом 22-23)'!M334</f>
        <v>2294.1999999999998</v>
      </c>
      <c r="I52" s="304">
        <f>'прил13(ведом 22-23)'!N334</f>
        <v>2294.1999999999998</v>
      </c>
    </row>
    <row r="53" spans="1:9" ht="72.75" customHeight="1">
      <c r="A53" s="290"/>
      <c r="B53" s="163" t="s">
        <v>765</v>
      </c>
      <c r="C53" s="750" t="s">
        <v>59</v>
      </c>
      <c r="D53" s="751" t="s">
        <v>65</v>
      </c>
      <c r="E53" s="751" t="s">
        <v>59</v>
      </c>
      <c r="F53" s="752" t="s">
        <v>764</v>
      </c>
      <c r="G53" s="149"/>
      <c r="H53" s="304">
        <f>H54+H55</f>
        <v>57904.700000000004</v>
      </c>
      <c r="I53" s="304">
        <f>I54+I55</f>
        <v>56500.7</v>
      </c>
    </row>
    <row r="54" spans="1:9" ht="33.75" customHeight="1">
      <c r="A54" s="290"/>
      <c r="B54" s="163" t="s">
        <v>75</v>
      </c>
      <c r="C54" s="750" t="s">
        <v>59</v>
      </c>
      <c r="D54" s="751" t="s">
        <v>65</v>
      </c>
      <c r="E54" s="751" t="s">
        <v>59</v>
      </c>
      <c r="F54" s="752" t="s">
        <v>764</v>
      </c>
      <c r="G54" s="149" t="s">
        <v>76</v>
      </c>
      <c r="H54" s="304">
        <f>'прил13(ведом 22-23)'!M336</f>
        <v>1715.9</v>
      </c>
      <c r="I54" s="304">
        <f>'прил13(ведом 22-23)'!N336</f>
        <v>1674.2</v>
      </c>
    </row>
    <row r="55" spans="1:9" ht="35.25" customHeight="1">
      <c r="A55" s="290"/>
      <c r="B55" s="163" t="s">
        <v>97</v>
      </c>
      <c r="C55" s="750" t="s">
        <v>59</v>
      </c>
      <c r="D55" s="751" t="s">
        <v>65</v>
      </c>
      <c r="E55" s="751" t="s">
        <v>59</v>
      </c>
      <c r="F55" s="752" t="s">
        <v>764</v>
      </c>
      <c r="G55" s="149" t="s">
        <v>98</v>
      </c>
      <c r="H55" s="304">
        <f>'прил13(ведом 22-23)'!M337</f>
        <v>56188.800000000003</v>
      </c>
      <c r="I55" s="304">
        <f>'прил13(ведом 22-23)'!N337</f>
        <v>54826.5</v>
      </c>
    </row>
    <row r="56" spans="1:9" ht="18.75">
      <c r="A56" s="290"/>
      <c r="B56" s="303" t="s">
        <v>232</v>
      </c>
      <c r="C56" s="750" t="s">
        <v>59</v>
      </c>
      <c r="D56" s="751" t="s">
        <v>110</v>
      </c>
      <c r="E56" s="751" t="s">
        <v>63</v>
      </c>
      <c r="F56" s="752" t="s">
        <v>64</v>
      </c>
      <c r="G56" s="288"/>
      <c r="H56" s="304">
        <f>H57</f>
        <v>55983.000000000007</v>
      </c>
      <c r="I56" s="304">
        <f>I57</f>
        <v>56047.000000000007</v>
      </c>
    </row>
    <row r="57" spans="1:9" ht="37.5">
      <c r="A57" s="290"/>
      <c r="B57" s="303" t="s">
        <v>316</v>
      </c>
      <c r="C57" s="750" t="s">
        <v>59</v>
      </c>
      <c r="D57" s="751" t="s">
        <v>110</v>
      </c>
      <c r="E57" s="751" t="s">
        <v>57</v>
      </c>
      <c r="F57" s="752" t="s">
        <v>64</v>
      </c>
      <c r="G57" s="288"/>
      <c r="H57" s="304">
        <f>H58+H65+H63+H67</f>
        <v>55983.000000000007</v>
      </c>
      <c r="I57" s="304">
        <f>I58+I65+I63+I67</f>
        <v>56047.000000000007</v>
      </c>
    </row>
    <row r="58" spans="1:9" ht="37.5">
      <c r="A58" s="290"/>
      <c r="B58" s="303" t="s">
        <v>795</v>
      </c>
      <c r="C58" s="750" t="s">
        <v>59</v>
      </c>
      <c r="D58" s="751" t="s">
        <v>110</v>
      </c>
      <c r="E58" s="751" t="s">
        <v>57</v>
      </c>
      <c r="F58" s="752" t="s">
        <v>112</v>
      </c>
      <c r="G58" s="149"/>
      <c r="H58" s="304">
        <f>SUM(H59:H62)</f>
        <v>47871.700000000004</v>
      </c>
      <c r="I58" s="304">
        <f>SUM(I59:I62)</f>
        <v>47931.8</v>
      </c>
    </row>
    <row r="59" spans="1:9" ht="93.75">
      <c r="A59" s="290"/>
      <c r="B59" s="163" t="s">
        <v>69</v>
      </c>
      <c r="C59" s="750" t="s">
        <v>59</v>
      </c>
      <c r="D59" s="751" t="s">
        <v>110</v>
      </c>
      <c r="E59" s="751" t="s">
        <v>57</v>
      </c>
      <c r="F59" s="752" t="s">
        <v>112</v>
      </c>
      <c r="G59" s="149" t="s">
        <v>70</v>
      </c>
      <c r="H59" s="304">
        <f>'прил13(ведом 22-23)'!M354</f>
        <v>18629</v>
      </c>
      <c r="I59" s="304">
        <f>'прил13(ведом 22-23)'!N354</f>
        <v>18629</v>
      </c>
    </row>
    <row r="60" spans="1:9" ht="37.5">
      <c r="A60" s="290"/>
      <c r="B60" s="163" t="s">
        <v>75</v>
      </c>
      <c r="C60" s="750" t="s">
        <v>59</v>
      </c>
      <c r="D60" s="751" t="s">
        <v>110</v>
      </c>
      <c r="E60" s="751" t="s">
        <v>57</v>
      </c>
      <c r="F60" s="752" t="s">
        <v>112</v>
      </c>
      <c r="G60" s="149" t="s">
        <v>76</v>
      </c>
      <c r="H60" s="304">
        <f>'прил13(ведом 22-23)'!M355</f>
        <v>1135.98695</v>
      </c>
      <c r="I60" s="304">
        <f>'прил13(ведом 22-23)'!N355</f>
        <v>1167.7563600000001</v>
      </c>
    </row>
    <row r="61" spans="1:9" ht="46.5" customHeight="1">
      <c r="A61" s="290"/>
      <c r="B61" s="303" t="s">
        <v>97</v>
      </c>
      <c r="C61" s="750" t="s">
        <v>59</v>
      </c>
      <c r="D61" s="751" t="s">
        <v>110</v>
      </c>
      <c r="E61" s="751" t="s">
        <v>57</v>
      </c>
      <c r="F61" s="752" t="s">
        <v>112</v>
      </c>
      <c r="G61" s="149" t="s">
        <v>98</v>
      </c>
      <c r="H61" s="304">
        <f>'прил13(ведом 22-23)'!M356</f>
        <v>28055.716050000003</v>
      </c>
      <c r="I61" s="304">
        <f>'прил13(ведом 22-23)'!N356</f>
        <v>28084.393640000002</v>
      </c>
    </row>
    <row r="62" spans="1:9" ht="18.75">
      <c r="A62" s="290"/>
      <c r="B62" s="163" t="s">
        <v>77</v>
      </c>
      <c r="C62" s="750" t="s">
        <v>59</v>
      </c>
      <c r="D62" s="751" t="s">
        <v>110</v>
      </c>
      <c r="E62" s="751" t="s">
        <v>57</v>
      </c>
      <c r="F62" s="752" t="s">
        <v>112</v>
      </c>
      <c r="G62" s="149" t="s">
        <v>78</v>
      </c>
      <c r="H62" s="304">
        <f>'прил13(ведом 22-23)'!M357</f>
        <v>50.997</v>
      </c>
      <c r="I62" s="304">
        <f>'прил13(ведом 22-23)'!N357</f>
        <v>50.65</v>
      </c>
    </row>
    <row r="63" spans="1:9" ht="183" customHeight="1">
      <c r="A63" s="290"/>
      <c r="B63" s="163" t="s">
        <v>694</v>
      </c>
      <c r="C63" s="750" t="s">
        <v>59</v>
      </c>
      <c r="D63" s="751" t="s">
        <v>110</v>
      </c>
      <c r="E63" s="751" t="s">
        <v>57</v>
      </c>
      <c r="F63" s="752" t="s">
        <v>538</v>
      </c>
      <c r="G63" s="149"/>
      <c r="H63" s="304">
        <f>H64</f>
        <v>125</v>
      </c>
      <c r="I63" s="304">
        <f>I64</f>
        <v>125</v>
      </c>
    </row>
    <row r="64" spans="1:9" ht="93.75">
      <c r="A64" s="290"/>
      <c r="B64" s="163" t="s">
        <v>69</v>
      </c>
      <c r="C64" s="750" t="s">
        <v>59</v>
      </c>
      <c r="D64" s="751" t="s">
        <v>110</v>
      </c>
      <c r="E64" s="751" t="s">
        <v>57</v>
      </c>
      <c r="F64" s="752" t="s">
        <v>538</v>
      </c>
      <c r="G64" s="149" t="s">
        <v>70</v>
      </c>
      <c r="H64" s="304">
        <f>'прил13(ведом 22-23)'!M359</f>
        <v>125</v>
      </c>
      <c r="I64" s="304">
        <f>'прил13(ведом 22-23)'!N359</f>
        <v>125</v>
      </c>
    </row>
    <row r="65" spans="1:9" ht="162" customHeight="1">
      <c r="A65" s="290"/>
      <c r="B65" s="303" t="s">
        <v>308</v>
      </c>
      <c r="C65" s="750" t="s">
        <v>59</v>
      </c>
      <c r="D65" s="751" t="s">
        <v>110</v>
      </c>
      <c r="E65" s="751" t="s">
        <v>57</v>
      </c>
      <c r="F65" s="752" t="s">
        <v>309</v>
      </c>
      <c r="G65" s="149"/>
      <c r="H65" s="304">
        <f>H66</f>
        <v>110.9</v>
      </c>
      <c r="I65" s="304">
        <f>I66</f>
        <v>114.8</v>
      </c>
    </row>
    <row r="66" spans="1:9" ht="56.25">
      <c r="A66" s="290"/>
      <c r="B66" s="163" t="s">
        <v>97</v>
      </c>
      <c r="C66" s="750" t="s">
        <v>59</v>
      </c>
      <c r="D66" s="751" t="s">
        <v>110</v>
      </c>
      <c r="E66" s="751" t="s">
        <v>57</v>
      </c>
      <c r="F66" s="752" t="s">
        <v>309</v>
      </c>
      <c r="G66" s="149" t="s">
        <v>98</v>
      </c>
      <c r="H66" s="304">
        <f>'прил13(ведом 22-23)'!M361</f>
        <v>110.9</v>
      </c>
      <c r="I66" s="304">
        <f>'прил13(ведом 22-23)'!N361</f>
        <v>114.8</v>
      </c>
    </row>
    <row r="67" spans="1:9" ht="96.75" customHeight="1">
      <c r="A67" s="290"/>
      <c r="B67" s="163" t="s">
        <v>415</v>
      </c>
      <c r="C67" s="750" t="s">
        <v>59</v>
      </c>
      <c r="D67" s="751" t="s">
        <v>110</v>
      </c>
      <c r="E67" s="751" t="s">
        <v>57</v>
      </c>
      <c r="F67" s="752" t="s">
        <v>310</v>
      </c>
      <c r="G67" s="149"/>
      <c r="H67" s="304">
        <f>H68</f>
        <v>7875.4</v>
      </c>
      <c r="I67" s="304">
        <f>I68</f>
        <v>7875.4</v>
      </c>
    </row>
    <row r="68" spans="1:9" ht="45" customHeight="1">
      <c r="A68" s="290"/>
      <c r="B68" s="163" t="s">
        <v>97</v>
      </c>
      <c r="C68" s="750" t="s">
        <v>59</v>
      </c>
      <c r="D68" s="751" t="s">
        <v>110</v>
      </c>
      <c r="E68" s="751" t="s">
        <v>57</v>
      </c>
      <c r="F68" s="752" t="s">
        <v>310</v>
      </c>
      <c r="G68" s="149" t="s">
        <v>98</v>
      </c>
      <c r="H68" s="304">
        <f>'прил13(ведом 22-23)'!M363</f>
        <v>7875.4</v>
      </c>
      <c r="I68" s="304">
        <f>'прил13(ведом 22-23)'!N363</f>
        <v>7875.4</v>
      </c>
    </row>
    <row r="69" spans="1:9" ht="42" customHeight="1">
      <c r="A69" s="290"/>
      <c r="B69" s="303" t="s">
        <v>234</v>
      </c>
      <c r="C69" s="750" t="s">
        <v>59</v>
      </c>
      <c r="D69" s="751" t="s">
        <v>50</v>
      </c>
      <c r="E69" s="751" t="s">
        <v>63</v>
      </c>
      <c r="F69" s="752" t="s">
        <v>64</v>
      </c>
      <c r="G69" s="288"/>
      <c r="H69" s="304">
        <f>H70+H86+H89+H92+H95</f>
        <v>71386.899999999994</v>
      </c>
      <c r="I69" s="304">
        <f>I70+I86+I89+I92+I95</f>
        <v>71420.899999999994</v>
      </c>
    </row>
    <row r="70" spans="1:9" ht="37.5">
      <c r="A70" s="290"/>
      <c r="B70" s="303" t="s">
        <v>322</v>
      </c>
      <c r="C70" s="750" t="s">
        <v>59</v>
      </c>
      <c r="D70" s="751" t="s">
        <v>50</v>
      </c>
      <c r="E70" s="751" t="s">
        <v>57</v>
      </c>
      <c r="F70" s="752" t="s">
        <v>64</v>
      </c>
      <c r="G70" s="288"/>
      <c r="H70" s="304">
        <f>H71+H75+H83+H80</f>
        <v>64408.200000000004</v>
      </c>
      <c r="I70" s="304">
        <f>I71+I75+I83+I80</f>
        <v>64442.200000000004</v>
      </c>
    </row>
    <row r="71" spans="1:9" ht="37.5">
      <c r="A71" s="290"/>
      <c r="B71" s="303" t="s">
        <v>67</v>
      </c>
      <c r="C71" s="750" t="s">
        <v>59</v>
      </c>
      <c r="D71" s="751" t="s">
        <v>50</v>
      </c>
      <c r="E71" s="751" t="s">
        <v>57</v>
      </c>
      <c r="F71" s="752" t="s">
        <v>68</v>
      </c>
      <c r="G71" s="149"/>
      <c r="H71" s="304">
        <f>SUM(H72:H74)</f>
        <v>10391.199999999999</v>
      </c>
      <c r="I71" s="304">
        <f>SUM(I72:I74)</f>
        <v>10396.800000000001</v>
      </c>
    </row>
    <row r="72" spans="1:9" ht="93.75">
      <c r="A72" s="290"/>
      <c r="B72" s="303" t="s">
        <v>69</v>
      </c>
      <c r="C72" s="750" t="s">
        <v>59</v>
      </c>
      <c r="D72" s="751" t="s">
        <v>50</v>
      </c>
      <c r="E72" s="751" t="s">
        <v>57</v>
      </c>
      <c r="F72" s="752" t="s">
        <v>68</v>
      </c>
      <c r="G72" s="149" t="s">
        <v>70</v>
      </c>
      <c r="H72" s="304">
        <f>'прил13(ведом 22-23)'!M380</f>
        <v>9265.9</v>
      </c>
      <c r="I72" s="304">
        <f>'прил13(ведом 22-23)'!N380</f>
        <v>9265.9</v>
      </c>
    </row>
    <row r="73" spans="1:9" ht="37.5">
      <c r="A73" s="290"/>
      <c r="B73" s="303" t="s">
        <v>75</v>
      </c>
      <c r="C73" s="750" t="s">
        <v>59</v>
      </c>
      <c r="D73" s="751" t="s">
        <v>50</v>
      </c>
      <c r="E73" s="751" t="s">
        <v>57</v>
      </c>
      <c r="F73" s="752" t="s">
        <v>68</v>
      </c>
      <c r="G73" s="149" t="s">
        <v>76</v>
      </c>
      <c r="H73" s="304">
        <f>'прил13(ведом 22-23)'!M381</f>
        <v>1110.5</v>
      </c>
      <c r="I73" s="304">
        <f>'прил13(ведом 22-23)'!N381</f>
        <v>1116.2</v>
      </c>
    </row>
    <row r="74" spans="1:9" ht="18.75">
      <c r="A74" s="290"/>
      <c r="B74" s="303" t="s">
        <v>77</v>
      </c>
      <c r="C74" s="750" t="s">
        <v>59</v>
      </c>
      <c r="D74" s="751" t="s">
        <v>50</v>
      </c>
      <c r="E74" s="751" t="s">
        <v>57</v>
      </c>
      <c r="F74" s="752" t="s">
        <v>68</v>
      </c>
      <c r="G74" s="149" t="s">
        <v>78</v>
      </c>
      <c r="H74" s="304">
        <f>'прил13(ведом 22-23)'!M382</f>
        <v>14.8</v>
      </c>
      <c r="I74" s="304">
        <f>'прил13(ведом 22-23)'!N382</f>
        <v>14.7</v>
      </c>
    </row>
    <row r="75" spans="1:9" ht="37.5">
      <c r="A75" s="290"/>
      <c r="B75" s="303" t="s">
        <v>795</v>
      </c>
      <c r="C75" s="750" t="s">
        <v>59</v>
      </c>
      <c r="D75" s="751" t="s">
        <v>50</v>
      </c>
      <c r="E75" s="751" t="s">
        <v>57</v>
      </c>
      <c r="F75" s="752" t="s">
        <v>112</v>
      </c>
      <c r="G75" s="149"/>
      <c r="H75" s="304">
        <f>SUM(H76:H79)</f>
        <v>45469.100000000006</v>
      </c>
      <c r="I75" s="304">
        <f>SUM(I76:I79)</f>
        <v>45497.5</v>
      </c>
    </row>
    <row r="76" spans="1:9" ht="93.75">
      <c r="A76" s="290"/>
      <c r="B76" s="303" t="s">
        <v>69</v>
      </c>
      <c r="C76" s="750" t="s">
        <v>59</v>
      </c>
      <c r="D76" s="751" t="s">
        <v>50</v>
      </c>
      <c r="E76" s="751" t="s">
        <v>57</v>
      </c>
      <c r="F76" s="752" t="s">
        <v>112</v>
      </c>
      <c r="G76" s="149" t="s">
        <v>70</v>
      </c>
      <c r="H76" s="304">
        <f>'прил13(ведом 22-23)'!M384</f>
        <v>26953.7</v>
      </c>
      <c r="I76" s="304">
        <f>'прил13(ведом 22-23)'!N384</f>
        <v>26953.7</v>
      </c>
    </row>
    <row r="77" spans="1:9" ht="37.5">
      <c r="A77" s="290"/>
      <c r="B77" s="303" t="s">
        <v>75</v>
      </c>
      <c r="C77" s="750" t="s">
        <v>59</v>
      </c>
      <c r="D77" s="751" t="s">
        <v>50</v>
      </c>
      <c r="E77" s="751" t="s">
        <v>57</v>
      </c>
      <c r="F77" s="752" t="s">
        <v>112</v>
      </c>
      <c r="G77" s="149" t="s">
        <v>76</v>
      </c>
      <c r="H77" s="304">
        <f>'прил13(ведом 22-23)'!M385</f>
        <v>2453.8000000000002</v>
      </c>
      <c r="I77" s="304">
        <f>'прил13(ведом 22-23)'!N385</f>
        <v>2482.5</v>
      </c>
    </row>
    <row r="78" spans="1:9" ht="45.75" customHeight="1">
      <c r="A78" s="290"/>
      <c r="B78" s="163" t="s">
        <v>97</v>
      </c>
      <c r="C78" s="750" t="s">
        <v>59</v>
      </c>
      <c r="D78" s="751" t="s">
        <v>50</v>
      </c>
      <c r="E78" s="751" t="s">
        <v>57</v>
      </c>
      <c r="F78" s="752" t="s">
        <v>112</v>
      </c>
      <c r="G78" s="149" t="s">
        <v>98</v>
      </c>
      <c r="H78" s="304">
        <f>'прил13(ведом 22-23)'!M386</f>
        <v>16053.8</v>
      </c>
      <c r="I78" s="304">
        <f>'прил13(ведом 22-23)'!N386</f>
        <v>16053.8</v>
      </c>
    </row>
    <row r="79" spans="1:9" ht="18.75">
      <c r="A79" s="290"/>
      <c r="B79" s="163" t="s">
        <v>77</v>
      </c>
      <c r="C79" s="750" t="s">
        <v>59</v>
      </c>
      <c r="D79" s="751" t="s">
        <v>50</v>
      </c>
      <c r="E79" s="751" t="s">
        <v>57</v>
      </c>
      <c r="F79" s="752" t="s">
        <v>112</v>
      </c>
      <c r="G79" s="149" t="s">
        <v>78</v>
      </c>
      <c r="H79" s="304">
        <f>'прил13(ведом 22-23)'!M387</f>
        <v>7.8</v>
      </c>
      <c r="I79" s="304">
        <f>'прил13(ведом 22-23)'!N387</f>
        <v>7.5</v>
      </c>
    </row>
    <row r="80" spans="1:9" ht="97.5" customHeight="1">
      <c r="A80" s="290"/>
      <c r="B80" s="163" t="s">
        <v>415</v>
      </c>
      <c r="C80" s="750" t="s">
        <v>59</v>
      </c>
      <c r="D80" s="751" t="s">
        <v>50</v>
      </c>
      <c r="E80" s="751" t="s">
        <v>57</v>
      </c>
      <c r="F80" s="752" t="s">
        <v>310</v>
      </c>
      <c r="G80" s="149"/>
      <c r="H80" s="304">
        <f>SUM(H81:H82)</f>
        <v>6189.9</v>
      </c>
      <c r="I80" s="304">
        <f>SUM(I81:I82)</f>
        <v>6189.9</v>
      </c>
    </row>
    <row r="81" spans="1:9" ht="93.75">
      <c r="A81" s="290"/>
      <c r="B81" s="163" t="s">
        <v>69</v>
      </c>
      <c r="C81" s="750" t="s">
        <v>59</v>
      </c>
      <c r="D81" s="751" t="s">
        <v>50</v>
      </c>
      <c r="E81" s="751" t="s">
        <v>57</v>
      </c>
      <c r="F81" s="752" t="s">
        <v>310</v>
      </c>
      <c r="G81" s="149" t="s">
        <v>70</v>
      </c>
      <c r="H81" s="304">
        <f>'прил13(ведом 22-23)'!M389</f>
        <v>5863.4</v>
      </c>
      <c r="I81" s="304">
        <f>'прил13(ведом 22-23)'!N389</f>
        <v>5863.4</v>
      </c>
    </row>
    <row r="82" spans="1:9" ht="37.5">
      <c r="A82" s="290"/>
      <c r="B82" s="303" t="s">
        <v>75</v>
      </c>
      <c r="C82" s="750" t="s">
        <v>59</v>
      </c>
      <c r="D82" s="751" t="s">
        <v>50</v>
      </c>
      <c r="E82" s="751" t="s">
        <v>57</v>
      </c>
      <c r="F82" s="752" t="s">
        <v>310</v>
      </c>
      <c r="G82" s="149" t="s">
        <v>76</v>
      </c>
      <c r="H82" s="304">
        <f>'прил13(ведом 22-23)'!M390</f>
        <v>326.5</v>
      </c>
      <c r="I82" s="304">
        <f>'прил13(ведом 22-23)'!N390</f>
        <v>326.5</v>
      </c>
    </row>
    <row r="83" spans="1:9" ht="214.5" customHeight="1">
      <c r="A83" s="290"/>
      <c r="B83" s="163" t="s">
        <v>693</v>
      </c>
      <c r="C83" s="750" t="s">
        <v>59</v>
      </c>
      <c r="D83" s="751" t="s">
        <v>50</v>
      </c>
      <c r="E83" s="751" t="s">
        <v>57</v>
      </c>
      <c r="F83" s="752" t="s">
        <v>416</v>
      </c>
      <c r="G83" s="149"/>
      <c r="H83" s="304">
        <f>SUM(H84:H85)</f>
        <v>2358</v>
      </c>
      <c r="I83" s="304">
        <f>SUM(I84:I85)</f>
        <v>2358</v>
      </c>
    </row>
    <row r="84" spans="1:9" ht="93.75">
      <c r="A84" s="290"/>
      <c r="B84" s="163" t="s">
        <v>69</v>
      </c>
      <c r="C84" s="750" t="s">
        <v>59</v>
      </c>
      <c r="D84" s="751" t="s">
        <v>50</v>
      </c>
      <c r="E84" s="751" t="s">
        <v>57</v>
      </c>
      <c r="F84" s="752" t="s">
        <v>416</v>
      </c>
      <c r="G84" s="149" t="s">
        <v>70</v>
      </c>
      <c r="H84" s="304">
        <f>'прил13(ведом 22-23)'!M341</f>
        <v>29.8</v>
      </c>
      <c r="I84" s="304">
        <f>'прил13(ведом 22-23)'!N341</f>
        <v>29.8</v>
      </c>
    </row>
    <row r="85" spans="1:9" ht="45" customHeight="1">
      <c r="A85" s="290"/>
      <c r="B85" s="163" t="s">
        <v>97</v>
      </c>
      <c r="C85" s="750" t="s">
        <v>59</v>
      </c>
      <c r="D85" s="751" t="s">
        <v>50</v>
      </c>
      <c r="E85" s="751" t="s">
        <v>57</v>
      </c>
      <c r="F85" s="752" t="s">
        <v>416</v>
      </c>
      <c r="G85" s="149" t="s">
        <v>98</v>
      </c>
      <c r="H85" s="304">
        <f>'прил13(ведом 22-23)'!M342</f>
        <v>2328.1999999999998</v>
      </c>
      <c r="I85" s="304">
        <f>'прил13(ведом 22-23)'!N342</f>
        <v>2328.1999999999998</v>
      </c>
    </row>
    <row r="86" spans="1:9" ht="45" customHeight="1">
      <c r="A86" s="290"/>
      <c r="B86" s="163" t="s">
        <v>321</v>
      </c>
      <c r="C86" s="750" t="s">
        <v>59</v>
      </c>
      <c r="D86" s="751" t="s">
        <v>50</v>
      </c>
      <c r="E86" s="751" t="s">
        <v>59</v>
      </c>
      <c r="F86" s="752" t="s">
        <v>64</v>
      </c>
      <c r="G86" s="149"/>
      <c r="H86" s="304">
        <f>H87</f>
        <v>6749.9</v>
      </c>
      <c r="I86" s="304">
        <f>I87</f>
        <v>6749.9</v>
      </c>
    </row>
    <row r="87" spans="1:9" ht="109.5" customHeight="1">
      <c r="A87" s="290"/>
      <c r="B87" s="163" t="s">
        <v>734</v>
      </c>
      <c r="C87" s="750" t="s">
        <v>59</v>
      </c>
      <c r="D87" s="751" t="s">
        <v>50</v>
      </c>
      <c r="E87" s="751" t="s">
        <v>59</v>
      </c>
      <c r="F87" s="752" t="s">
        <v>733</v>
      </c>
      <c r="G87" s="149"/>
      <c r="H87" s="304">
        <f>H88</f>
        <v>6749.9</v>
      </c>
      <c r="I87" s="304">
        <f>I88</f>
        <v>6749.9</v>
      </c>
    </row>
    <row r="88" spans="1:9" ht="39" customHeight="1">
      <c r="A88" s="290"/>
      <c r="B88" s="163" t="s">
        <v>97</v>
      </c>
      <c r="C88" s="750" t="s">
        <v>59</v>
      </c>
      <c r="D88" s="751" t="s">
        <v>50</v>
      </c>
      <c r="E88" s="751" t="s">
        <v>59</v>
      </c>
      <c r="F88" s="752" t="s">
        <v>733</v>
      </c>
      <c r="G88" s="149" t="s">
        <v>98</v>
      </c>
      <c r="H88" s="304">
        <f>'прил13(ведом 22-23)'!M374</f>
        <v>6749.9</v>
      </c>
      <c r="I88" s="304">
        <f>'прил13(ведом 22-23)'!N374</f>
        <v>6749.9</v>
      </c>
    </row>
    <row r="89" spans="1:9" ht="36" customHeight="1">
      <c r="A89" s="290"/>
      <c r="B89" s="651" t="s">
        <v>428</v>
      </c>
      <c r="C89" s="652" t="s">
        <v>59</v>
      </c>
      <c r="D89" s="653" t="s">
        <v>50</v>
      </c>
      <c r="E89" s="653" t="s">
        <v>84</v>
      </c>
      <c r="F89" s="654" t="s">
        <v>64</v>
      </c>
      <c r="G89" s="655"/>
      <c r="H89" s="304">
        <f>H90</f>
        <v>100.4</v>
      </c>
      <c r="I89" s="304">
        <f>I90</f>
        <v>100.4</v>
      </c>
    </row>
    <row r="90" spans="1:9" ht="51.75" customHeight="1">
      <c r="A90" s="290"/>
      <c r="B90" s="618" t="s">
        <v>816</v>
      </c>
      <c r="C90" s="652" t="s">
        <v>59</v>
      </c>
      <c r="D90" s="653" t="s">
        <v>50</v>
      </c>
      <c r="E90" s="653" t="s">
        <v>84</v>
      </c>
      <c r="F90" s="654" t="s">
        <v>126</v>
      </c>
      <c r="G90" s="655"/>
      <c r="H90" s="304">
        <f>H91</f>
        <v>100.4</v>
      </c>
      <c r="I90" s="304">
        <f>I91</f>
        <v>100.4</v>
      </c>
    </row>
    <row r="91" spans="1:9" ht="37.5">
      <c r="A91" s="290"/>
      <c r="B91" s="618" t="s">
        <v>75</v>
      </c>
      <c r="C91" s="652" t="s">
        <v>59</v>
      </c>
      <c r="D91" s="653" t="s">
        <v>50</v>
      </c>
      <c r="E91" s="653" t="s">
        <v>84</v>
      </c>
      <c r="F91" s="654" t="s">
        <v>126</v>
      </c>
      <c r="G91" s="655" t="s">
        <v>76</v>
      </c>
      <c r="H91" s="304">
        <f>'прил13(ведом 22-23)'!M286</f>
        <v>100.4</v>
      </c>
      <c r="I91" s="304">
        <f>'прил13(ведом 22-23)'!N286</f>
        <v>100.4</v>
      </c>
    </row>
    <row r="92" spans="1:9" ht="34.5" customHeight="1">
      <c r="A92" s="290"/>
      <c r="B92" s="618" t="s">
        <v>799</v>
      </c>
      <c r="C92" s="652" t="s">
        <v>59</v>
      </c>
      <c r="D92" s="653" t="s">
        <v>50</v>
      </c>
      <c r="E92" s="653" t="s">
        <v>72</v>
      </c>
      <c r="F92" s="654" t="s">
        <v>64</v>
      </c>
      <c r="G92" s="655"/>
      <c r="H92" s="304">
        <f>H93</f>
        <v>25</v>
      </c>
      <c r="I92" s="304">
        <f>I93</f>
        <v>25</v>
      </c>
    </row>
    <row r="93" spans="1:9" ht="24" customHeight="1">
      <c r="A93" s="290"/>
      <c r="B93" s="618" t="s">
        <v>817</v>
      </c>
      <c r="C93" s="652" t="s">
        <v>59</v>
      </c>
      <c r="D93" s="653" t="s">
        <v>50</v>
      </c>
      <c r="E93" s="653" t="s">
        <v>72</v>
      </c>
      <c r="F93" s="654" t="s">
        <v>798</v>
      </c>
      <c r="G93" s="655"/>
      <c r="H93" s="304">
        <f>H94</f>
        <v>25</v>
      </c>
      <c r="I93" s="304">
        <f>I94</f>
        <v>25</v>
      </c>
    </row>
    <row r="94" spans="1:9" ht="33.75" customHeight="1">
      <c r="A94" s="290"/>
      <c r="B94" s="618" t="s">
        <v>75</v>
      </c>
      <c r="C94" s="652" t="s">
        <v>59</v>
      </c>
      <c r="D94" s="653" t="s">
        <v>50</v>
      </c>
      <c r="E94" s="653" t="s">
        <v>72</v>
      </c>
      <c r="F94" s="654" t="s">
        <v>798</v>
      </c>
      <c r="G94" s="655" t="s">
        <v>76</v>
      </c>
      <c r="H94" s="304">
        <f>'прил13(ведом 22-23)'!M289</f>
        <v>25</v>
      </c>
      <c r="I94" s="304">
        <f>'прил13(ведом 22-23)'!N289</f>
        <v>25</v>
      </c>
    </row>
    <row r="95" spans="1:9" ht="33.6" customHeight="1">
      <c r="A95" s="290"/>
      <c r="B95" s="618" t="s">
        <v>813</v>
      </c>
      <c r="C95" s="652" t="s">
        <v>59</v>
      </c>
      <c r="D95" s="653" t="s">
        <v>50</v>
      </c>
      <c r="E95" s="653" t="s">
        <v>86</v>
      </c>
      <c r="F95" s="746" t="s">
        <v>64</v>
      </c>
      <c r="G95" s="288"/>
      <c r="H95" s="304">
        <f>H96</f>
        <v>103.4</v>
      </c>
      <c r="I95" s="304">
        <f>I96</f>
        <v>103.4</v>
      </c>
    </row>
    <row r="96" spans="1:9" ht="36.75" customHeight="1">
      <c r="A96" s="290"/>
      <c r="B96" s="618" t="s">
        <v>148</v>
      </c>
      <c r="C96" s="652" t="s">
        <v>59</v>
      </c>
      <c r="D96" s="653" t="s">
        <v>50</v>
      </c>
      <c r="E96" s="653" t="s">
        <v>86</v>
      </c>
      <c r="F96" s="746" t="s">
        <v>111</v>
      </c>
      <c r="G96" s="288"/>
      <c r="H96" s="304">
        <f>H97</f>
        <v>103.4</v>
      </c>
      <c r="I96" s="304">
        <f>I97</f>
        <v>103.4</v>
      </c>
    </row>
    <row r="97" spans="1:9" ht="34.5" customHeight="1">
      <c r="A97" s="290"/>
      <c r="B97" s="618" t="s">
        <v>75</v>
      </c>
      <c r="C97" s="652" t="s">
        <v>59</v>
      </c>
      <c r="D97" s="653" t="s">
        <v>50</v>
      </c>
      <c r="E97" s="653" t="s">
        <v>86</v>
      </c>
      <c r="F97" s="746" t="s">
        <v>111</v>
      </c>
      <c r="G97" s="288" t="s">
        <v>76</v>
      </c>
      <c r="H97" s="304">
        <f>'прил13(ведом 22-23)'!M292</f>
        <v>103.4</v>
      </c>
      <c r="I97" s="304">
        <f>'прил13(ведом 22-23)'!N292</f>
        <v>103.4</v>
      </c>
    </row>
    <row r="98" spans="1:9" ht="18.75">
      <c r="A98" s="290"/>
      <c r="B98" s="312"/>
      <c r="C98" s="744"/>
      <c r="D98" s="745"/>
      <c r="E98" s="745"/>
      <c r="F98" s="746"/>
      <c r="G98" s="288"/>
      <c r="H98" s="304"/>
      <c r="I98" s="304"/>
    </row>
    <row r="99" spans="1:9" s="302" customFormat="1" ht="56.25">
      <c r="A99" s="313">
        <v>2</v>
      </c>
      <c r="B99" s="297" t="s">
        <v>235</v>
      </c>
      <c r="C99" s="314" t="s">
        <v>84</v>
      </c>
      <c r="D99" s="314" t="s">
        <v>62</v>
      </c>
      <c r="E99" s="314" t="s">
        <v>63</v>
      </c>
      <c r="F99" s="315" t="s">
        <v>64</v>
      </c>
      <c r="G99" s="300"/>
      <c r="H99" s="301">
        <f>H100+H125+H119</f>
        <v>91914</v>
      </c>
      <c r="I99" s="301">
        <f>I100+I125+I119</f>
        <v>92030.5</v>
      </c>
    </row>
    <row r="100" spans="1:9" s="302" customFormat="1" ht="56.25">
      <c r="A100" s="290"/>
      <c r="B100" s="316" t="s">
        <v>236</v>
      </c>
      <c r="C100" s="750" t="s">
        <v>84</v>
      </c>
      <c r="D100" s="751" t="s">
        <v>65</v>
      </c>
      <c r="E100" s="751" t="s">
        <v>63</v>
      </c>
      <c r="F100" s="752" t="s">
        <v>64</v>
      </c>
      <c r="G100" s="288"/>
      <c r="H100" s="304">
        <f>H101+H106+H111+H116</f>
        <v>82579.899999999994</v>
      </c>
      <c r="I100" s="304">
        <f>I101+I106+I111+I116</f>
        <v>82640.7</v>
      </c>
    </row>
    <row r="101" spans="1:9" s="302" customFormat="1" ht="37.5">
      <c r="A101" s="290"/>
      <c r="B101" s="316" t="s">
        <v>316</v>
      </c>
      <c r="C101" s="750" t="s">
        <v>84</v>
      </c>
      <c r="D101" s="751" t="s">
        <v>65</v>
      </c>
      <c r="E101" s="751" t="s">
        <v>57</v>
      </c>
      <c r="F101" s="752" t="s">
        <v>64</v>
      </c>
      <c r="G101" s="288"/>
      <c r="H101" s="304">
        <f>H102+H104</f>
        <v>57661.299999999996</v>
      </c>
      <c r="I101" s="304">
        <f>I102+I104</f>
        <v>57688.1</v>
      </c>
    </row>
    <row r="102" spans="1:9" s="302" customFormat="1" ht="37.5">
      <c r="A102" s="290"/>
      <c r="B102" s="303" t="s">
        <v>795</v>
      </c>
      <c r="C102" s="750" t="s">
        <v>84</v>
      </c>
      <c r="D102" s="751" t="s">
        <v>65</v>
      </c>
      <c r="E102" s="751" t="s">
        <v>57</v>
      </c>
      <c r="F102" s="752" t="s">
        <v>112</v>
      </c>
      <c r="G102" s="149"/>
      <c r="H102" s="304">
        <f>H103</f>
        <v>56386.6</v>
      </c>
      <c r="I102" s="304">
        <f>I103</f>
        <v>56413.4</v>
      </c>
    </row>
    <row r="103" spans="1:9" s="302" customFormat="1" ht="42.75" customHeight="1">
      <c r="A103" s="290"/>
      <c r="B103" s="305" t="s">
        <v>97</v>
      </c>
      <c r="C103" s="750" t="s">
        <v>84</v>
      </c>
      <c r="D103" s="751" t="s">
        <v>65</v>
      </c>
      <c r="E103" s="751" t="s">
        <v>57</v>
      </c>
      <c r="F103" s="752" t="s">
        <v>112</v>
      </c>
      <c r="G103" s="149" t="s">
        <v>98</v>
      </c>
      <c r="H103" s="304">
        <f>'прил13(ведом 22-23)'!M413</f>
        <v>56386.6</v>
      </c>
      <c r="I103" s="304">
        <f>'прил13(ведом 22-23)'!N413</f>
        <v>56413.4</v>
      </c>
    </row>
    <row r="104" spans="1:9" s="302" customFormat="1" ht="42.75" customHeight="1">
      <c r="A104" s="290"/>
      <c r="B104" s="167" t="s">
        <v>378</v>
      </c>
      <c r="C104" s="750" t="s">
        <v>84</v>
      </c>
      <c r="D104" s="751" t="s">
        <v>65</v>
      </c>
      <c r="E104" s="751" t="s">
        <v>57</v>
      </c>
      <c r="F104" s="752" t="s">
        <v>379</v>
      </c>
      <c r="G104" s="149"/>
      <c r="H104" s="304">
        <f>'прил13(ведом 22-23)'!M414</f>
        <v>1274.7</v>
      </c>
      <c r="I104" s="304">
        <f>'прил13(ведом 22-23)'!N414</f>
        <v>1274.7</v>
      </c>
    </row>
    <row r="105" spans="1:9" s="302" customFormat="1" ht="42.75" customHeight="1">
      <c r="A105" s="290"/>
      <c r="B105" s="167" t="s">
        <v>97</v>
      </c>
      <c r="C105" s="750" t="s">
        <v>84</v>
      </c>
      <c r="D105" s="751" t="s">
        <v>65</v>
      </c>
      <c r="E105" s="751" t="s">
        <v>57</v>
      </c>
      <c r="F105" s="752" t="s">
        <v>379</v>
      </c>
      <c r="G105" s="149" t="s">
        <v>98</v>
      </c>
      <c r="H105" s="304">
        <f>'прил13(ведом 22-23)'!M415</f>
        <v>1274.7</v>
      </c>
      <c r="I105" s="304">
        <f>'прил13(ведом 22-23)'!N415</f>
        <v>1274.7</v>
      </c>
    </row>
    <row r="106" spans="1:9" s="302" customFormat="1" ht="18.75">
      <c r="A106" s="290"/>
      <c r="B106" s="303" t="s">
        <v>380</v>
      </c>
      <c r="C106" s="179" t="s">
        <v>84</v>
      </c>
      <c r="D106" s="320" t="s">
        <v>65</v>
      </c>
      <c r="E106" s="320" t="s">
        <v>84</v>
      </c>
      <c r="F106" s="321" t="s">
        <v>64</v>
      </c>
      <c r="G106" s="322"/>
      <c r="H106" s="304">
        <f>H107+H109</f>
        <v>11645.9</v>
      </c>
      <c r="I106" s="304">
        <f>I107+I109</f>
        <v>11655.5</v>
      </c>
    </row>
    <row r="107" spans="1:9" s="302" customFormat="1" ht="37.5">
      <c r="A107" s="290"/>
      <c r="B107" s="303" t="s">
        <v>795</v>
      </c>
      <c r="C107" s="179" t="s">
        <v>84</v>
      </c>
      <c r="D107" s="320" t="s">
        <v>65</v>
      </c>
      <c r="E107" s="320" t="s">
        <v>84</v>
      </c>
      <c r="F107" s="321" t="s">
        <v>112</v>
      </c>
      <c r="G107" s="322"/>
      <c r="H107" s="304">
        <f>H108</f>
        <v>11498.5</v>
      </c>
      <c r="I107" s="304">
        <f>I108</f>
        <v>11508.1</v>
      </c>
    </row>
    <row r="108" spans="1:9" s="302" customFormat="1" ht="45" customHeight="1">
      <c r="A108" s="290"/>
      <c r="B108" s="305" t="s">
        <v>97</v>
      </c>
      <c r="C108" s="750" t="s">
        <v>84</v>
      </c>
      <c r="D108" s="751" t="s">
        <v>65</v>
      </c>
      <c r="E108" s="751" t="s">
        <v>84</v>
      </c>
      <c r="F108" s="752" t="s">
        <v>112</v>
      </c>
      <c r="G108" s="149" t="s">
        <v>98</v>
      </c>
      <c r="H108" s="304">
        <f>'прил13(ведом 22-23)'!M428</f>
        <v>11498.5</v>
      </c>
      <c r="I108" s="304">
        <f>'прил13(ведом 22-23)'!N428</f>
        <v>11508.1</v>
      </c>
    </row>
    <row r="109" spans="1:9" s="302" customFormat="1" ht="45" customHeight="1">
      <c r="A109" s="290"/>
      <c r="B109" s="167" t="s">
        <v>378</v>
      </c>
      <c r="C109" s="750" t="s">
        <v>84</v>
      </c>
      <c r="D109" s="751" t="s">
        <v>65</v>
      </c>
      <c r="E109" s="751" t="s">
        <v>84</v>
      </c>
      <c r="F109" s="752" t="s">
        <v>379</v>
      </c>
      <c r="G109" s="149"/>
      <c r="H109" s="304">
        <f>H110</f>
        <v>147.4</v>
      </c>
      <c r="I109" s="304">
        <f>I110</f>
        <v>147.4</v>
      </c>
    </row>
    <row r="110" spans="1:9" s="302" customFormat="1" ht="42.75" customHeight="1">
      <c r="A110" s="290"/>
      <c r="B110" s="167" t="s">
        <v>97</v>
      </c>
      <c r="C110" s="750" t="s">
        <v>84</v>
      </c>
      <c r="D110" s="751" t="s">
        <v>65</v>
      </c>
      <c r="E110" s="751" t="s">
        <v>84</v>
      </c>
      <c r="F110" s="752" t="s">
        <v>379</v>
      </c>
      <c r="G110" s="149" t="s">
        <v>98</v>
      </c>
      <c r="H110" s="304">
        <f>'прил13(ведом 22-23)'!M430</f>
        <v>147.4</v>
      </c>
      <c r="I110" s="304">
        <f>'прил13(ведом 22-23)'!N430</f>
        <v>147.4</v>
      </c>
    </row>
    <row r="111" spans="1:9" s="302" customFormat="1" ht="37.5">
      <c r="A111" s="290"/>
      <c r="B111" s="305" t="s">
        <v>382</v>
      </c>
      <c r="C111" s="179" t="s">
        <v>84</v>
      </c>
      <c r="D111" s="320" t="s">
        <v>65</v>
      </c>
      <c r="E111" s="320" t="s">
        <v>72</v>
      </c>
      <c r="F111" s="752" t="s">
        <v>64</v>
      </c>
      <c r="G111" s="149"/>
      <c r="H111" s="304">
        <f>H112</f>
        <v>12994.800000000001</v>
      </c>
      <c r="I111" s="304">
        <f>I112</f>
        <v>13019.2</v>
      </c>
    </row>
    <row r="112" spans="1:9" s="302" customFormat="1" ht="37.5">
      <c r="A112" s="290"/>
      <c r="B112" s="303" t="s">
        <v>795</v>
      </c>
      <c r="C112" s="179" t="s">
        <v>84</v>
      </c>
      <c r="D112" s="320" t="s">
        <v>65</v>
      </c>
      <c r="E112" s="320" t="s">
        <v>72</v>
      </c>
      <c r="F112" s="321" t="s">
        <v>112</v>
      </c>
      <c r="G112" s="322"/>
      <c r="H112" s="304">
        <f>SUM(H113:H115)</f>
        <v>12994.800000000001</v>
      </c>
      <c r="I112" s="304">
        <f>SUM(I113:I115)</f>
        <v>13019.2</v>
      </c>
    </row>
    <row r="113" spans="1:9" s="302" customFormat="1" ht="93.75">
      <c r="A113" s="290"/>
      <c r="B113" s="163" t="s">
        <v>69</v>
      </c>
      <c r="C113" s="750" t="s">
        <v>84</v>
      </c>
      <c r="D113" s="751" t="s">
        <v>65</v>
      </c>
      <c r="E113" s="751" t="s">
        <v>72</v>
      </c>
      <c r="F113" s="752" t="s">
        <v>112</v>
      </c>
      <c r="G113" s="149" t="s">
        <v>70</v>
      </c>
      <c r="H113" s="304">
        <f>'прил13(ведом 22-23)'!M433</f>
        <v>11426.1</v>
      </c>
      <c r="I113" s="304">
        <f>'прил13(ведом 22-23)'!N433</f>
        <v>11426.1</v>
      </c>
    </row>
    <row r="114" spans="1:9" s="302" customFormat="1" ht="37.5">
      <c r="A114" s="290"/>
      <c r="B114" s="163" t="s">
        <v>75</v>
      </c>
      <c r="C114" s="750" t="s">
        <v>84</v>
      </c>
      <c r="D114" s="751" t="s">
        <v>65</v>
      </c>
      <c r="E114" s="751" t="s">
        <v>72</v>
      </c>
      <c r="F114" s="752" t="s">
        <v>112</v>
      </c>
      <c r="G114" s="149" t="s">
        <v>76</v>
      </c>
      <c r="H114" s="304">
        <f>'прил13(ведом 22-23)'!M434</f>
        <v>1554.1</v>
      </c>
      <c r="I114" s="304">
        <f>'прил13(ведом 22-23)'!N434</f>
        <v>1578.5</v>
      </c>
    </row>
    <row r="115" spans="1:9" s="302" customFormat="1" ht="18.75">
      <c r="A115" s="290"/>
      <c r="B115" s="163" t="s">
        <v>77</v>
      </c>
      <c r="C115" s="750" t="s">
        <v>84</v>
      </c>
      <c r="D115" s="751" t="s">
        <v>65</v>
      </c>
      <c r="E115" s="751" t="s">
        <v>72</v>
      </c>
      <c r="F115" s="752" t="s">
        <v>112</v>
      </c>
      <c r="G115" s="149" t="s">
        <v>78</v>
      </c>
      <c r="H115" s="304">
        <f>'прил13(ведом 22-23)'!M435</f>
        <v>14.6</v>
      </c>
      <c r="I115" s="304">
        <f>'прил13(ведом 22-23)'!N435</f>
        <v>14.6</v>
      </c>
    </row>
    <row r="116" spans="1:9" s="302" customFormat="1" ht="39.75" customHeight="1">
      <c r="A116" s="290"/>
      <c r="B116" s="167" t="s">
        <v>321</v>
      </c>
      <c r="C116" s="750" t="s">
        <v>84</v>
      </c>
      <c r="D116" s="751" t="s">
        <v>65</v>
      </c>
      <c r="E116" s="751" t="s">
        <v>86</v>
      </c>
      <c r="F116" s="752" t="s">
        <v>64</v>
      </c>
      <c r="G116" s="149"/>
      <c r="H116" s="304">
        <f>'прил13(ведом 22-23)'!M419</f>
        <v>277.89999999999998</v>
      </c>
      <c r="I116" s="304">
        <f>'прил13(ведом 22-23)'!N419</f>
        <v>277.89999999999998</v>
      </c>
    </row>
    <row r="117" spans="1:9" s="302" customFormat="1" ht="37.5">
      <c r="A117" s="290"/>
      <c r="B117" s="167" t="s">
        <v>812</v>
      </c>
      <c r="C117" s="750" t="s">
        <v>84</v>
      </c>
      <c r="D117" s="751" t="s">
        <v>65</v>
      </c>
      <c r="E117" s="751" t="s">
        <v>86</v>
      </c>
      <c r="F117" s="752" t="s">
        <v>811</v>
      </c>
      <c r="G117" s="149"/>
      <c r="H117" s="304">
        <f>'прил13(ведом 22-23)'!M420</f>
        <v>277.89999999999998</v>
      </c>
      <c r="I117" s="304">
        <f>'прил13(ведом 22-23)'!N420</f>
        <v>277.89999999999998</v>
      </c>
    </row>
    <row r="118" spans="1:9" s="302" customFormat="1" ht="34.5" customHeight="1">
      <c r="A118" s="290"/>
      <c r="B118" s="167" t="s">
        <v>97</v>
      </c>
      <c r="C118" s="750" t="s">
        <v>84</v>
      </c>
      <c r="D118" s="751" t="s">
        <v>65</v>
      </c>
      <c r="E118" s="751" t="s">
        <v>86</v>
      </c>
      <c r="F118" s="752" t="s">
        <v>811</v>
      </c>
      <c r="G118" s="149" t="s">
        <v>98</v>
      </c>
      <c r="H118" s="304">
        <f>'прил13(ведом 22-23)'!M421</f>
        <v>277.89999999999998</v>
      </c>
      <c r="I118" s="304">
        <f>'прил13(ведом 22-23)'!N421</f>
        <v>277.89999999999998</v>
      </c>
    </row>
    <row r="119" spans="1:9" s="302" customFormat="1" ht="37.5">
      <c r="A119" s="290"/>
      <c r="B119" s="163" t="s">
        <v>391</v>
      </c>
      <c r="C119" s="179" t="s">
        <v>84</v>
      </c>
      <c r="D119" s="320" t="s">
        <v>110</v>
      </c>
      <c r="E119" s="320" t="s">
        <v>63</v>
      </c>
      <c r="F119" s="752" t="s">
        <v>64</v>
      </c>
      <c r="G119" s="149"/>
      <c r="H119" s="304">
        <f t="shared" ref="H119:I123" si="0">H120</f>
        <v>60</v>
      </c>
      <c r="I119" s="304">
        <f t="shared" si="0"/>
        <v>57.9</v>
      </c>
    </row>
    <row r="120" spans="1:9" s="302" customFormat="1" ht="93.75">
      <c r="A120" s="290"/>
      <c r="B120" s="167" t="s">
        <v>383</v>
      </c>
      <c r="C120" s="179" t="s">
        <v>84</v>
      </c>
      <c r="D120" s="320" t="s">
        <v>110</v>
      </c>
      <c r="E120" s="320" t="s">
        <v>84</v>
      </c>
      <c r="F120" s="752" t="s">
        <v>64</v>
      </c>
      <c r="G120" s="149"/>
      <c r="H120" s="304">
        <f>H123+H121</f>
        <v>60</v>
      </c>
      <c r="I120" s="304">
        <f>I123+I121</f>
        <v>57.9</v>
      </c>
    </row>
    <row r="121" spans="1:9" s="302" customFormat="1" ht="37.5">
      <c r="A121" s="290"/>
      <c r="B121" s="167" t="s">
        <v>378</v>
      </c>
      <c r="C121" s="179" t="s">
        <v>84</v>
      </c>
      <c r="D121" s="320" t="s">
        <v>110</v>
      </c>
      <c r="E121" s="320" t="s">
        <v>84</v>
      </c>
      <c r="F121" s="752" t="s">
        <v>379</v>
      </c>
      <c r="G121" s="149"/>
      <c r="H121" s="304">
        <f>H122</f>
        <v>17.899999999999999</v>
      </c>
      <c r="I121" s="304">
        <f>I122</f>
        <v>17.899999999999999</v>
      </c>
    </row>
    <row r="122" spans="1:9" s="302" customFormat="1" ht="38.25" customHeight="1">
      <c r="A122" s="290"/>
      <c r="B122" s="167" t="s">
        <v>97</v>
      </c>
      <c r="C122" s="179" t="s">
        <v>84</v>
      </c>
      <c r="D122" s="320" t="s">
        <v>110</v>
      </c>
      <c r="E122" s="320" t="s">
        <v>84</v>
      </c>
      <c r="F122" s="752" t="s">
        <v>379</v>
      </c>
      <c r="G122" s="149" t="s">
        <v>98</v>
      </c>
      <c r="H122" s="304">
        <f>'прил13(ведом 22-23)'!M439</f>
        <v>17.899999999999999</v>
      </c>
      <c r="I122" s="304">
        <f>'прил13(ведом 22-23)'!N439</f>
        <v>17.899999999999999</v>
      </c>
    </row>
    <row r="123" spans="1:9" s="302" customFormat="1" ht="42" customHeight="1">
      <c r="A123" s="290"/>
      <c r="B123" s="167" t="s">
        <v>586</v>
      </c>
      <c r="C123" s="750" t="s">
        <v>84</v>
      </c>
      <c r="D123" s="751" t="s">
        <v>110</v>
      </c>
      <c r="E123" s="751" t="s">
        <v>84</v>
      </c>
      <c r="F123" s="752" t="s">
        <v>587</v>
      </c>
      <c r="G123" s="149"/>
      <c r="H123" s="304">
        <f t="shared" si="0"/>
        <v>42.1</v>
      </c>
      <c r="I123" s="304">
        <f t="shared" si="0"/>
        <v>40</v>
      </c>
    </row>
    <row r="124" spans="1:9" s="302" customFormat="1" ht="42" customHeight="1">
      <c r="A124" s="290"/>
      <c r="B124" s="167" t="s">
        <v>97</v>
      </c>
      <c r="C124" s="750" t="s">
        <v>84</v>
      </c>
      <c r="D124" s="751" t="s">
        <v>110</v>
      </c>
      <c r="E124" s="751" t="s">
        <v>84</v>
      </c>
      <c r="F124" s="752" t="s">
        <v>587</v>
      </c>
      <c r="G124" s="149" t="s">
        <v>98</v>
      </c>
      <c r="H124" s="304">
        <f>'прил13(ведом 22-23)'!M441</f>
        <v>42.1</v>
      </c>
      <c r="I124" s="304">
        <f>'прил13(ведом 22-23)'!N441</f>
        <v>40</v>
      </c>
    </row>
    <row r="125" spans="1:9" s="302" customFormat="1" ht="39" customHeight="1">
      <c r="A125" s="290"/>
      <c r="B125" s="303" t="s">
        <v>238</v>
      </c>
      <c r="C125" s="750" t="s">
        <v>84</v>
      </c>
      <c r="D125" s="751" t="s">
        <v>50</v>
      </c>
      <c r="E125" s="751" t="s">
        <v>63</v>
      </c>
      <c r="F125" s="752" t="s">
        <v>64</v>
      </c>
      <c r="G125" s="288"/>
      <c r="H125" s="304">
        <f>H126+H135</f>
        <v>9274.1</v>
      </c>
      <c r="I125" s="304">
        <f>I126+I135</f>
        <v>9331.9000000000015</v>
      </c>
    </row>
    <row r="126" spans="1:9" s="302" customFormat="1" ht="37.5">
      <c r="A126" s="290"/>
      <c r="B126" s="303" t="s">
        <v>322</v>
      </c>
      <c r="C126" s="750" t="s">
        <v>84</v>
      </c>
      <c r="D126" s="751" t="s">
        <v>50</v>
      </c>
      <c r="E126" s="751" t="s">
        <v>57</v>
      </c>
      <c r="F126" s="752" t="s">
        <v>64</v>
      </c>
      <c r="G126" s="149"/>
      <c r="H126" s="304">
        <f>H127+H131</f>
        <v>9246.1</v>
      </c>
      <c r="I126" s="304">
        <f>I127+I131</f>
        <v>9303.9000000000015</v>
      </c>
    </row>
    <row r="127" spans="1:9" ht="37.5">
      <c r="A127" s="290"/>
      <c r="B127" s="303" t="s">
        <v>67</v>
      </c>
      <c r="C127" s="750" t="s">
        <v>84</v>
      </c>
      <c r="D127" s="751" t="s">
        <v>50</v>
      </c>
      <c r="E127" s="751" t="s">
        <v>57</v>
      </c>
      <c r="F127" s="752" t="s">
        <v>68</v>
      </c>
      <c r="G127" s="322"/>
      <c r="H127" s="304">
        <f>SUM(H128:H130)</f>
        <v>2806.7</v>
      </c>
      <c r="I127" s="304">
        <f>SUM(I128:I130)</f>
        <v>2807.3</v>
      </c>
    </row>
    <row r="128" spans="1:9" ht="93.75">
      <c r="A128" s="290"/>
      <c r="B128" s="303" t="s">
        <v>69</v>
      </c>
      <c r="C128" s="750" t="s">
        <v>84</v>
      </c>
      <c r="D128" s="751" t="s">
        <v>50</v>
      </c>
      <c r="E128" s="751" t="s">
        <v>57</v>
      </c>
      <c r="F128" s="752" t="s">
        <v>68</v>
      </c>
      <c r="G128" s="322" t="s">
        <v>70</v>
      </c>
      <c r="H128" s="304">
        <f>'прил13(ведом 22-23)'!M447</f>
        <v>2605.6</v>
      </c>
      <c r="I128" s="304">
        <f>'прил13(ведом 22-23)'!N447</f>
        <v>2605.6</v>
      </c>
    </row>
    <row r="129" spans="1:9" ht="37.5">
      <c r="A129" s="290"/>
      <c r="B129" s="303" t="s">
        <v>75</v>
      </c>
      <c r="C129" s="750" t="s">
        <v>84</v>
      </c>
      <c r="D129" s="751" t="s">
        <v>50</v>
      </c>
      <c r="E129" s="751" t="s">
        <v>57</v>
      </c>
      <c r="F129" s="752" t="s">
        <v>68</v>
      </c>
      <c r="G129" s="322" t="s">
        <v>76</v>
      </c>
      <c r="H129" s="304">
        <f>'прил13(ведом 22-23)'!M448</f>
        <v>196.7</v>
      </c>
      <c r="I129" s="304">
        <f>'прил13(ведом 22-23)'!N448</f>
        <v>197.4</v>
      </c>
    </row>
    <row r="130" spans="1:9" ht="18.75">
      <c r="A130" s="290"/>
      <c r="B130" s="163" t="s">
        <v>77</v>
      </c>
      <c r="C130" s="750" t="s">
        <v>84</v>
      </c>
      <c r="D130" s="751" t="s">
        <v>50</v>
      </c>
      <c r="E130" s="751" t="s">
        <v>57</v>
      </c>
      <c r="F130" s="752" t="s">
        <v>68</v>
      </c>
      <c r="G130" s="149" t="s">
        <v>78</v>
      </c>
      <c r="H130" s="304">
        <f>'прил13(ведом 22-23)'!M449</f>
        <v>4.4000000000000004</v>
      </c>
      <c r="I130" s="304">
        <f>'прил13(ведом 22-23)'!N449</f>
        <v>4.3</v>
      </c>
    </row>
    <row r="131" spans="1:9" ht="37.5">
      <c r="A131" s="290"/>
      <c r="B131" s="303" t="s">
        <v>795</v>
      </c>
      <c r="C131" s="750" t="s">
        <v>84</v>
      </c>
      <c r="D131" s="751" t="s">
        <v>50</v>
      </c>
      <c r="E131" s="751" t="s">
        <v>57</v>
      </c>
      <c r="F131" s="752" t="s">
        <v>112</v>
      </c>
      <c r="G131" s="149"/>
      <c r="H131" s="304">
        <f>SUM(H132:H134)</f>
        <v>6439.4000000000005</v>
      </c>
      <c r="I131" s="304">
        <f>SUM(I132:I134)</f>
        <v>6496.6</v>
      </c>
    </row>
    <row r="132" spans="1:9" ht="93.75">
      <c r="A132" s="290"/>
      <c r="B132" s="303" t="s">
        <v>69</v>
      </c>
      <c r="C132" s="750" t="s">
        <v>84</v>
      </c>
      <c r="D132" s="751" t="s">
        <v>50</v>
      </c>
      <c r="E132" s="751" t="s">
        <v>57</v>
      </c>
      <c r="F132" s="752" t="s">
        <v>112</v>
      </c>
      <c r="G132" s="322" t="s">
        <v>70</v>
      </c>
      <c r="H132" s="304">
        <f>'прил13(ведом 22-23)'!M451</f>
        <v>5959.1</v>
      </c>
      <c r="I132" s="304">
        <f>'прил13(ведом 22-23)'!N451</f>
        <v>5959.1</v>
      </c>
    </row>
    <row r="133" spans="1:9" ht="37.5">
      <c r="A133" s="290"/>
      <c r="B133" s="163" t="s">
        <v>75</v>
      </c>
      <c r="C133" s="750" t="s">
        <v>84</v>
      </c>
      <c r="D133" s="751" t="s">
        <v>50</v>
      </c>
      <c r="E133" s="751" t="s">
        <v>57</v>
      </c>
      <c r="F133" s="752" t="s">
        <v>112</v>
      </c>
      <c r="G133" s="322" t="s">
        <v>76</v>
      </c>
      <c r="H133" s="304">
        <f>'прил13(ведом 22-23)'!M452</f>
        <v>478.7</v>
      </c>
      <c r="I133" s="304">
        <f>'прил13(ведом 22-23)'!N452</f>
        <v>535.9</v>
      </c>
    </row>
    <row r="134" spans="1:9" ht="18.75">
      <c r="A134" s="290"/>
      <c r="B134" s="163" t="s">
        <v>77</v>
      </c>
      <c r="C134" s="750" t="s">
        <v>84</v>
      </c>
      <c r="D134" s="751" t="s">
        <v>50</v>
      </c>
      <c r="E134" s="751" t="s">
        <v>57</v>
      </c>
      <c r="F134" s="752" t="s">
        <v>112</v>
      </c>
      <c r="G134" s="149" t="s">
        <v>78</v>
      </c>
      <c r="H134" s="304">
        <f>'прил13(ведом 22-23)'!M453</f>
        <v>1.6</v>
      </c>
      <c r="I134" s="304">
        <f>'прил13(ведом 22-23)'!N453</f>
        <v>1.6</v>
      </c>
    </row>
    <row r="135" spans="1:9" ht="37.5">
      <c r="A135" s="290"/>
      <c r="B135" s="163" t="s">
        <v>428</v>
      </c>
      <c r="C135" s="576" t="s">
        <v>84</v>
      </c>
      <c r="D135" s="577" t="s">
        <v>50</v>
      </c>
      <c r="E135" s="577" t="s">
        <v>59</v>
      </c>
      <c r="F135" s="578" t="s">
        <v>64</v>
      </c>
      <c r="G135" s="159"/>
      <c r="H135" s="304">
        <f>H136</f>
        <v>28</v>
      </c>
      <c r="I135" s="304">
        <f>I136</f>
        <v>28</v>
      </c>
    </row>
    <row r="136" spans="1:9" ht="56.25">
      <c r="A136" s="290"/>
      <c r="B136" s="163" t="s">
        <v>429</v>
      </c>
      <c r="C136" s="576" t="s">
        <v>84</v>
      </c>
      <c r="D136" s="577" t="s">
        <v>50</v>
      </c>
      <c r="E136" s="577" t="s">
        <v>59</v>
      </c>
      <c r="F136" s="578" t="s">
        <v>126</v>
      </c>
      <c r="G136" s="159"/>
      <c r="H136" s="304">
        <f>H137</f>
        <v>28</v>
      </c>
      <c r="I136" s="304">
        <f>I137</f>
        <v>28</v>
      </c>
    </row>
    <row r="137" spans="1:9" ht="37.5">
      <c r="A137" s="290"/>
      <c r="B137" s="163" t="s">
        <v>75</v>
      </c>
      <c r="C137" s="576" t="s">
        <v>84</v>
      </c>
      <c r="D137" s="577" t="s">
        <v>50</v>
      </c>
      <c r="E137" s="577" t="s">
        <v>59</v>
      </c>
      <c r="F137" s="578" t="s">
        <v>126</v>
      </c>
      <c r="G137" s="180" t="s">
        <v>76</v>
      </c>
      <c r="H137" s="304">
        <f>'прил13(ведом 22-23)'!M406</f>
        <v>28</v>
      </c>
      <c r="I137" s="304">
        <f>'прил13(ведом 22-23)'!N406</f>
        <v>28</v>
      </c>
    </row>
    <row r="138" spans="1:9" ht="18.75">
      <c r="A138" s="290"/>
      <c r="B138" s="312"/>
      <c r="C138" s="745"/>
      <c r="D138" s="323"/>
      <c r="E138" s="324"/>
      <c r="F138" s="325"/>
      <c r="G138" s="288"/>
      <c r="H138" s="304"/>
      <c r="I138" s="304"/>
    </row>
    <row r="139" spans="1:9" s="302" customFormat="1" ht="56.25">
      <c r="A139" s="313">
        <v>3</v>
      </c>
      <c r="B139" s="326" t="s">
        <v>239</v>
      </c>
      <c r="C139" s="314" t="s">
        <v>72</v>
      </c>
      <c r="D139" s="314" t="s">
        <v>62</v>
      </c>
      <c r="E139" s="314" t="s">
        <v>63</v>
      </c>
      <c r="F139" s="315" t="s">
        <v>64</v>
      </c>
      <c r="G139" s="300"/>
      <c r="H139" s="301">
        <f>H140+H147</f>
        <v>21837.300000000003</v>
      </c>
      <c r="I139" s="301">
        <f>I140+I147</f>
        <v>24564.5</v>
      </c>
    </row>
    <row r="140" spans="1:9" s="302" customFormat="1" ht="25.5" customHeight="1">
      <c r="A140" s="313"/>
      <c r="B140" s="169" t="s">
        <v>240</v>
      </c>
      <c r="C140" s="750" t="s">
        <v>72</v>
      </c>
      <c r="D140" s="751" t="s">
        <v>65</v>
      </c>
      <c r="E140" s="751" t="s">
        <v>63</v>
      </c>
      <c r="F140" s="752" t="s">
        <v>64</v>
      </c>
      <c r="G140" s="300"/>
      <c r="H140" s="304">
        <f>H141+H144</f>
        <v>180</v>
      </c>
      <c r="I140" s="304">
        <f>I141+I144</f>
        <v>3869.7999999999997</v>
      </c>
    </row>
    <row r="141" spans="1:9" s="302" customFormat="1" ht="18.75">
      <c r="A141" s="313"/>
      <c r="B141" s="163" t="s">
        <v>317</v>
      </c>
      <c r="C141" s="750" t="s">
        <v>72</v>
      </c>
      <c r="D141" s="751" t="s">
        <v>65</v>
      </c>
      <c r="E141" s="751" t="s">
        <v>57</v>
      </c>
      <c r="F141" s="752" t="s">
        <v>64</v>
      </c>
      <c r="G141" s="149"/>
      <c r="H141" s="304">
        <f t="shared" ref="H141:I142" si="1">H142</f>
        <v>180</v>
      </c>
      <c r="I141" s="304">
        <f t="shared" si="1"/>
        <v>180</v>
      </c>
    </row>
    <row r="142" spans="1:9" s="302" customFormat="1" ht="37.5">
      <c r="A142" s="313"/>
      <c r="B142" s="163" t="s">
        <v>318</v>
      </c>
      <c r="C142" s="750" t="s">
        <v>72</v>
      </c>
      <c r="D142" s="751" t="s">
        <v>65</v>
      </c>
      <c r="E142" s="751" t="s">
        <v>57</v>
      </c>
      <c r="F142" s="752" t="s">
        <v>319</v>
      </c>
      <c r="G142" s="149"/>
      <c r="H142" s="304">
        <f t="shared" si="1"/>
        <v>180</v>
      </c>
      <c r="I142" s="304">
        <f t="shared" si="1"/>
        <v>180</v>
      </c>
    </row>
    <row r="143" spans="1:9" s="302" customFormat="1" ht="27" customHeight="1">
      <c r="A143" s="313"/>
      <c r="B143" s="163" t="s">
        <v>141</v>
      </c>
      <c r="C143" s="750" t="s">
        <v>72</v>
      </c>
      <c r="D143" s="751" t="s">
        <v>65</v>
      </c>
      <c r="E143" s="751" t="s">
        <v>57</v>
      </c>
      <c r="F143" s="752" t="s">
        <v>319</v>
      </c>
      <c r="G143" s="149" t="s">
        <v>142</v>
      </c>
      <c r="H143" s="304">
        <f>'прил13(ведом 22-23)'!M469</f>
        <v>180</v>
      </c>
      <c r="I143" s="304">
        <f>'прил13(ведом 22-23)'!N469</f>
        <v>180</v>
      </c>
    </row>
    <row r="144" spans="1:9" s="302" customFormat="1" ht="27" customHeight="1">
      <c r="A144" s="313"/>
      <c r="B144" s="163" t="s">
        <v>898</v>
      </c>
      <c r="C144" s="750" t="s">
        <v>72</v>
      </c>
      <c r="D144" s="751" t="s">
        <v>65</v>
      </c>
      <c r="E144" s="751" t="s">
        <v>897</v>
      </c>
      <c r="F144" s="752" t="s">
        <v>64</v>
      </c>
      <c r="G144" s="149"/>
      <c r="H144" s="304">
        <f>H145</f>
        <v>0</v>
      </c>
      <c r="I144" s="304">
        <f>I145</f>
        <v>3689.7999999999997</v>
      </c>
    </row>
    <row r="145" spans="1:9" s="302" customFormat="1" ht="40.5" customHeight="1">
      <c r="A145" s="313"/>
      <c r="B145" s="163" t="s">
        <v>899</v>
      </c>
      <c r="C145" s="750" t="s">
        <v>72</v>
      </c>
      <c r="D145" s="751" t="s">
        <v>65</v>
      </c>
      <c r="E145" s="751" t="s">
        <v>897</v>
      </c>
      <c r="F145" s="752" t="s">
        <v>916</v>
      </c>
      <c r="G145" s="149"/>
      <c r="H145" s="304">
        <f>H146</f>
        <v>0</v>
      </c>
      <c r="I145" s="304">
        <f>I146</f>
        <v>3689.7999999999997</v>
      </c>
    </row>
    <row r="146" spans="1:9" s="302" customFormat="1" ht="37.5" customHeight="1">
      <c r="A146" s="313"/>
      <c r="B146" s="163" t="s">
        <v>75</v>
      </c>
      <c r="C146" s="750" t="s">
        <v>72</v>
      </c>
      <c r="D146" s="751" t="s">
        <v>65</v>
      </c>
      <c r="E146" s="751" t="s">
        <v>897</v>
      </c>
      <c r="F146" s="752" t="s">
        <v>916</v>
      </c>
      <c r="G146" s="149" t="s">
        <v>76</v>
      </c>
      <c r="H146" s="304">
        <f>'прил13(ведом 22-23)'!M485</f>
        <v>0</v>
      </c>
      <c r="I146" s="304">
        <f>'прил13(ведом 22-23)'!N485</f>
        <v>3689.7999999999997</v>
      </c>
    </row>
    <row r="147" spans="1:9" ht="23.25" customHeight="1">
      <c r="A147" s="290"/>
      <c r="B147" s="303" t="s">
        <v>242</v>
      </c>
      <c r="C147" s="750" t="s">
        <v>72</v>
      </c>
      <c r="D147" s="751" t="s">
        <v>110</v>
      </c>
      <c r="E147" s="751" t="s">
        <v>63</v>
      </c>
      <c r="F147" s="752" t="s">
        <v>64</v>
      </c>
      <c r="G147" s="288"/>
      <c r="H147" s="304">
        <f>H148+H153+H162</f>
        <v>21657.300000000003</v>
      </c>
      <c r="I147" s="304">
        <f>I148+I153+I162</f>
        <v>20694.7</v>
      </c>
    </row>
    <row r="148" spans="1:9" ht="37.5">
      <c r="A148" s="290"/>
      <c r="B148" s="303" t="s">
        <v>322</v>
      </c>
      <c r="C148" s="750" t="s">
        <v>72</v>
      </c>
      <c r="D148" s="751" t="s">
        <v>110</v>
      </c>
      <c r="E148" s="751" t="s">
        <v>57</v>
      </c>
      <c r="F148" s="752" t="s">
        <v>64</v>
      </c>
      <c r="G148" s="149"/>
      <c r="H148" s="304">
        <f>H149</f>
        <v>2485.4</v>
      </c>
      <c r="I148" s="304">
        <f>I149</f>
        <v>2375.7000000000003</v>
      </c>
    </row>
    <row r="149" spans="1:9" ht="37.5">
      <c r="A149" s="290"/>
      <c r="B149" s="303" t="s">
        <v>67</v>
      </c>
      <c r="C149" s="750" t="s">
        <v>72</v>
      </c>
      <c r="D149" s="751" t="s">
        <v>110</v>
      </c>
      <c r="E149" s="751" t="s">
        <v>57</v>
      </c>
      <c r="F149" s="752" t="s">
        <v>68</v>
      </c>
      <c r="G149" s="149"/>
      <c r="H149" s="304">
        <f>SUM(H150:H152)</f>
        <v>2485.4</v>
      </c>
      <c r="I149" s="304">
        <f>SUM(I150:I152)</f>
        <v>2375.7000000000003</v>
      </c>
    </row>
    <row r="150" spans="1:9" ht="93.75">
      <c r="A150" s="290"/>
      <c r="B150" s="303" t="s">
        <v>69</v>
      </c>
      <c r="C150" s="750" t="s">
        <v>72</v>
      </c>
      <c r="D150" s="751" t="s">
        <v>110</v>
      </c>
      <c r="E150" s="751" t="s">
        <v>57</v>
      </c>
      <c r="F150" s="752" t="s">
        <v>68</v>
      </c>
      <c r="G150" s="149" t="s">
        <v>70</v>
      </c>
      <c r="H150" s="304">
        <f>'прил13(ведом 22-23)'!M491</f>
        <v>2371.8000000000002</v>
      </c>
      <c r="I150" s="304">
        <f>'прил13(ведом 22-23)'!N491</f>
        <v>2371.8000000000002</v>
      </c>
    </row>
    <row r="151" spans="1:9" ht="37.5">
      <c r="A151" s="290"/>
      <c r="B151" s="163" t="s">
        <v>75</v>
      </c>
      <c r="C151" s="750" t="s">
        <v>72</v>
      </c>
      <c r="D151" s="751" t="s">
        <v>110</v>
      </c>
      <c r="E151" s="751" t="s">
        <v>57</v>
      </c>
      <c r="F151" s="752" t="s">
        <v>68</v>
      </c>
      <c r="G151" s="149" t="s">
        <v>76</v>
      </c>
      <c r="H151" s="304">
        <f>'прил13(ведом 22-23)'!M492</f>
        <v>111.6</v>
      </c>
      <c r="I151" s="304">
        <f>'прил13(ведом 22-23)'!N492</f>
        <v>2</v>
      </c>
    </row>
    <row r="152" spans="1:9" ht="18.75">
      <c r="A152" s="290"/>
      <c r="B152" s="163" t="s">
        <v>77</v>
      </c>
      <c r="C152" s="750" t="s">
        <v>72</v>
      </c>
      <c r="D152" s="751" t="s">
        <v>110</v>
      </c>
      <c r="E152" s="751" t="s">
        <v>57</v>
      </c>
      <c r="F152" s="752" t="s">
        <v>68</v>
      </c>
      <c r="G152" s="149" t="s">
        <v>78</v>
      </c>
      <c r="H152" s="304">
        <f>'прил13(ведом 22-23)'!M493</f>
        <v>2</v>
      </c>
      <c r="I152" s="304">
        <f>'прил13(ведом 22-23)'!N493</f>
        <v>1.9</v>
      </c>
    </row>
    <row r="153" spans="1:9" ht="18.75">
      <c r="A153" s="290"/>
      <c r="B153" s="303" t="s">
        <v>444</v>
      </c>
      <c r="C153" s="750" t="s">
        <v>72</v>
      </c>
      <c r="D153" s="751" t="s">
        <v>110</v>
      </c>
      <c r="E153" s="751" t="s">
        <v>59</v>
      </c>
      <c r="F153" s="752" t="s">
        <v>64</v>
      </c>
      <c r="G153" s="149"/>
      <c r="H153" s="304">
        <f>H154+H158+H160</f>
        <v>19136.600000000002</v>
      </c>
      <c r="I153" s="304">
        <f>I154+I158+I160</f>
        <v>18283.7</v>
      </c>
    </row>
    <row r="154" spans="1:9" ht="37.5">
      <c r="A154" s="290"/>
      <c r="B154" s="303" t="s">
        <v>795</v>
      </c>
      <c r="C154" s="750" t="s">
        <v>72</v>
      </c>
      <c r="D154" s="751" t="s">
        <v>110</v>
      </c>
      <c r="E154" s="751" t="s">
        <v>59</v>
      </c>
      <c r="F154" s="752" t="s">
        <v>112</v>
      </c>
      <c r="G154" s="149"/>
      <c r="H154" s="304">
        <f>SUM(H155:H157)</f>
        <v>18158.7</v>
      </c>
      <c r="I154" s="304">
        <f>SUM(I155:I157)</f>
        <v>18158.7</v>
      </c>
    </row>
    <row r="155" spans="1:9" ht="93.75">
      <c r="A155" s="290"/>
      <c r="B155" s="303" t="s">
        <v>69</v>
      </c>
      <c r="C155" s="750" t="s">
        <v>72</v>
      </c>
      <c r="D155" s="751" t="s">
        <v>110</v>
      </c>
      <c r="E155" s="751" t="s">
        <v>59</v>
      </c>
      <c r="F155" s="752" t="s">
        <v>112</v>
      </c>
      <c r="G155" s="149" t="s">
        <v>70</v>
      </c>
      <c r="H155" s="304">
        <f>'прил13(ведом 22-23)'!M473</f>
        <v>17673</v>
      </c>
      <c r="I155" s="304">
        <f>'прил13(ведом 22-23)'!N473</f>
        <v>17673</v>
      </c>
    </row>
    <row r="156" spans="1:9" ht="37.5">
      <c r="A156" s="290"/>
      <c r="B156" s="303" t="s">
        <v>75</v>
      </c>
      <c r="C156" s="750" t="s">
        <v>72</v>
      </c>
      <c r="D156" s="751" t="s">
        <v>110</v>
      </c>
      <c r="E156" s="751" t="s">
        <v>59</v>
      </c>
      <c r="F156" s="752" t="s">
        <v>112</v>
      </c>
      <c r="G156" s="149" t="s">
        <v>76</v>
      </c>
      <c r="H156" s="304">
        <f>'прил13(ведом 22-23)'!M474</f>
        <v>425.8</v>
      </c>
      <c r="I156" s="304">
        <f>'прил13(ведом 22-23)'!N474</f>
        <v>427.8</v>
      </c>
    </row>
    <row r="157" spans="1:9" ht="18.75">
      <c r="A157" s="290"/>
      <c r="B157" s="303" t="s">
        <v>77</v>
      </c>
      <c r="C157" s="750" t="s">
        <v>72</v>
      </c>
      <c r="D157" s="751" t="s">
        <v>110</v>
      </c>
      <c r="E157" s="751" t="s">
        <v>59</v>
      </c>
      <c r="F157" s="752" t="s">
        <v>112</v>
      </c>
      <c r="G157" s="149" t="s">
        <v>78</v>
      </c>
      <c r="H157" s="304">
        <f>'прил13(ведом 22-23)'!M475</f>
        <v>59.9</v>
      </c>
      <c r="I157" s="304">
        <f>'прил13(ведом 22-23)'!N475</f>
        <v>57.9</v>
      </c>
    </row>
    <row r="158" spans="1:9" ht="183.6" customHeight="1">
      <c r="A158" s="290"/>
      <c r="B158" s="163" t="s">
        <v>694</v>
      </c>
      <c r="C158" s="750" t="s">
        <v>72</v>
      </c>
      <c r="D158" s="751" t="s">
        <v>110</v>
      </c>
      <c r="E158" s="751" t="s">
        <v>59</v>
      </c>
      <c r="F158" s="752" t="s">
        <v>538</v>
      </c>
      <c r="G158" s="149"/>
      <c r="H158" s="304">
        <f>H159</f>
        <v>125</v>
      </c>
      <c r="I158" s="304">
        <f>I159</f>
        <v>125</v>
      </c>
    </row>
    <row r="159" spans="1:9" ht="93.75">
      <c r="A159" s="290"/>
      <c r="B159" s="163" t="s">
        <v>69</v>
      </c>
      <c r="C159" s="750" t="s">
        <v>72</v>
      </c>
      <c r="D159" s="751" t="s">
        <v>110</v>
      </c>
      <c r="E159" s="751" t="s">
        <v>59</v>
      </c>
      <c r="F159" s="752" t="s">
        <v>538</v>
      </c>
      <c r="G159" s="149" t="s">
        <v>70</v>
      </c>
      <c r="H159" s="304">
        <f>'прил13(ведом 22-23)'!M477</f>
        <v>125</v>
      </c>
      <c r="I159" s="304">
        <f>'прил13(ведом 22-23)'!N477</f>
        <v>125</v>
      </c>
    </row>
    <row r="160" spans="1:9" ht="56.25">
      <c r="A160" s="290"/>
      <c r="B160" s="163" t="s">
        <v>729</v>
      </c>
      <c r="C160" s="750" t="s">
        <v>72</v>
      </c>
      <c r="D160" s="751" t="s">
        <v>110</v>
      </c>
      <c r="E160" s="751" t="s">
        <v>59</v>
      </c>
      <c r="F160" s="752" t="s">
        <v>583</v>
      </c>
      <c r="G160" s="149"/>
      <c r="H160" s="304">
        <f>H161</f>
        <v>852.9</v>
      </c>
      <c r="I160" s="304">
        <f>I161</f>
        <v>0</v>
      </c>
    </row>
    <row r="161" spans="1:9" ht="93.75">
      <c r="A161" s="290"/>
      <c r="B161" s="163" t="s">
        <v>69</v>
      </c>
      <c r="C161" s="750" t="s">
        <v>72</v>
      </c>
      <c r="D161" s="751" t="s">
        <v>110</v>
      </c>
      <c r="E161" s="751" t="s">
        <v>59</v>
      </c>
      <c r="F161" s="752" t="s">
        <v>583</v>
      </c>
      <c r="G161" s="149" t="s">
        <v>70</v>
      </c>
      <c r="H161" s="304">
        <f>'прил13(ведом 22-23)'!M479</f>
        <v>852.9</v>
      </c>
      <c r="I161" s="304">
        <f>'прил13(ведом 22-23)'!N479</f>
        <v>0</v>
      </c>
    </row>
    <row r="162" spans="1:9" ht="37.5">
      <c r="A162" s="290"/>
      <c r="B162" s="592" t="s">
        <v>428</v>
      </c>
      <c r="C162" s="576" t="s">
        <v>72</v>
      </c>
      <c r="D162" s="577" t="s">
        <v>110</v>
      </c>
      <c r="E162" s="577" t="s">
        <v>84</v>
      </c>
      <c r="F162" s="578" t="s">
        <v>64</v>
      </c>
      <c r="G162" s="180"/>
      <c r="H162" s="304">
        <f>H163</f>
        <v>35.299999999999997</v>
      </c>
      <c r="I162" s="304">
        <f>I163</f>
        <v>35.299999999999997</v>
      </c>
    </row>
    <row r="163" spans="1:9" ht="56.25">
      <c r="A163" s="290"/>
      <c r="B163" s="592" t="s">
        <v>429</v>
      </c>
      <c r="C163" s="576" t="s">
        <v>72</v>
      </c>
      <c r="D163" s="577" t="s">
        <v>110</v>
      </c>
      <c r="E163" s="577" t="s">
        <v>84</v>
      </c>
      <c r="F163" s="578" t="s">
        <v>126</v>
      </c>
      <c r="G163" s="180"/>
      <c r="H163" s="304">
        <f>H164</f>
        <v>35.299999999999997</v>
      </c>
      <c r="I163" s="304">
        <f>I164</f>
        <v>35.299999999999997</v>
      </c>
    </row>
    <row r="164" spans="1:9" ht="37.5">
      <c r="A164" s="290"/>
      <c r="B164" s="595" t="s">
        <v>75</v>
      </c>
      <c r="C164" s="576" t="s">
        <v>72</v>
      </c>
      <c r="D164" s="577" t="s">
        <v>110</v>
      </c>
      <c r="E164" s="577" t="s">
        <v>84</v>
      </c>
      <c r="F164" s="578" t="s">
        <v>126</v>
      </c>
      <c r="G164" s="180" t="s">
        <v>76</v>
      </c>
      <c r="H164" s="304">
        <f>'прил13(ведом 22-23)'!M462</f>
        <v>35.299999999999997</v>
      </c>
      <c r="I164" s="304">
        <f>'прил13(ведом 22-23)'!N462</f>
        <v>35.299999999999997</v>
      </c>
    </row>
    <row r="165" spans="1:9" ht="18.75">
      <c r="A165" s="290"/>
      <c r="B165" s="312"/>
      <c r="C165" s="744"/>
      <c r="D165" s="745"/>
      <c r="E165" s="745"/>
      <c r="F165" s="746"/>
      <c r="G165" s="288"/>
      <c r="H165" s="304"/>
      <c r="I165" s="304"/>
    </row>
    <row r="166" spans="1:9" s="302" customFormat="1" ht="56.25">
      <c r="A166" s="313">
        <v>4</v>
      </c>
      <c r="B166" s="297" t="s">
        <v>243</v>
      </c>
      <c r="C166" s="298" t="s">
        <v>86</v>
      </c>
      <c r="D166" s="298" t="s">
        <v>62</v>
      </c>
      <c r="E166" s="298" t="s">
        <v>63</v>
      </c>
      <c r="F166" s="299" t="s">
        <v>64</v>
      </c>
      <c r="G166" s="300"/>
      <c r="H166" s="301">
        <f>H167+H173</f>
        <v>6151.9</v>
      </c>
      <c r="I166" s="301">
        <f>I167+I173</f>
        <v>6157.2</v>
      </c>
    </row>
    <row r="167" spans="1:9" s="302" customFormat="1" ht="18.75">
      <c r="A167" s="290"/>
      <c r="B167" s="303" t="s">
        <v>244</v>
      </c>
      <c r="C167" s="750" t="s">
        <v>86</v>
      </c>
      <c r="D167" s="751" t="s">
        <v>65</v>
      </c>
      <c r="E167" s="751" t="s">
        <v>63</v>
      </c>
      <c r="F167" s="752" t="s">
        <v>64</v>
      </c>
      <c r="G167" s="288"/>
      <c r="H167" s="304">
        <f t="shared" ref="H167:I168" si="2">H168</f>
        <v>3048.2</v>
      </c>
      <c r="I167" s="304">
        <f t="shared" si="2"/>
        <v>3048.2</v>
      </c>
    </row>
    <row r="168" spans="1:9" s="302" customFormat="1" ht="75">
      <c r="A168" s="290"/>
      <c r="B168" s="303" t="s">
        <v>328</v>
      </c>
      <c r="C168" s="750" t="s">
        <v>86</v>
      </c>
      <c r="D168" s="751" t="s">
        <v>65</v>
      </c>
      <c r="E168" s="751" t="s">
        <v>57</v>
      </c>
      <c r="F168" s="752" t="s">
        <v>64</v>
      </c>
      <c r="G168" s="149"/>
      <c r="H168" s="304">
        <f t="shared" si="2"/>
        <v>3048.2</v>
      </c>
      <c r="I168" s="304">
        <f t="shared" si="2"/>
        <v>3048.2</v>
      </c>
    </row>
    <row r="169" spans="1:9" ht="37.5">
      <c r="A169" s="290"/>
      <c r="B169" s="303" t="s">
        <v>795</v>
      </c>
      <c r="C169" s="750" t="s">
        <v>86</v>
      </c>
      <c r="D169" s="751" t="s">
        <v>65</v>
      </c>
      <c r="E169" s="751" t="s">
        <v>57</v>
      </c>
      <c r="F169" s="752" t="s">
        <v>112</v>
      </c>
      <c r="G169" s="149"/>
      <c r="H169" s="304">
        <f>SUM(H170:H172)</f>
        <v>3048.2</v>
      </c>
      <c r="I169" s="304">
        <f>SUM(I170:I172)</f>
        <v>3048.2</v>
      </c>
    </row>
    <row r="170" spans="1:9" ht="93.75">
      <c r="A170" s="290"/>
      <c r="B170" s="303" t="s">
        <v>69</v>
      </c>
      <c r="C170" s="750" t="s">
        <v>86</v>
      </c>
      <c r="D170" s="751" t="s">
        <v>65</v>
      </c>
      <c r="E170" s="751" t="s">
        <v>57</v>
      </c>
      <c r="F170" s="752" t="s">
        <v>112</v>
      </c>
      <c r="G170" s="149" t="s">
        <v>70</v>
      </c>
      <c r="H170" s="304">
        <f>'прил13(ведом 22-23)'!M515</f>
        <v>2667.4</v>
      </c>
      <c r="I170" s="304">
        <f>'прил13(ведом 22-23)'!N515</f>
        <v>2667.4</v>
      </c>
    </row>
    <row r="171" spans="1:9" ht="37.5">
      <c r="A171" s="290"/>
      <c r="B171" s="163" t="s">
        <v>75</v>
      </c>
      <c r="C171" s="750" t="s">
        <v>86</v>
      </c>
      <c r="D171" s="751" t="s">
        <v>65</v>
      </c>
      <c r="E171" s="751" t="s">
        <v>57</v>
      </c>
      <c r="F171" s="752" t="s">
        <v>112</v>
      </c>
      <c r="G171" s="149" t="s">
        <v>76</v>
      </c>
      <c r="H171" s="304">
        <f>'прил13(ведом 22-23)'!M516</f>
        <v>378.1</v>
      </c>
      <c r="I171" s="304">
        <f>'прил13(ведом 22-23)'!N516</f>
        <v>378.1</v>
      </c>
    </row>
    <row r="172" spans="1:9" ht="18.75">
      <c r="A172" s="290"/>
      <c r="B172" s="163" t="s">
        <v>77</v>
      </c>
      <c r="C172" s="750" t="s">
        <v>86</v>
      </c>
      <c r="D172" s="751" t="s">
        <v>65</v>
      </c>
      <c r="E172" s="751" t="s">
        <v>57</v>
      </c>
      <c r="F172" s="752" t="s">
        <v>112</v>
      </c>
      <c r="G172" s="149" t="s">
        <v>78</v>
      </c>
      <c r="H172" s="304">
        <f>'прил13(ведом 22-23)'!M517</f>
        <v>2.7</v>
      </c>
      <c r="I172" s="304">
        <f>'прил13(ведом 22-23)'!N517</f>
        <v>2.7</v>
      </c>
    </row>
    <row r="173" spans="1:9" s="302" customFormat="1" ht="22.5" customHeight="1">
      <c r="A173" s="290"/>
      <c r="B173" s="303" t="s">
        <v>242</v>
      </c>
      <c r="C173" s="750" t="s">
        <v>86</v>
      </c>
      <c r="D173" s="751" t="s">
        <v>110</v>
      </c>
      <c r="E173" s="751" t="s">
        <v>63</v>
      </c>
      <c r="F173" s="752" t="s">
        <v>64</v>
      </c>
      <c r="G173" s="149"/>
      <c r="H173" s="304">
        <f>H174+H179+H182+H185</f>
        <v>3103.7</v>
      </c>
      <c r="I173" s="304">
        <f>I174+I179+I182+I185</f>
        <v>3109</v>
      </c>
    </row>
    <row r="174" spans="1:9" s="302" customFormat="1" ht="37.5">
      <c r="A174" s="290"/>
      <c r="B174" s="303" t="s">
        <v>322</v>
      </c>
      <c r="C174" s="750" t="s">
        <v>86</v>
      </c>
      <c r="D174" s="751" t="s">
        <v>110</v>
      </c>
      <c r="E174" s="751" t="s">
        <v>57</v>
      </c>
      <c r="F174" s="752" t="s">
        <v>64</v>
      </c>
      <c r="G174" s="149"/>
      <c r="H174" s="304">
        <f>H175</f>
        <v>2981.2999999999997</v>
      </c>
      <c r="I174" s="304">
        <f>I175</f>
        <v>2986.6</v>
      </c>
    </row>
    <row r="175" spans="1:9" s="302" customFormat="1" ht="37.5">
      <c r="A175" s="290"/>
      <c r="B175" s="303" t="s">
        <v>67</v>
      </c>
      <c r="C175" s="750" t="s">
        <v>86</v>
      </c>
      <c r="D175" s="751" t="s">
        <v>110</v>
      </c>
      <c r="E175" s="751" t="s">
        <v>57</v>
      </c>
      <c r="F175" s="752" t="s">
        <v>68</v>
      </c>
      <c r="G175" s="149"/>
      <c r="H175" s="304">
        <f>SUM(H176:H178)</f>
        <v>2981.2999999999997</v>
      </c>
      <c r="I175" s="304">
        <f>SUM(I176:I178)</f>
        <v>2986.6</v>
      </c>
    </row>
    <row r="176" spans="1:9" s="302" customFormat="1" ht="93.75">
      <c r="A176" s="290"/>
      <c r="B176" s="303" t="s">
        <v>69</v>
      </c>
      <c r="C176" s="750" t="s">
        <v>86</v>
      </c>
      <c r="D176" s="751" t="s">
        <v>110</v>
      </c>
      <c r="E176" s="751" t="s">
        <v>57</v>
      </c>
      <c r="F176" s="752" t="s">
        <v>68</v>
      </c>
      <c r="G176" s="149" t="s">
        <v>70</v>
      </c>
      <c r="H176" s="304">
        <f>'прил13(ведом 22-23)'!M523</f>
        <v>2735.5</v>
      </c>
      <c r="I176" s="304">
        <f>'прил13(ведом 22-23)'!N523</f>
        <v>2735.5</v>
      </c>
    </row>
    <row r="177" spans="1:9" ht="37.5">
      <c r="A177" s="290"/>
      <c r="B177" s="303" t="s">
        <v>75</v>
      </c>
      <c r="C177" s="750" t="s">
        <v>86</v>
      </c>
      <c r="D177" s="751" t="s">
        <v>110</v>
      </c>
      <c r="E177" s="751" t="s">
        <v>57</v>
      </c>
      <c r="F177" s="752" t="s">
        <v>68</v>
      </c>
      <c r="G177" s="149" t="s">
        <v>76</v>
      </c>
      <c r="H177" s="304">
        <f>'прил13(ведом 22-23)'!M524</f>
        <v>244.6</v>
      </c>
      <c r="I177" s="304">
        <f>'прил13(ведом 22-23)'!N524</f>
        <v>249.9</v>
      </c>
    </row>
    <row r="178" spans="1:9" ht="18.75">
      <c r="A178" s="290"/>
      <c r="B178" s="303" t="s">
        <v>77</v>
      </c>
      <c r="C178" s="750" t="s">
        <v>86</v>
      </c>
      <c r="D178" s="751" t="s">
        <v>110</v>
      </c>
      <c r="E178" s="751" t="s">
        <v>57</v>
      </c>
      <c r="F178" s="752" t="s">
        <v>68</v>
      </c>
      <c r="G178" s="149" t="s">
        <v>78</v>
      </c>
      <c r="H178" s="304">
        <f>'прил13(ведом 22-23)'!M525</f>
        <v>1.2</v>
      </c>
      <c r="I178" s="304">
        <f>'прил13(ведом 22-23)'!N525</f>
        <v>1.2</v>
      </c>
    </row>
    <row r="179" spans="1:9" ht="37.5">
      <c r="A179" s="290"/>
      <c r="B179" s="656" t="s">
        <v>428</v>
      </c>
      <c r="C179" s="751" t="s">
        <v>86</v>
      </c>
      <c r="D179" s="751" t="s">
        <v>110</v>
      </c>
      <c r="E179" s="751" t="s">
        <v>59</v>
      </c>
      <c r="F179" s="752" t="s">
        <v>64</v>
      </c>
      <c r="G179" s="149"/>
      <c r="H179" s="304">
        <f>H180</f>
        <v>65.099999999999994</v>
      </c>
      <c r="I179" s="304">
        <f>I180</f>
        <v>65.099999999999994</v>
      </c>
    </row>
    <row r="180" spans="1:9" ht="56.25">
      <c r="A180" s="290"/>
      <c r="B180" s="656" t="s">
        <v>429</v>
      </c>
      <c r="C180" s="750" t="s">
        <v>86</v>
      </c>
      <c r="D180" s="751" t="s">
        <v>110</v>
      </c>
      <c r="E180" s="751" t="s">
        <v>59</v>
      </c>
      <c r="F180" s="752" t="s">
        <v>126</v>
      </c>
      <c r="G180" s="149"/>
      <c r="H180" s="304">
        <f>H181</f>
        <v>65.099999999999994</v>
      </c>
      <c r="I180" s="304">
        <f>I181</f>
        <v>65.099999999999994</v>
      </c>
    </row>
    <row r="181" spans="1:9" ht="37.5">
      <c r="A181" s="290"/>
      <c r="B181" s="656" t="s">
        <v>75</v>
      </c>
      <c r="C181" s="750" t="s">
        <v>86</v>
      </c>
      <c r="D181" s="751" t="s">
        <v>110</v>
      </c>
      <c r="E181" s="751" t="s">
        <v>59</v>
      </c>
      <c r="F181" s="752" t="s">
        <v>126</v>
      </c>
      <c r="G181" s="149" t="s">
        <v>76</v>
      </c>
      <c r="H181" s="304">
        <f>'прил13(ведом 22-23)'!M502</f>
        <v>65.099999999999994</v>
      </c>
      <c r="I181" s="304">
        <f>'прил13(ведом 22-23)'!N502</f>
        <v>65.099999999999994</v>
      </c>
    </row>
    <row r="182" spans="1:9" ht="37.5">
      <c r="A182" s="290"/>
      <c r="B182" s="163" t="s">
        <v>799</v>
      </c>
      <c r="C182" s="751" t="s">
        <v>86</v>
      </c>
      <c r="D182" s="751" t="s">
        <v>110</v>
      </c>
      <c r="E182" s="751" t="s">
        <v>84</v>
      </c>
      <c r="F182" s="752" t="s">
        <v>64</v>
      </c>
      <c r="G182" s="149"/>
      <c r="H182" s="304">
        <f>H183</f>
        <v>14.8</v>
      </c>
      <c r="I182" s="304">
        <f>I183</f>
        <v>14.8</v>
      </c>
    </row>
    <row r="183" spans="1:9" ht="18.75">
      <c r="A183" s="290"/>
      <c r="B183" s="163" t="s">
        <v>797</v>
      </c>
      <c r="C183" s="751" t="s">
        <v>86</v>
      </c>
      <c r="D183" s="751" t="s">
        <v>110</v>
      </c>
      <c r="E183" s="751" t="s">
        <v>84</v>
      </c>
      <c r="F183" s="752" t="s">
        <v>798</v>
      </c>
      <c r="G183" s="149"/>
      <c r="H183" s="304">
        <f>H184</f>
        <v>14.8</v>
      </c>
      <c r="I183" s="304">
        <f>I184</f>
        <v>14.8</v>
      </c>
    </row>
    <row r="184" spans="1:9" ht="37.5">
      <c r="A184" s="290"/>
      <c r="B184" s="656" t="s">
        <v>75</v>
      </c>
      <c r="C184" s="751" t="s">
        <v>86</v>
      </c>
      <c r="D184" s="751" t="s">
        <v>110</v>
      </c>
      <c r="E184" s="751" t="s">
        <v>84</v>
      </c>
      <c r="F184" s="752" t="s">
        <v>798</v>
      </c>
      <c r="G184" s="149" t="s">
        <v>76</v>
      </c>
      <c r="H184" s="304">
        <f>'прил13(ведом 22-23)'!M505</f>
        <v>14.8</v>
      </c>
      <c r="I184" s="304">
        <f>'прил13(ведом 22-23)'!N505</f>
        <v>14.8</v>
      </c>
    </row>
    <row r="185" spans="1:9" ht="37.5">
      <c r="A185" s="290"/>
      <c r="B185" s="656" t="s">
        <v>813</v>
      </c>
      <c r="C185" s="751" t="s">
        <v>86</v>
      </c>
      <c r="D185" s="751" t="s">
        <v>110</v>
      </c>
      <c r="E185" s="751" t="s">
        <v>72</v>
      </c>
      <c r="F185" s="746" t="s">
        <v>64</v>
      </c>
      <c r="G185" s="288"/>
      <c r="H185" s="304">
        <f>H186</f>
        <v>42.5</v>
      </c>
      <c r="I185" s="304">
        <f>I186</f>
        <v>42.5</v>
      </c>
    </row>
    <row r="186" spans="1:9" ht="37.5">
      <c r="A186" s="290"/>
      <c r="B186" s="588" t="s">
        <v>148</v>
      </c>
      <c r="C186" s="751" t="s">
        <v>86</v>
      </c>
      <c r="D186" s="751" t="s">
        <v>110</v>
      </c>
      <c r="E186" s="751" t="s">
        <v>72</v>
      </c>
      <c r="F186" s="589" t="s">
        <v>111</v>
      </c>
      <c r="G186" s="288"/>
      <c r="H186" s="304">
        <f>H187</f>
        <v>42.5</v>
      </c>
      <c r="I186" s="304">
        <f>I187</f>
        <v>42.5</v>
      </c>
    </row>
    <row r="187" spans="1:9" ht="37.5">
      <c r="A187" s="290"/>
      <c r="B187" s="656" t="s">
        <v>75</v>
      </c>
      <c r="C187" s="751" t="s">
        <v>86</v>
      </c>
      <c r="D187" s="751" t="s">
        <v>110</v>
      </c>
      <c r="E187" s="751" t="s">
        <v>72</v>
      </c>
      <c r="F187" s="746" t="s">
        <v>111</v>
      </c>
      <c r="G187" s="288" t="s">
        <v>76</v>
      </c>
      <c r="H187" s="304">
        <f>'прил13(ведом 22-23)'!M508</f>
        <v>42.5</v>
      </c>
      <c r="I187" s="304">
        <f>'прил13(ведом 22-23)'!N508</f>
        <v>42.5</v>
      </c>
    </row>
    <row r="188" spans="1:9" ht="18.75">
      <c r="A188" s="290"/>
      <c r="B188" s="303"/>
      <c r="C188" s="751"/>
      <c r="D188" s="751"/>
      <c r="E188" s="751"/>
      <c r="F188" s="752"/>
      <c r="G188" s="149"/>
      <c r="H188" s="304"/>
      <c r="I188" s="304"/>
    </row>
    <row r="189" spans="1:9" s="302" customFormat="1" ht="56.25">
      <c r="A189" s="313">
        <v>5</v>
      </c>
      <c r="B189" s="297" t="s">
        <v>101</v>
      </c>
      <c r="C189" s="314" t="s">
        <v>102</v>
      </c>
      <c r="D189" s="314" t="s">
        <v>62</v>
      </c>
      <c r="E189" s="314" t="s">
        <v>63</v>
      </c>
      <c r="F189" s="315" t="s">
        <v>64</v>
      </c>
      <c r="G189" s="300"/>
      <c r="H189" s="301">
        <f>H208+H190+H198</f>
        <v>21118.100000000002</v>
      </c>
      <c r="I189" s="301">
        <f>I208+I190+I198</f>
        <v>13748.300000000001</v>
      </c>
    </row>
    <row r="190" spans="1:9" ht="56.25">
      <c r="A190" s="290"/>
      <c r="B190" s="316" t="s">
        <v>103</v>
      </c>
      <c r="C190" s="750" t="s">
        <v>102</v>
      </c>
      <c r="D190" s="751" t="s">
        <v>65</v>
      </c>
      <c r="E190" s="751" t="s">
        <v>63</v>
      </c>
      <c r="F190" s="752" t="s">
        <v>64</v>
      </c>
      <c r="G190" s="288"/>
      <c r="H190" s="304">
        <f t="shared" ref="H190:I190" si="3">H191</f>
        <v>3437.6000000000004</v>
      </c>
      <c r="I190" s="304">
        <f t="shared" si="3"/>
        <v>3437.6000000000004</v>
      </c>
    </row>
    <row r="191" spans="1:9" ht="75">
      <c r="A191" s="290"/>
      <c r="B191" s="303" t="s">
        <v>104</v>
      </c>
      <c r="C191" s="750" t="s">
        <v>102</v>
      </c>
      <c r="D191" s="751" t="s">
        <v>65</v>
      </c>
      <c r="E191" s="751" t="s">
        <v>57</v>
      </c>
      <c r="F191" s="752" t="s">
        <v>64</v>
      </c>
      <c r="G191" s="149"/>
      <c r="H191" s="304">
        <f>H196+H192+H194</f>
        <v>3437.6000000000004</v>
      </c>
      <c r="I191" s="304">
        <f>I196+I192+I194</f>
        <v>3437.6000000000004</v>
      </c>
    </row>
    <row r="192" spans="1:9" ht="37.5">
      <c r="A192" s="290"/>
      <c r="B192" s="169" t="s">
        <v>756</v>
      </c>
      <c r="C192" s="750" t="s">
        <v>102</v>
      </c>
      <c r="D192" s="751" t="s">
        <v>65</v>
      </c>
      <c r="E192" s="751" t="s">
        <v>57</v>
      </c>
      <c r="F192" s="752" t="s">
        <v>105</v>
      </c>
      <c r="G192" s="149"/>
      <c r="H192" s="304">
        <f>H193</f>
        <v>298.39999999999998</v>
      </c>
      <c r="I192" s="304">
        <f>I193</f>
        <v>298.39999999999998</v>
      </c>
    </row>
    <row r="193" spans="1:9" ht="37.5">
      <c r="A193" s="290"/>
      <c r="B193" s="163" t="s">
        <v>75</v>
      </c>
      <c r="C193" s="750" t="s">
        <v>102</v>
      </c>
      <c r="D193" s="751" t="s">
        <v>65</v>
      </c>
      <c r="E193" s="751" t="s">
        <v>57</v>
      </c>
      <c r="F193" s="752" t="s">
        <v>105</v>
      </c>
      <c r="G193" s="149" t="s">
        <v>76</v>
      </c>
      <c r="H193" s="304">
        <f>'прил13(ведом 22-23)'!M88</f>
        <v>298.39999999999998</v>
      </c>
      <c r="I193" s="304">
        <f>'прил13(ведом 22-23)'!N88</f>
        <v>298.39999999999998</v>
      </c>
    </row>
    <row r="194" spans="1:9" ht="42" customHeight="1">
      <c r="A194" s="290"/>
      <c r="B194" s="163" t="s">
        <v>106</v>
      </c>
      <c r="C194" s="750" t="s">
        <v>102</v>
      </c>
      <c r="D194" s="751" t="s">
        <v>65</v>
      </c>
      <c r="E194" s="751" t="s">
        <v>57</v>
      </c>
      <c r="F194" s="752" t="s">
        <v>107</v>
      </c>
      <c r="G194" s="149"/>
      <c r="H194" s="304">
        <f>H195</f>
        <v>63.9</v>
      </c>
      <c r="I194" s="304">
        <f>I195</f>
        <v>63.9</v>
      </c>
    </row>
    <row r="195" spans="1:9" ht="37.5">
      <c r="A195" s="290"/>
      <c r="B195" s="163" t="s">
        <v>75</v>
      </c>
      <c r="C195" s="750" t="s">
        <v>102</v>
      </c>
      <c r="D195" s="751" t="s">
        <v>65</v>
      </c>
      <c r="E195" s="751" t="s">
        <v>57</v>
      </c>
      <c r="F195" s="752" t="s">
        <v>107</v>
      </c>
      <c r="G195" s="149" t="s">
        <v>76</v>
      </c>
      <c r="H195" s="304">
        <f>'прил13(ведом 22-23)'!M90</f>
        <v>63.9</v>
      </c>
      <c r="I195" s="304">
        <f>'прил13(ведом 22-23)'!N90</f>
        <v>63.9</v>
      </c>
    </row>
    <row r="196" spans="1:9" ht="93.75">
      <c r="A196" s="290"/>
      <c r="B196" s="303" t="s">
        <v>405</v>
      </c>
      <c r="C196" s="750" t="s">
        <v>102</v>
      </c>
      <c r="D196" s="751" t="s">
        <v>65</v>
      </c>
      <c r="E196" s="751" t="s">
        <v>57</v>
      </c>
      <c r="F196" s="752" t="s">
        <v>393</v>
      </c>
      <c r="G196" s="149"/>
      <c r="H196" s="304">
        <f>H197</f>
        <v>3075.3</v>
      </c>
      <c r="I196" s="304">
        <f>I197</f>
        <v>3075.3</v>
      </c>
    </row>
    <row r="197" spans="1:9" ht="18.75">
      <c r="A197" s="290"/>
      <c r="B197" s="303" t="s">
        <v>144</v>
      </c>
      <c r="C197" s="750" t="s">
        <v>102</v>
      </c>
      <c r="D197" s="751" t="s">
        <v>65</v>
      </c>
      <c r="E197" s="751" t="s">
        <v>57</v>
      </c>
      <c r="F197" s="752" t="s">
        <v>393</v>
      </c>
      <c r="G197" s="149" t="s">
        <v>145</v>
      </c>
      <c r="H197" s="304">
        <f>'прил13(ведом 22-23)'!M92</f>
        <v>3075.3</v>
      </c>
      <c r="I197" s="304">
        <f>'прил13(ведом 22-23)'!N92</f>
        <v>3075.3</v>
      </c>
    </row>
    <row r="198" spans="1:9" ht="37.5">
      <c r="A198" s="290"/>
      <c r="B198" s="327" t="s">
        <v>146</v>
      </c>
      <c r="C198" s="750" t="s">
        <v>102</v>
      </c>
      <c r="D198" s="751" t="s">
        <v>110</v>
      </c>
      <c r="E198" s="751" t="s">
        <v>63</v>
      </c>
      <c r="F198" s="752" t="s">
        <v>64</v>
      </c>
      <c r="G198" s="288"/>
      <c r="H198" s="304">
        <f>H199+H205</f>
        <v>8832.4000000000015</v>
      </c>
      <c r="I198" s="304">
        <f>I199+I205</f>
        <v>1462.2</v>
      </c>
    </row>
    <row r="199" spans="1:9" ht="37.5">
      <c r="A199" s="290"/>
      <c r="B199" s="163" t="s">
        <v>311</v>
      </c>
      <c r="C199" s="750" t="s">
        <v>102</v>
      </c>
      <c r="D199" s="751" t="s">
        <v>110</v>
      </c>
      <c r="E199" s="751" t="s">
        <v>57</v>
      </c>
      <c r="F199" s="752" t="s">
        <v>64</v>
      </c>
      <c r="G199" s="149"/>
      <c r="H199" s="304">
        <f>H202+H200</f>
        <v>8591.7000000000007</v>
      </c>
      <c r="I199" s="304">
        <f>I202+I200</f>
        <v>1221.5</v>
      </c>
    </row>
    <row r="200" spans="1:9" ht="37.5">
      <c r="A200" s="290"/>
      <c r="B200" s="166" t="s">
        <v>148</v>
      </c>
      <c r="C200" s="750" t="s">
        <v>102</v>
      </c>
      <c r="D200" s="751" t="s">
        <v>110</v>
      </c>
      <c r="E200" s="751" t="s">
        <v>57</v>
      </c>
      <c r="F200" s="752" t="s">
        <v>111</v>
      </c>
      <c r="G200" s="149"/>
      <c r="H200" s="304">
        <f>H201</f>
        <v>21.6</v>
      </c>
      <c r="I200" s="304">
        <f>I201</f>
        <v>21.6</v>
      </c>
    </row>
    <row r="201" spans="1:9" ht="37.5">
      <c r="A201" s="290"/>
      <c r="B201" s="163" t="s">
        <v>75</v>
      </c>
      <c r="C201" s="750" t="s">
        <v>102</v>
      </c>
      <c r="D201" s="751" t="s">
        <v>110</v>
      </c>
      <c r="E201" s="751" t="s">
        <v>57</v>
      </c>
      <c r="F201" s="752" t="s">
        <v>111</v>
      </c>
      <c r="G201" s="149" t="s">
        <v>76</v>
      </c>
      <c r="H201" s="304">
        <f>'прил13(ведом 22-23)'!M98</f>
        <v>21.6</v>
      </c>
      <c r="I201" s="304">
        <f>'прил13(ведом 22-23)'!N98</f>
        <v>21.6</v>
      </c>
    </row>
    <row r="202" spans="1:9" ht="18.75">
      <c r="A202" s="290"/>
      <c r="B202" s="163" t="s">
        <v>684</v>
      </c>
      <c r="C202" s="750" t="s">
        <v>102</v>
      </c>
      <c r="D202" s="751" t="s">
        <v>110</v>
      </c>
      <c r="E202" s="751" t="s">
        <v>57</v>
      </c>
      <c r="F202" s="752" t="s">
        <v>685</v>
      </c>
      <c r="G202" s="149"/>
      <c r="H202" s="304">
        <f>H203+H204</f>
        <v>8570.1</v>
      </c>
      <c r="I202" s="304">
        <f>I203+I204</f>
        <v>1199.9000000000001</v>
      </c>
    </row>
    <row r="203" spans="1:9" ht="37.5">
      <c r="A203" s="290"/>
      <c r="B203" s="163" t="s">
        <v>75</v>
      </c>
      <c r="C203" s="750" t="s">
        <v>102</v>
      </c>
      <c r="D203" s="751" t="s">
        <v>110</v>
      </c>
      <c r="E203" s="751" t="s">
        <v>57</v>
      </c>
      <c r="F203" s="752" t="s">
        <v>685</v>
      </c>
      <c r="G203" s="149" t="s">
        <v>76</v>
      </c>
      <c r="H203" s="304">
        <f>'прил13(ведом 22-23)'!M347+'прил13(ведом 22-23)'!M368</f>
        <v>905.2</v>
      </c>
      <c r="I203" s="304">
        <f>'прил13(ведом 22-23)'!N347+'прил13(ведом 22-23)'!N368</f>
        <v>571.6</v>
      </c>
    </row>
    <row r="204" spans="1:9" ht="45" customHeight="1">
      <c r="A204" s="290"/>
      <c r="B204" s="163" t="s">
        <v>97</v>
      </c>
      <c r="C204" s="750" t="s">
        <v>102</v>
      </c>
      <c r="D204" s="751" t="s">
        <v>110</v>
      </c>
      <c r="E204" s="751" t="s">
        <v>57</v>
      </c>
      <c r="F204" s="752" t="s">
        <v>685</v>
      </c>
      <c r="G204" s="149" t="s">
        <v>98</v>
      </c>
      <c r="H204" s="304">
        <f>'прил13(ведом 22-23)'!M308+'прил13(ведом 22-23)'!M348</f>
        <v>7664.9</v>
      </c>
      <c r="I204" s="304">
        <f>'прил13(ведом 22-23)'!N308+'прил13(ведом 22-23)'!N348</f>
        <v>628.29999999999995</v>
      </c>
    </row>
    <row r="205" spans="1:9" ht="54.75" customHeight="1">
      <c r="A205" s="290"/>
      <c r="B205" s="166" t="s">
        <v>147</v>
      </c>
      <c r="C205" s="750" t="s">
        <v>102</v>
      </c>
      <c r="D205" s="751" t="s">
        <v>110</v>
      </c>
      <c r="E205" s="751" t="s">
        <v>59</v>
      </c>
      <c r="F205" s="752" t="s">
        <v>64</v>
      </c>
      <c r="G205" s="149"/>
      <c r="H205" s="304">
        <f>H206</f>
        <v>240.7</v>
      </c>
      <c r="I205" s="304">
        <f>I206</f>
        <v>240.7</v>
      </c>
    </row>
    <row r="206" spans="1:9" ht="36.75" customHeight="1">
      <c r="A206" s="290"/>
      <c r="B206" s="166" t="s">
        <v>148</v>
      </c>
      <c r="C206" s="750" t="s">
        <v>102</v>
      </c>
      <c r="D206" s="751" t="s">
        <v>110</v>
      </c>
      <c r="E206" s="751" t="s">
        <v>59</v>
      </c>
      <c r="F206" s="752" t="s">
        <v>111</v>
      </c>
      <c r="G206" s="149"/>
      <c r="H206" s="304">
        <f>H207</f>
        <v>240.7</v>
      </c>
      <c r="I206" s="304">
        <f>I207</f>
        <v>240.7</v>
      </c>
    </row>
    <row r="207" spans="1:9" ht="32.25" customHeight="1">
      <c r="A207" s="290"/>
      <c r="B207" s="163" t="s">
        <v>75</v>
      </c>
      <c r="C207" s="750" t="s">
        <v>102</v>
      </c>
      <c r="D207" s="751" t="s">
        <v>110</v>
      </c>
      <c r="E207" s="751" t="s">
        <v>59</v>
      </c>
      <c r="F207" s="752" t="s">
        <v>111</v>
      </c>
      <c r="G207" s="149" t="s">
        <v>76</v>
      </c>
      <c r="H207" s="304">
        <f>'прил13(ведом 22-23)'!M101</f>
        <v>240.7</v>
      </c>
      <c r="I207" s="304">
        <f>'прил13(ведом 22-23)'!N101</f>
        <v>240.7</v>
      </c>
    </row>
    <row r="208" spans="1:9" ht="56.25">
      <c r="A208" s="290"/>
      <c r="B208" s="168" t="s">
        <v>453</v>
      </c>
      <c r="C208" s="750" t="s">
        <v>102</v>
      </c>
      <c r="D208" s="751" t="s">
        <v>50</v>
      </c>
      <c r="E208" s="751" t="s">
        <v>63</v>
      </c>
      <c r="F208" s="752" t="s">
        <v>64</v>
      </c>
      <c r="G208" s="149"/>
      <c r="H208" s="304">
        <f>H209</f>
        <v>8848.1</v>
      </c>
      <c r="I208" s="304">
        <f>I209</f>
        <v>8848.5</v>
      </c>
    </row>
    <row r="209" spans="1:9" ht="74.45" customHeight="1">
      <c r="A209" s="290"/>
      <c r="B209" s="317" t="s">
        <v>386</v>
      </c>
      <c r="C209" s="750" t="s">
        <v>102</v>
      </c>
      <c r="D209" s="751" t="s">
        <v>50</v>
      </c>
      <c r="E209" s="751" t="s">
        <v>57</v>
      </c>
      <c r="F209" s="752" t="s">
        <v>64</v>
      </c>
      <c r="G209" s="149"/>
      <c r="H209" s="304">
        <f>H210</f>
        <v>8848.1</v>
      </c>
      <c r="I209" s="304">
        <f>I210</f>
        <v>8848.5</v>
      </c>
    </row>
    <row r="210" spans="1:9" ht="37.5">
      <c r="A210" s="290"/>
      <c r="B210" s="303" t="s">
        <v>795</v>
      </c>
      <c r="C210" s="750" t="s">
        <v>102</v>
      </c>
      <c r="D210" s="751" t="s">
        <v>50</v>
      </c>
      <c r="E210" s="751" t="s">
        <v>57</v>
      </c>
      <c r="F210" s="752" t="s">
        <v>112</v>
      </c>
      <c r="G210" s="149"/>
      <c r="H210" s="304">
        <f>SUM(H211:H213)</f>
        <v>8848.1</v>
      </c>
      <c r="I210" s="304">
        <f>SUM(I211:I213)</f>
        <v>8848.5</v>
      </c>
    </row>
    <row r="211" spans="1:9" s="302" customFormat="1" ht="93.75">
      <c r="A211" s="290"/>
      <c r="B211" s="303" t="s">
        <v>69</v>
      </c>
      <c r="C211" s="750" t="s">
        <v>102</v>
      </c>
      <c r="D211" s="751" t="s">
        <v>50</v>
      </c>
      <c r="E211" s="751" t="s">
        <v>57</v>
      </c>
      <c r="F211" s="752" t="s">
        <v>112</v>
      </c>
      <c r="G211" s="149" t="s">
        <v>70</v>
      </c>
      <c r="H211" s="304">
        <f>'прил13(ведом 22-23)'!M105</f>
        <v>7482.1</v>
      </c>
      <c r="I211" s="304">
        <f>'прил13(ведом 22-23)'!N105</f>
        <v>7482.1</v>
      </c>
    </row>
    <row r="212" spans="1:9" ht="37.5">
      <c r="A212" s="290"/>
      <c r="B212" s="303" t="s">
        <v>75</v>
      </c>
      <c r="C212" s="750" t="s">
        <v>102</v>
      </c>
      <c r="D212" s="751" t="s">
        <v>50</v>
      </c>
      <c r="E212" s="751" t="s">
        <v>57</v>
      </c>
      <c r="F212" s="752" t="s">
        <v>112</v>
      </c>
      <c r="G212" s="149" t="s">
        <v>76</v>
      </c>
      <c r="H212" s="304">
        <f>'прил13(ведом 22-23)'!M106</f>
        <v>1359.7</v>
      </c>
      <c r="I212" s="304">
        <f>'прил13(ведом 22-23)'!N106</f>
        <v>1360.1</v>
      </c>
    </row>
    <row r="213" spans="1:9" ht="18.75">
      <c r="A213" s="290"/>
      <c r="B213" s="163" t="s">
        <v>77</v>
      </c>
      <c r="C213" s="750" t="s">
        <v>102</v>
      </c>
      <c r="D213" s="751" t="s">
        <v>50</v>
      </c>
      <c r="E213" s="751" t="s">
        <v>57</v>
      </c>
      <c r="F213" s="752" t="s">
        <v>112</v>
      </c>
      <c r="G213" s="149" t="s">
        <v>78</v>
      </c>
      <c r="H213" s="304">
        <f>'прил13(ведом 22-23)'!M107</f>
        <v>6.3</v>
      </c>
      <c r="I213" s="304">
        <f>'прил13(ведом 22-23)'!N107</f>
        <v>6.3</v>
      </c>
    </row>
    <row r="214" spans="1:9" ht="18.75">
      <c r="A214" s="328"/>
      <c r="B214" s="305"/>
      <c r="C214" s="174"/>
      <c r="D214" s="745"/>
      <c r="E214" s="745"/>
      <c r="F214" s="746"/>
      <c r="G214" s="288"/>
      <c r="H214" s="304"/>
      <c r="I214" s="304"/>
    </row>
    <row r="215" spans="1:9" s="302" customFormat="1" ht="56.25">
      <c r="A215" s="313">
        <v>6</v>
      </c>
      <c r="B215" s="326" t="s">
        <v>245</v>
      </c>
      <c r="C215" s="298" t="s">
        <v>246</v>
      </c>
      <c r="D215" s="298" t="s">
        <v>62</v>
      </c>
      <c r="E215" s="298" t="s">
        <v>63</v>
      </c>
      <c r="F215" s="299" t="s">
        <v>64</v>
      </c>
      <c r="G215" s="300"/>
      <c r="H215" s="301">
        <f>H216</f>
        <v>33406.9</v>
      </c>
      <c r="I215" s="301">
        <f>I216</f>
        <v>33407.599999999999</v>
      </c>
    </row>
    <row r="216" spans="1:9" ht="27" customHeight="1">
      <c r="A216" s="290"/>
      <c r="B216" s="303" t="s">
        <v>404</v>
      </c>
      <c r="C216" s="171" t="s">
        <v>246</v>
      </c>
      <c r="D216" s="172" t="s">
        <v>65</v>
      </c>
      <c r="E216" s="751" t="s">
        <v>63</v>
      </c>
      <c r="F216" s="752" t="s">
        <v>64</v>
      </c>
      <c r="G216" s="149"/>
      <c r="H216" s="304">
        <f>H217+H222+H225+H228</f>
        <v>33406.9</v>
      </c>
      <c r="I216" s="304">
        <f>I217+I222+I225+I228</f>
        <v>33407.599999999999</v>
      </c>
    </row>
    <row r="217" spans="1:9" ht="53.45" customHeight="1">
      <c r="A217" s="290"/>
      <c r="B217" s="303" t="s">
        <v>355</v>
      </c>
      <c r="C217" s="171" t="s">
        <v>246</v>
      </c>
      <c r="D217" s="172" t="s">
        <v>65</v>
      </c>
      <c r="E217" s="751" t="s">
        <v>57</v>
      </c>
      <c r="F217" s="752" t="s">
        <v>64</v>
      </c>
      <c r="G217" s="149"/>
      <c r="H217" s="304">
        <f>H218</f>
        <v>25025.600000000002</v>
      </c>
      <c r="I217" s="304">
        <f>I218</f>
        <v>25026.3</v>
      </c>
    </row>
    <row r="218" spans="1:9" ht="37.5">
      <c r="A218" s="290"/>
      <c r="B218" s="303" t="s">
        <v>67</v>
      </c>
      <c r="C218" s="171" t="s">
        <v>246</v>
      </c>
      <c r="D218" s="172" t="s">
        <v>65</v>
      </c>
      <c r="E218" s="751" t="s">
        <v>57</v>
      </c>
      <c r="F218" s="752" t="s">
        <v>68</v>
      </c>
      <c r="G218" s="149"/>
      <c r="H218" s="304">
        <f>SUM(H219:H221)</f>
        <v>25025.600000000002</v>
      </c>
      <c r="I218" s="304">
        <f>SUM(I219:I221)</f>
        <v>25026.3</v>
      </c>
    </row>
    <row r="219" spans="1:9" ht="93.75">
      <c r="A219" s="290"/>
      <c r="B219" s="303" t="s">
        <v>69</v>
      </c>
      <c r="C219" s="171" t="s">
        <v>246</v>
      </c>
      <c r="D219" s="172" t="s">
        <v>65</v>
      </c>
      <c r="E219" s="751" t="s">
        <v>57</v>
      </c>
      <c r="F219" s="752" t="s">
        <v>68</v>
      </c>
      <c r="G219" s="149" t="s">
        <v>70</v>
      </c>
      <c r="H219" s="304">
        <f>'прил13(ведом 22-23)'!M184</f>
        <v>24258.5</v>
      </c>
      <c r="I219" s="304">
        <f>'прил13(ведом 22-23)'!N184</f>
        <v>24258.5</v>
      </c>
    </row>
    <row r="220" spans="1:9" ht="37.5">
      <c r="A220" s="290"/>
      <c r="B220" s="163" t="s">
        <v>75</v>
      </c>
      <c r="C220" s="171" t="s">
        <v>246</v>
      </c>
      <c r="D220" s="172" t="s">
        <v>65</v>
      </c>
      <c r="E220" s="751" t="s">
        <v>57</v>
      </c>
      <c r="F220" s="752" t="s">
        <v>68</v>
      </c>
      <c r="G220" s="149" t="s">
        <v>76</v>
      </c>
      <c r="H220" s="304">
        <f>'прил13(ведом 22-23)'!M185</f>
        <v>762.4</v>
      </c>
      <c r="I220" s="304">
        <f>'прил13(ведом 22-23)'!N185</f>
        <v>763.2</v>
      </c>
    </row>
    <row r="221" spans="1:9" ht="18.75">
      <c r="A221" s="290"/>
      <c r="B221" s="163" t="s">
        <v>77</v>
      </c>
      <c r="C221" s="171" t="s">
        <v>246</v>
      </c>
      <c r="D221" s="172" t="s">
        <v>65</v>
      </c>
      <c r="E221" s="751" t="s">
        <v>57</v>
      </c>
      <c r="F221" s="752" t="s">
        <v>68</v>
      </c>
      <c r="G221" s="149" t="s">
        <v>78</v>
      </c>
      <c r="H221" s="304">
        <f>'прил13(ведом 22-23)'!M186</f>
        <v>4.7</v>
      </c>
      <c r="I221" s="304">
        <f>'прил13(ведом 22-23)'!N186</f>
        <v>4.5999999999999996</v>
      </c>
    </row>
    <row r="222" spans="1:9" ht="30" customHeight="1">
      <c r="A222" s="290"/>
      <c r="B222" s="303" t="s">
        <v>356</v>
      </c>
      <c r="C222" s="171" t="s">
        <v>246</v>
      </c>
      <c r="D222" s="172" t="s">
        <v>65</v>
      </c>
      <c r="E222" s="751" t="s">
        <v>59</v>
      </c>
      <c r="F222" s="752" t="s">
        <v>64</v>
      </c>
      <c r="G222" s="149"/>
      <c r="H222" s="304">
        <f>H223</f>
        <v>5500</v>
      </c>
      <c r="I222" s="304">
        <f>I223</f>
        <v>5500</v>
      </c>
    </row>
    <row r="223" spans="1:9" ht="37.5">
      <c r="A223" s="290"/>
      <c r="B223" s="163" t="s">
        <v>298</v>
      </c>
      <c r="C223" s="171" t="s">
        <v>246</v>
      </c>
      <c r="D223" s="172" t="s">
        <v>65</v>
      </c>
      <c r="E223" s="751" t="s">
        <v>59</v>
      </c>
      <c r="F223" s="752" t="s">
        <v>578</v>
      </c>
      <c r="G223" s="149"/>
      <c r="H223" s="304">
        <f>H224</f>
        <v>5500</v>
      </c>
      <c r="I223" s="304">
        <f>I224</f>
        <v>5500</v>
      </c>
    </row>
    <row r="224" spans="1:9" ht="18.75">
      <c r="A224" s="290"/>
      <c r="B224" s="163" t="s">
        <v>144</v>
      </c>
      <c r="C224" s="171" t="s">
        <v>246</v>
      </c>
      <c r="D224" s="172" t="s">
        <v>65</v>
      </c>
      <c r="E224" s="751" t="s">
        <v>59</v>
      </c>
      <c r="F224" s="752" t="s">
        <v>578</v>
      </c>
      <c r="G224" s="149" t="s">
        <v>145</v>
      </c>
      <c r="H224" s="304">
        <f>'прил13(ведом 22-23)'!M202</f>
        <v>5500</v>
      </c>
      <c r="I224" s="304">
        <f>'прил13(ведом 22-23)'!N202</f>
        <v>5500</v>
      </c>
    </row>
    <row r="225" spans="1:9" ht="37.5">
      <c r="A225" s="290"/>
      <c r="B225" s="303" t="s">
        <v>428</v>
      </c>
      <c r="C225" s="171" t="s">
        <v>246</v>
      </c>
      <c r="D225" s="172" t="s">
        <v>65</v>
      </c>
      <c r="E225" s="751" t="s">
        <v>84</v>
      </c>
      <c r="F225" s="752" t="s">
        <v>64</v>
      </c>
      <c r="G225" s="149"/>
      <c r="H225" s="304">
        <f>H226</f>
        <v>2863.3</v>
      </c>
      <c r="I225" s="304">
        <f>I226</f>
        <v>2863.3</v>
      </c>
    </row>
    <row r="226" spans="1:9" ht="56.25">
      <c r="A226" s="290"/>
      <c r="B226" s="303" t="s">
        <v>429</v>
      </c>
      <c r="C226" s="171" t="s">
        <v>246</v>
      </c>
      <c r="D226" s="172" t="s">
        <v>65</v>
      </c>
      <c r="E226" s="751" t="s">
        <v>84</v>
      </c>
      <c r="F226" s="752" t="s">
        <v>126</v>
      </c>
      <c r="G226" s="149"/>
      <c r="H226" s="304">
        <f>H227</f>
        <v>2863.3</v>
      </c>
      <c r="I226" s="304">
        <f>I227</f>
        <v>2863.3</v>
      </c>
    </row>
    <row r="227" spans="1:9" ht="37.5">
      <c r="A227" s="290"/>
      <c r="B227" s="303" t="s">
        <v>75</v>
      </c>
      <c r="C227" s="171" t="s">
        <v>246</v>
      </c>
      <c r="D227" s="172" t="s">
        <v>65</v>
      </c>
      <c r="E227" s="751" t="s">
        <v>84</v>
      </c>
      <c r="F227" s="752" t="s">
        <v>126</v>
      </c>
      <c r="G227" s="149" t="s">
        <v>76</v>
      </c>
      <c r="H227" s="304">
        <f>'прил13(ведом 22-23)'!M192</f>
        <v>2863.3</v>
      </c>
      <c r="I227" s="304">
        <f>'прил13(ведом 22-23)'!N192</f>
        <v>2863.3</v>
      </c>
    </row>
    <row r="228" spans="1:9" ht="37.5">
      <c r="A228" s="290"/>
      <c r="B228" s="163" t="s">
        <v>799</v>
      </c>
      <c r="C228" s="171" t="s">
        <v>246</v>
      </c>
      <c r="D228" s="172" t="s">
        <v>65</v>
      </c>
      <c r="E228" s="751" t="s">
        <v>86</v>
      </c>
      <c r="F228" s="752" t="s">
        <v>64</v>
      </c>
      <c r="G228" s="149"/>
      <c r="H228" s="304">
        <f>H229</f>
        <v>18</v>
      </c>
      <c r="I228" s="304">
        <f>I229</f>
        <v>18</v>
      </c>
    </row>
    <row r="229" spans="1:9" ht="18.75">
      <c r="A229" s="290"/>
      <c r="B229" s="163" t="s">
        <v>797</v>
      </c>
      <c r="C229" s="171" t="s">
        <v>246</v>
      </c>
      <c r="D229" s="172" t="s">
        <v>65</v>
      </c>
      <c r="E229" s="751" t="s">
        <v>86</v>
      </c>
      <c r="F229" s="752" t="s">
        <v>798</v>
      </c>
      <c r="G229" s="149"/>
      <c r="H229" s="304">
        <f>H230</f>
        <v>18</v>
      </c>
      <c r="I229" s="304">
        <f>I230</f>
        <v>18</v>
      </c>
    </row>
    <row r="230" spans="1:9" ht="37.5">
      <c r="A230" s="290"/>
      <c r="B230" s="163" t="s">
        <v>75</v>
      </c>
      <c r="C230" s="171" t="s">
        <v>246</v>
      </c>
      <c r="D230" s="172" t="s">
        <v>65</v>
      </c>
      <c r="E230" s="751" t="s">
        <v>86</v>
      </c>
      <c r="F230" s="752" t="s">
        <v>798</v>
      </c>
      <c r="G230" s="149" t="s">
        <v>76</v>
      </c>
      <c r="H230" s="304">
        <f>'прил13(ведом 22-23)'!M195</f>
        <v>18</v>
      </c>
      <c r="I230" s="304">
        <f>'прил13(ведом 22-23)'!N195</f>
        <v>18</v>
      </c>
    </row>
    <row r="231" spans="1:9" ht="18.75">
      <c r="A231" s="290"/>
      <c r="B231" s="163"/>
      <c r="C231" s="172"/>
      <c r="D231" s="172"/>
      <c r="E231" s="172"/>
      <c r="F231" s="329"/>
      <c r="G231" s="149"/>
      <c r="H231" s="304"/>
      <c r="I231" s="304"/>
    </row>
    <row r="232" spans="1:9" s="302" customFormat="1" ht="56.25">
      <c r="A232" s="296">
        <v>7</v>
      </c>
      <c r="B232" s="330" t="s">
        <v>247</v>
      </c>
      <c r="C232" s="331" t="s">
        <v>248</v>
      </c>
      <c r="D232" s="314" t="s">
        <v>62</v>
      </c>
      <c r="E232" s="314" t="s">
        <v>63</v>
      </c>
      <c r="F232" s="315" t="s">
        <v>64</v>
      </c>
      <c r="G232" s="332"/>
      <c r="H232" s="301">
        <f>H233+H237</f>
        <v>19719.5</v>
      </c>
      <c r="I232" s="301">
        <f>I233+I237</f>
        <v>19723.400000000001</v>
      </c>
    </row>
    <row r="233" spans="1:9" s="302" customFormat="1" ht="37.5">
      <c r="A233" s="296"/>
      <c r="B233" s="362" t="s">
        <v>249</v>
      </c>
      <c r="C233" s="413" t="s">
        <v>248</v>
      </c>
      <c r="D233" s="414" t="s">
        <v>65</v>
      </c>
      <c r="E233" s="414" t="s">
        <v>63</v>
      </c>
      <c r="F233" s="415" t="s">
        <v>64</v>
      </c>
      <c r="G233" s="310"/>
      <c r="H233" s="304">
        <f t="shared" ref="H233:I235" si="4">H234</f>
        <v>506.2</v>
      </c>
      <c r="I233" s="304">
        <f t="shared" si="4"/>
        <v>508.4</v>
      </c>
    </row>
    <row r="234" spans="1:9" s="302" customFormat="1" ht="37.5">
      <c r="A234" s="296"/>
      <c r="B234" s="357" t="s">
        <v>403</v>
      </c>
      <c r="C234" s="307" t="s">
        <v>248</v>
      </c>
      <c r="D234" s="308" t="s">
        <v>65</v>
      </c>
      <c r="E234" s="308" t="s">
        <v>59</v>
      </c>
      <c r="F234" s="309" t="s">
        <v>64</v>
      </c>
      <c r="G234" s="310"/>
      <c r="H234" s="304">
        <f>H235</f>
        <v>506.2</v>
      </c>
      <c r="I234" s="304">
        <f>I235</f>
        <v>508.4</v>
      </c>
    </row>
    <row r="235" spans="1:9" s="302" customFormat="1" ht="37.5">
      <c r="A235" s="296"/>
      <c r="B235" s="357" t="s">
        <v>402</v>
      </c>
      <c r="C235" s="307" t="s">
        <v>248</v>
      </c>
      <c r="D235" s="308" t="s">
        <v>65</v>
      </c>
      <c r="E235" s="308" t="s">
        <v>59</v>
      </c>
      <c r="F235" s="309" t="s">
        <v>401</v>
      </c>
      <c r="G235" s="310"/>
      <c r="H235" s="304">
        <f t="shared" si="4"/>
        <v>506.2</v>
      </c>
      <c r="I235" s="304">
        <f t="shared" si="4"/>
        <v>508.4</v>
      </c>
    </row>
    <row r="236" spans="1:9" s="302" customFormat="1" ht="37.5">
      <c r="A236" s="296"/>
      <c r="B236" s="357" t="s">
        <v>75</v>
      </c>
      <c r="C236" s="307" t="s">
        <v>248</v>
      </c>
      <c r="D236" s="308" t="s">
        <v>65</v>
      </c>
      <c r="E236" s="308" t="s">
        <v>59</v>
      </c>
      <c r="F236" s="309" t="s">
        <v>401</v>
      </c>
      <c r="G236" s="310" t="s">
        <v>76</v>
      </c>
      <c r="H236" s="304">
        <f>'прил13(ведом 22-23)'!M221</f>
        <v>506.2</v>
      </c>
      <c r="I236" s="304">
        <f>'прил13(ведом 22-23)'!N221</f>
        <v>508.4</v>
      </c>
    </row>
    <row r="237" spans="1:9" ht="37.5">
      <c r="A237" s="328"/>
      <c r="B237" s="333" t="s">
        <v>251</v>
      </c>
      <c r="C237" s="179" t="s">
        <v>248</v>
      </c>
      <c r="D237" s="174" t="s">
        <v>110</v>
      </c>
      <c r="E237" s="174" t="s">
        <v>63</v>
      </c>
      <c r="F237" s="175" t="s">
        <v>64</v>
      </c>
      <c r="G237" s="173"/>
      <c r="H237" s="304">
        <f>H238+H249+H252</f>
        <v>19213.3</v>
      </c>
      <c r="I237" s="304">
        <f>I238+I249+I252</f>
        <v>19215</v>
      </c>
    </row>
    <row r="238" spans="1:9" ht="75">
      <c r="A238" s="328"/>
      <c r="B238" s="333" t="s">
        <v>353</v>
      </c>
      <c r="C238" s="179" t="s">
        <v>248</v>
      </c>
      <c r="D238" s="174" t="s">
        <v>110</v>
      </c>
      <c r="E238" s="174" t="s">
        <v>57</v>
      </c>
      <c r="F238" s="175" t="s">
        <v>64</v>
      </c>
      <c r="G238" s="173"/>
      <c r="H238" s="304">
        <f>H239+H243+H247</f>
        <v>18642.899999999998</v>
      </c>
      <c r="I238" s="304">
        <f>I239+I243+I247</f>
        <v>18644.599999999999</v>
      </c>
    </row>
    <row r="239" spans="1:9" ht="37.5">
      <c r="A239" s="328"/>
      <c r="B239" s="333" t="s">
        <v>67</v>
      </c>
      <c r="C239" s="176" t="s">
        <v>248</v>
      </c>
      <c r="D239" s="177" t="s">
        <v>110</v>
      </c>
      <c r="E239" s="177" t="s">
        <v>57</v>
      </c>
      <c r="F239" s="178" t="s">
        <v>68</v>
      </c>
      <c r="G239" s="173"/>
      <c r="H239" s="304">
        <f>SUM(H240:H242)</f>
        <v>13256.9</v>
      </c>
      <c r="I239" s="304">
        <f>SUM(I240:I242)</f>
        <v>13257.3</v>
      </c>
    </row>
    <row r="240" spans="1:9" ht="93.75">
      <c r="A240" s="328"/>
      <c r="B240" s="333" t="s">
        <v>69</v>
      </c>
      <c r="C240" s="179" t="s">
        <v>248</v>
      </c>
      <c r="D240" s="174" t="s">
        <v>110</v>
      </c>
      <c r="E240" s="174" t="s">
        <v>57</v>
      </c>
      <c r="F240" s="175" t="s">
        <v>68</v>
      </c>
      <c r="G240" s="173" t="s">
        <v>70</v>
      </c>
      <c r="H240" s="304">
        <f>'прил13(ведом 22-23)'!M227</f>
        <v>12941.4</v>
      </c>
      <c r="I240" s="304">
        <f>'прил13(ведом 22-23)'!N227</f>
        <v>12941.4</v>
      </c>
    </row>
    <row r="241" spans="1:9" ht="37.5">
      <c r="A241" s="328"/>
      <c r="B241" s="357" t="s">
        <v>75</v>
      </c>
      <c r="C241" s="338" t="s">
        <v>248</v>
      </c>
      <c r="D241" s="308" t="s">
        <v>110</v>
      </c>
      <c r="E241" s="308" t="s">
        <v>57</v>
      </c>
      <c r="F241" s="309" t="s">
        <v>68</v>
      </c>
      <c r="G241" s="310" t="s">
        <v>76</v>
      </c>
      <c r="H241" s="304">
        <f>'прил13(ведом 22-23)'!M228</f>
        <v>314.2</v>
      </c>
      <c r="I241" s="304">
        <f>'прил13(ведом 22-23)'!N228</f>
        <v>314.60000000000002</v>
      </c>
    </row>
    <row r="242" spans="1:9" ht="18.75">
      <c r="A242" s="328"/>
      <c r="B242" s="362" t="s">
        <v>77</v>
      </c>
      <c r="C242" s="338" t="s">
        <v>248</v>
      </c>
      <c r="D242" s="308" t="s">
        <v>110</v>
      </c>
      <c r="E242" s="308" t="s">
        <v>57</v>
      </c>
      <c r="F242" s="309" t="s">
        <v>68</v>
      </c>
      <c r="G242" s="310" t="s">
        <v>78</v>
      </c>
      <c r="H242" s="304">
        <f>'прил13(ведом 22-23)'!M229</f>
        <v>1.3</v>
      </c>
      <c r="I242" s="304">
        <f>'прил13(ведом 22-23)'!N229</f>
        <v>1.3</v>
      </c>
    </row>
    <row r="243" spans="1:9" ht="37.5">
      <c r="A243" s="328"/>
      <c r="B243" s="303" t="s">
        <v>795</v>
      </c>
      <c r="C243" s="179" t="s">
        <v>248</v>
      </c>
      <c r="D243" s="174" t="s">
        <v>110</v>
      </c>
      <c r="E243" s="174" t="s">
        <v>57</v>
      </c>
      <c r="F243" s="175" t="s">
        <v>112</v>
      </c>
      <c r="G243" s="173"/>
      <c r="H243" s="304">
        <f>SUM(H244:H246)</f>
        <v>5351.4999999999991</v>
      </c>
      <c r="I243" s="304">
        <f>SUM(I244:I246)</f>
        <v>5352.8</v>
      </c>
    </row>
    <row r="244" spans="1:9" ht="93.75">
      <c r="A244" s="328"/>
      <c r="B244" s="333" t="s">
        <v>69</v>
      </c>
      <c r="C244" s="179" t="s">
        <v>248</v>
      </c>
      <c r="D244" s="174" t="s">
        <v>110</v>
      </c>
      <c r="E244" s="174" t="s">
        <v>57</v>
      </c>
      <c r="F244" s="175" t="s">
        <v>112</v>
      </c>
      <c r="G244" s="173" t="s">
        <v>70</v>
      </c>
      <c r="H244" s="304">
        <f>'прил13(ведом 22-23)'!M231</f>
        <v>4981.3999999999996</v>
      </c>
      <c r="I244" s="304">
        <f>'прил13(ведом 22-23)'!N231</f>
        <v>4981.3999999999996</v>
      </c>
    </row>
    <row r="245" spans="1:9" ht="37.5">
      <c r="A245" s="328"/>
      <c r="B245" s="163" t="s">
        <v>75</v>
      </c>
      <c r="C245" s="176" t="s">
        <v>248</v>
      </c>
      <c r="D245" s="177" t="s">
        <v>110</v>
      </c>
      <c r="E245" s="177" t="s">
        <v>57</v>
      </c>
      <c r="F245" s="178" t="s">
        <v>112</v>
      </c>
      <c r="G245" s="173" t="s">
        <v>76</v>
      </c>
      <c r="H245" s="304">
        <f>'прил13(ведом 22-23)'!M232</f>
        <v>347.2</v>
      </c>
      <c r="I245" s="304">
        <f>'прил13(ведом 22-23)'!N232</f>
        <v>350.3</v>
      </c>
    </row>
    <row r="246" spans="1:9" ht="18.75">
      <c r="A246" s="328"/>
      <c r="B246" s="170" t="s">
        <v>77</v>
      </c>
      <c r="C246" s="179" t="s">
        <v>248</v>
      </c>
      <c r="D246" s="174" t="s">
        <v>110</v>
      </c>
      <c r="E246" s="174" t="s">
        <v>57</v>
      </c>
      <c r="F246" s="175" t="s">
        <v>112</v>
      </c>
      <c r="G246" s="173" t="s">
        <v>78</v>
      </c>
      <c r="H246" s="304">
        <f>'прил13(ведом 22-23)'!M233</f>
        <v>22.9</v>
      </c>
      <c r="I246" s="304">
        <f>'прил13(ведом 22-23)'!N233</f>
        <v>21.1</v>
      </c>
    </row>
    <row r="247" spans="1:9" ht="56.25">
      <c r="A247" s="328"/>
      <c r="B247" s="357" t="s">
        <v>431</v>
      </c>
      <c r="C247" s="338" t="s">
        <v>248</v>
      </c>
      <c r="D247" s="308" t="s">
        <v>110</v>
      </c>
      <c r="E247" s="308" t="s">
        <v>57</v>
      </c>
      <c r="F247" s="309" t="s">
        <v>430</v>
      </c>
      <c r="G247" s="310"/>
      <c r="H247" s="304">
        <f>H248</f>
        <v>34.5</v>
      </c>
      <c r="I247" s="304">
        <f>I248</f>
        <v>34.5</v>
      </c>
    </row>
    <row r="248" spans="1:9" ht="37.5">
      <c r="A248" s="328"/>
      <c r="B248" s="357" t="s">
        <v>75</v>
      </c>
      <c r="C248" s="338" t="s">
        <v>248</v>
      </c>
      <c r="D248" s="308" t="s">
        <v>110</v>
      </c>
      <c r="E248" s="308" t="s">
        <v>57</v>
      </c>
      <c r="F248" s="455" t="s">
        <v>430</v>
      </c>
      <c r="G248" s="310" t="s">
        <v>76</v>
      </c>
      <c r="H248" s="304">
        <f>'прил13(ведом 22-23)'!M235</f>
        <v>34.5</v>
      </c>
      <c r="I248" s="304">
        <f>'прил13(ведом 22-23)'!N235</f>
        <v>34.5</v>
      </c>
    </row>
    <row r="249" spans="1:9" ht="37.5">
      <c r="A249" s="328"/>
      <c r="B249" s="457" t="s">
        <v>428</v>
      </c>
      <c r="C249" s="338" t="s">
        <v>248</v>
      </c>
      <c r="D249" s="339" t="s">
        <v>110</v>
      </c>
      <c r="E249" s="339" t="s">
        <v>59</v>
      </c>
      <c r="F249" s="340" t="s">
        <v>64</v>
      </c>
      <c r="G249" s="341"/>
      <c r="H249" s="304">
        <f>H250</f>
        <v>549.9</v>
      </c>
      <c r="I249" s="304">
        <f>I250</f>
        <v>549.9</v>
      </c>
    </row>
    <row r="250" spans="1:9" ht="56.25">
      <c r="A250" s="328"/>
      <c r="B250" s="590" t="s">
        <v>429</v>
      </c>
      <c r="C250" s="418" t="s">
        <v>248</v>
      </c>
      <c r="D250" s="339" t="s">
        <v>110</v>
      </c>
      <c r="E250" s="339" t="s">
        <v>59</v>
      </c>
      <c r="F250" s="340" t="s">
        <v>126</v>
      </c>
      <c r="G250" s="343"/>
      <c r="H250" s="304">
        <f>H251</f>
        <v>549.9</v>
      </c>
      <c r="I250" s="304">
        <f>I251</f>
        <v>549.9</v>
      </c>
    </row>
    <row r="251" spans="1:9" ht="37.5">
      <c r="A251" s="328"/>
      <c r="B251" s="591" t="s">
        <v>75</v>
      </c>
      <c r="C251" s="418" t="s">
        <v>248</v>
      </c>
      <c r="D251" s="347" t="s">
        <v>110</v>
      </c>
      <c r="E251" s="347" t="s">
        <v>59</v>
      </c>
      <c r="F251" s="467" t="s">
        <v>126</v>
      </c>
      <c r="G251" s="468" t="s">
        <v>76</v>
      </c>
      <c r="H251" s="304">
        <f>'прил13(ведом 22-23)'!M238</f>
        <v>549.9</v>
      </c>
      <c r="I251" s="304">
        <f>'прил13(ведом 22-23)'!N238</f>
        <v>549.9</v>
      </c>
    </row>
    <row r="252" spans="1:9" ht="27" customHeight="1">
      <c r="A252" s="328"/>
      <c r="B252" s="469" t="s">
        <v>464</v>
      </c>
      <c r="C252" s="418" t="s">
        <v>248</v>
      </c>
      <c r="D252" s="339" t="s">
        <v>110</v>
      </c>
      <c r="E252" s="339" t="s">
        <v>84</v>
      </c>
      <c r="F252" s="340" t="s">
        <v>64</v>
      </c>
      <c r="G252" s="343"/>
      <c r="H252" s="304">
        <f>H253</f>
        <v>20.5</v>
      </c>
      <c r="I252" s="304">
        <f>I253</f>
        <v>20.5</v>
      </c>
    </row>
    <row r="253" spans="1:9" ht="37.5">
      <c r="A253" s="328"/>
      <c r="B253" s="469" t="s">
        <v>402</v>
      </c>
      <c r="C253" s="346" t="s">
        <v>248</v>
      </c>
      <c r="D253" s="347" t="s">
        <v>110</v>
      </c>
      <c r="E253" s="347" t="s">
        <v>84</v>
      </c>
      <c r="F253" s="467" t="s">
        <v>401</v>
      </c>
      <c r="G253" s="343"/>
      <c r="H253" s="304">
        <f>H254</f>
        <v>20.5</v>
      </c>
      <c r="I253" s="304">
        <f>I254</f>
        <v>20.5</v>
      </c>
    </row>
    <row r="254" spans="1:9" ht="18.75">
      <c r="A254" s="328"/>
      <c r="B254" s="362" t="s">
        <v>77</v>
      </c>
      <c r="C254" s="338" t="s">
        <v>248</v>
      </c>
      <c r="D254" s="339" t="s">
        <v>110</v>
      </c>
      <c r="E254" s="339" t="s">
        <v>84</v>
      </c>
      <c r="F254" s="340" t="s">
        <v>401</v>
      </c>
      <c r="G254" s="343" t="s">
        <v>78</v>
      </c>
      <c r="H254" s="304">
        <f>'прил13(ведом 22-23)'!M241</f>
        <v>20.5</v>
      </c>
      <c r="I254" s="304">
        <f>'прил13(ведом 22-23)'!N241</f>
        <v>20.5</v>
      </c>
    </row>
    <row r="255" spans="1:9" ht="18.75">
      <c r="A255" s="328"/>
      <c r="B255" s="170"/>
      <c r="C255" s="320"/>
      <c r="D255" s="174"/>
      <c r="E255" s="174"/>
      <c r="F255" s="175"/>
      <c r="G255" s="173"/>
      <c r="H255" s="304"/>
      <c r="I255" s="304"/>
    </row>
    <row r="256" spans="1:9" s="302" customFormat="1" ht="56.25">
      <c r="A256" s="313">
        <v>8</v>
      </c>
      <c r="B256" s="330" t="s">
        <v>339</v>
      </c>
      <c r="C256" s="314" t="s">
        <v>100</v>
      </c>
      <c r="D256" s="314" t="s">
        <v>62</v>
      </c>
      <c r="E256" s="314" t="s">
        <v>63</v>
      </c>
      <c r="F256" s="315" t="s">
        <v>64</v>
      </c>
      <c r="G256" s="300"/>
      <c r="H256" s="301">
        <f>H257</f>
        <v>108876.49999999999</v>
      </c>
      <c r="I256" s="301">
        <f>I257</f>
        <v>110259.3</v>
      </c>
    </row>
    <row r="257" spans="1:9" ht="23.25" customHeight="1">
      <c r="A257" s="290"/>
      <c r="B257" s="303" t="s">
        <v>404</v>
      </c>
      <c r="C257" s="335" t="s">
        <v>100</v>
      </c>
      <c r="D257" s="174" t="s">
        <v>65</v>
      </c>
      <c r="E257" s="174" t="s">
        <v>63</v>
      </c>
      <c r="F257" s="353" t="s">
        <v>64</v>
      </c>
      <c r="G257" s="288"/>
      <c r="H257" s="304">
        <f>H258+H273+H278+H288</f>
        <v>108876.49999999999</v>
      </c>
      <c r="I257" s="304">
        <f>I258+I273+I278+I288</f>
        <v>110259.3</v>
      </c>
    </row>
    <row r="258" spans="1:9" ht="37.5">
      <c r="A258" s="290"/>
      <c r="B258" s="303" t="s">
        <v>325</v>
      </c>
      <c r="C258" s="750" t="s">
        <v>100</v>
      </c>
      <c r="D258" s="751" t="s">
        <v>65</v>
      </c>
      <c r="E258" s="751" t="s">
        <v>57</v>
      </c>
      <c r="F258" s="752" t="s">
        <v>64</v>
      </c>
      <c r="G258" s="288"/>
      <c r="H258" s="304">
        <f>H259+H262+H265+H268+H271</f>
        <v>60530.1</v>
      </c>
      <c r="I258" s="304">
        <f>I259+I262+I265+I268+I271</f>
        <v>61912.899999999994</v>
      </c>
    </row>
    <row r="259" spans="1:9" ht="132" customHeight="1">
      <c r="A259" s="290"/>
      <c r="B259" s="354" t="s">
        <v>440</v>
      </c>
      <c r="C259" s="750" t="s">
        <v>100</v>
      </c>
      <c r="D259" s="751" t="s">
        <v>65</v>
      </c>
      <c r="E259" s="751" t="s">
        <v>57</v>
      </c>
      <c r="F259" s="752" t="s">
        <v>341</v>
      </c>
      <c r="G259" s="149"/>
      <c r="H259" s="304">
        <f>SUM(H260:H261)</f>
        <v>34301.300000000003</v>
      </c>
      <c r="I259" s="304">
        <f>SUM(I260:I261)</f>
        <v>35673.9</v>
      </c>
    </row>
    <row r="260" spans="1:9" ht="37.5">
      <c r="A260" s="290"/>
      <c r="B260" s="355" t="s">
        <v>75</v>
      </c>
      <c r="C260" s="750" t="s">
        <v>100</v>
      </c>
      <c r="D260" s="751" t="s">
        <v>65</v>
      </c>
      <c r="E260" s="751" t="s">
        <v>57</v>
      </c>
      <c r="F260" s="752" t="s">
        <v>341</v>
      </c>
      <c r="G260" s="149" t="s">
        <v>76</v>
      </c>
      <c r="H260" s="304">
        <f>'прил13(ведом 22-23)'!M541</f>
        <v>171.5</v>
      </c>
      <c r="I260" s="304">
        <f>'прил13(ведом 22-23)'!N541</f>
        <v>178.4</v>
      </c>
    </row>
    <row r="261" spans="1:9" ht="30" customHeight="1">
      <c r="A261" s="290"/>
      <c r="B261" s="303" t="s">
        <v>141</v>
      </c>
      <c r="C261" s="750" t="s">
        <v>100</v>
      </c>
      <c r="D261" s="751" t="s">
        <v>65</v>
      </c>
      <c r="E261" s="751" t="s">
        <v>57</v>
      </c>
      <c r="F261" s="752" t="s">
        <v>341</v>
      </c>
      <c r="G261" s="149" t="s">
        <v>142</v>
      </c>
      <c r="H261" s="304">
        <f>'прил13(ведом 22-23)'!M542</f>
        <v>34129.800000000003</v>
      </c>
      <c r="I261" s="304">
        <f>'прил13(ведом 22-23)'!N542</f>
        <v>35495.5</v>
      </c>
    </row>
    <row r="262" spans="1:9" ht="93.75">
      <c r="A262" s="290"/>
      <c r="B262" s="303" t="s">
        <v>441</v>
      </c>
      <c r="C262" s="750" t="s">
        <v>100</v>
      </c>
      <c r="D262" s="751" t="s">
        <v>65</v>
      </c>
      <c r="E262" s="751" t="s">
        <v>57</v>
      </c>
      <c r="F262" s="752" t="s">
        <v>342</v>
      </c>
      <c r="G262" s="149"/>
      <c r="H262" s="304">
        <f>SUM(H263:H264)</f>
        <v>25619.1</v>
      </c>
      <c r="I262" s="304">
        <f>SUM(I263:I264)</f>
        <v>25619.1</v>
      </c>
    </row>
    <row r="263" spans="1:9" ht="37.5">
      <c r="A263" s="290"/>
      <c r="B263" s="355" t="s">
        <v>75</v>
      </c>
      <c r="C263" s="750" t="s">
        <v>100</v>
      </c>
      <c r="D263" s="751" t="s">
        <v>65</v>
      </c>
      <c r="E263" s="751" t="s">
        <v>57</v>
      </c>
      <c r="F263" s="752" t="s">
        <v>342</v>
      </c>
      <c r="G263" s="149" t="s">
        <v>76</v>
      </c>
      <c r="H263" s="304">
        <f>'прил13(ведом 22-23)'!M544</f>
        <v>128.1</v>
      </c>
      <c r="I263" s="304">
        <f>'прил13(ведом 22-23)'!N544</f>
        <v>128.1</v>
      </c>
    </row>
    <row r="264" spans="1:9" ht="26.25" customHeight="1">
      <c r="A264" s="290"/>
      <c r="B264" s="303" t="s">
        <v>141</v>
      </c>
      <c r="C264" s="750" t="s">
        <v>100</v>
      </c>
      <c r="D264" s="751" t="s">
        <v>65</v>
      </c>
      <c r="E264" s="751" t="s">
        <v>57</v>
      </c>
      <c r="F264" s="752" t="s">
        <v>342</v>
      </c>
      <c r="G264" s="149" t="s">
        <v>142</v>
      </c>
      <c r="H264" s="304">
        <f>'прил13(ведом 22-23)'!M545</f>
        <v>25491</v>
      </c>
      <c r="I264" s="304">
        <f>'прил13(ведом 22-23)'!N545</f>
        <v>25491</v>
      </c>
    </row>
    <row r="265" spans="1:9" ht="93.75">
      <c r="A265" s="290"/>
      <c r="B265" s="303" t="s">
        <v>442</v>
      </c>
      <c r="C265" s="750" t="s">
        <v>100</v>
      </c>
      <c r="D265" s="751" t="s">
        <v>65</v>
      </c>
      <c r="E265" s="751" t="s">
        <v>57</v>
      </c>
      <c r="F265" s="752" t="s">
        <v>343</v>
      </c>
      <c r="G265" s="149"/>
      <c r="H265" s="304">
        <f>SUM(H266:H267)</f>
        <v>252.9</v>
      </c>
      <c r="I265" s="304">
        <f>SUM(I266:I267)</f>
        <v>263.10000000000002</v>
      </c>
    </row>
    <row r="266" spans="1:9" ht="37.5">
      <c r="A266" s="290"/>
      <c r="B266" s="303" t="s">
        <v>75</v>
      </c>
      <c r="C266" s="750" t="s">
        <v>100</v>
      </c>
      <c r="D266" s="751" t="s">
        <v>65</v>
      </c>
      <c r="E266" s="751" t="s">
        <v>57</v>
      </c>
      <c r="F266" s="752" t="s">
        <v>343</v>
      </c>
      <c r="G266" s="149" t="s">
        <v>76</v>
      </c>
      <c r="H266" s="304">
        <f>'прил13(ведом 22-23)'!M547</f>
        <v>1.2</v>
      </c>
      <c r="I266" s="304">
        <f>'прил13(ведом 22-23)'!N547</f>
        <v>1.3</v>
      </c>
    </row>
    <row r="267" spans="1:9" ht="29.25" customHeight="1">
      <c r="A267" s="290"/>
      <c r="B267" s="303" t="s">
        <v>141</v>
      </c>
      <c r="C267" s="750" t="s">
        <v>100</v>
      </c>
      <c r="D267" s="751" t="s">
        <v>65</v>
      </c>
      <c r="E267" s="751" t="s">
        <v>57</v>
      </c>
      <c r="F267" s="752" t="s">
        <v>343</v>
      </c>
      <c r="G267" s="149" t="s">
        <v>142</v>
      </c>
      <c r="H267" s="304">
        <f>'прил13(ведом 22-23)'!M548</f>
        <v>251.70000000000002</v>
      </c>
      <c r="I267" s="304">
        <f>'прил13(ведом 22-23)'!N548</f>
        <v>261.8</v>
      </c>
    </row>
    <row r="268" spans="1:9" ht="112.5">
      <c r="A268" s="290"/>
      <c r="B268" s="303" t="s">
        <v>448</v>
      </c>
      <c r="C268" s="750" t="s">
        <v>100</v>
      </c>
      <c r="D268" s="751" t="s">
        <v>65</v>
      </c>
      <c r="E268" s="751" t="s">
        <v>57</v>
      </c>
      <c r="F268" s="752" t="s">
        <v>344</v>
      </c>
      <c r="G268" s="149"/>
      <c r="H268" s="304">
        <f>SUM(H269:H270)</f>
        <v>346.7</v>
      </c>
      <c r="I268" s="304">
        <f>SUM(I269:I270)</f>
        <v>346.7</v>
      </c>
    </row>
    <row r="269" spans="1:9" ht="37.5">
      <c r="A269" s="290"/>
      <c r="B269" s="303" t="s">
        <v>75</v>
      </c>
      <c r="C269" s="750" t="s">
        <v>100</v>
      </c>
      <c r="D269" s="751" t="s">
        <v>65</v>
      </c>
      <c r="E269" s="751" t="s">
        <v>57</v>
      </c>
      <c r="F269" s="752" t="s">
        <v>344</v>
      </c>
      <c r="G269" s="149" t="s">
        <v>76</v>
      </c>
      <c r="H269" s="304">
        <f>'прил13(ведом 22-23)'!M550</f>
        <v>1.7</v>
      </c>
      <c r="I269" s="304">
        <f>'прил13(ведом 22-23)'!N550</f>
        <v>1.7</v>
      </c>
    </row>
    <row r="270" spans="1:9" ht="25.5" customHeight="1">
      <c r="A270" s="290"/>
      <c r="B270" s="303" t="s">
        <v>141</v>
      </c>
      <c r="C270" s="750" t="s">
        <v>100</v>
      </c>
      <c r="D270" s="751" t="s">
        <v>65</v>
      </c>
      <c r="E270" s="751" t="s">
        <v>57</v>
      </c>
      <c r="F270" s="752" t="s">
        <v>344</v>
      </c>
      <c r="G270" s="149" t="s">
        <v>142</v>
      </c>
      <c r="H270" s="304">
        <f>'прил13(ведом 22-23)'!M551</f>
        <v>345</v>
      </c>
      <c r="I270" s="304">
        <f>'прил13(ведом 22-23)'!N551</f>
        <v>345</v>
      </c>
    </row>
    <row r="271" spans="1:9" ht="135" customHeight="1">
      <c r="A271" s="290"/>
      <c r="B271" s="356" t="s">
        <v>439</v>
      </c>
      <c r="C271" s="750" t="s">
        <v>100</v>
      </c>
      <c r="D271" s="751" t="s">
        <v>65</v>
      </c>
      <c r="E271" s="751" t="s">
        <v>57</v>
      </c>
      <c r="F271" s="752" t="s">
        <v>340</v>
      </c>
      <c r="G271" s="149"/>
      <c r="H271" s="304">
        <f>H272</f>
        <v>10.1</v>
      </c>
      <c r="I271" s="304">
        <f>I272</f>
        <v>10.1</v>
      </c>
    </row>
    <row r="272" spans="1:9" ht="37.5">
      <c r="A272" s="290"/>
      <c r="B272" s="163" t="s">
        <v>141</v>
      </c>
      <c r="C272" s="750" t="s">
        <v>100</v>
      </c>
      <c r="D272" s="751" t="s">
        <v>65</v>
      </c>
      <c r="E272" s="751" t="s">
        <v>57</v>
      </c>
      <c r="F272" s="752" t="s">
        <v>340</v>
      </c>
      <c r="G272" s="149" t="s">
        <v>142</v>
      </c>
      <c r="H272" s="304">
        <f>'прил13(ведом 22-23)'!M534</f>
        <v>10.1</v>
      </c>
      <c r="I272" s="304">
        <f>'прил13(ведом 22-23)'!N534</f>
        <v>10.1</v>
      </c>
    </row>
    <row r="273" spans="1:9" ht="75">
      <c r="A273" s="290"/>
      <c r="B273" s="357" t="s">
        <v>352</v>
      </c>
      <c r="C273" s="358" t="s">
        <v>100</v>
      </c>
      <c r="D273" s="359" t="s">
        <v>65</v>
      </c>
      <c r="E273" s="359" t="s">
        <v>59</v>
      </c>
      <c r="F273" s="360" t="s">
        <v>64</v>
      </c>
      <c r="G273" s="361"/>
      <c r="H273" s="304">
        <f>H276+H274</f>
        <v>40202.699999999997</v>
      </c>
      <c r="I273" s="304">
        <f>I276+I274</f>
        <v>40202.700000000004</v>
      </c>
    </row>
    <row r="274" spans="1:9" ht="94.5" customHeight="1">
      <c r="A274" s="290"/>
      <c r="B274" s="362" t="s">
        <v>590</v>
      </c>
      <c r="C274" s="307" t="s">
        <v>100</v>
      </c>
      <c r="D274" s="308" t="s">
        <v>65</v>
      </c>
      <c r="E274" s="308" t="s">
        <v>59</v>
      </c>
      <c r="F274" s="363" t="s">
        <v>591</v>
      </c>
      <c r="G274" s="310"/>
      <c r="H274" s="304">
        <f>H275</f>
        <v>30934.1</v>
      </c>
      <c r="I274" s="304">
        <f>I275</f>
        <v>30934.100000000002</v>
      </c>
    </row>
    <row r="275" spans="1:9" ht="37.5">
      <c r="A275" s="290"/>
      <c r="B275" s="362" t="s">
        <v>225</v>
      </c>
      <c r="C275" s="307" t="s">
        <v>100</v>
      </c>
      <c r="D275" s="308" t="s">
        <v>65</v>
      </c>
      <c r="E275" s="308" t="s">
        <v>59</v>
      </c>
      <c r="F275" s="363" t="s">
        <v>591</v>
      </c>
      <c r="G275" s="310" t="s">
        <v>226</v>
      </c>
      <c r="H275" s="304">
        <f>'прил13(ведом 22-23)'!M275</f>
        <v>30934.1</v>
      </c>
      <c r="I275" s="304">
        <f>'прил13(ведом 22-23)'!N275</f>
        <v>30934.100000000002</v>
      </c>
    </row>
    <row r="276" spans="1:9" ht="98.25" customHeight="1">
      <c r="A276" s="290"/>
      <c r="B276" s="362" t="s">
        <v>590</v>
      </c>
      <c r="C276" s="307" t="s">
        <v>100</v>
      </c>
      <c r="D276" s="308" t="s">
        <v>65</v>
      </c>
      <c r="E276" s="308" t="s">
        <v>59</v>
      </c>
      <c r="F276" s="363" t="s">
        <v>592</v>
      </c>
      <c r="G276" s="310"/>
      <c r="H276" s="304">
        <f>H277</f>
        <v>9268.6</v>
      </c>
      <c r="I276" s="304">
        <f>I277</f>
        <v>9268.6</v>
      </c>
    </row>
    <row r="277" spans="1:9" ht="37.5">
      <c r="A277" s="290"/>
      <c r="B277" s="362" t="s">
        <v>225</v>
      </c>
      <c r="C277" s="307" t="s">
        <v>100</v>
      </c>
      <c r="D277" s="308" t="s">
        <v>65</v>
      </c>
      <c r="E277" s="308" t="s">
        <v>59</v>
      </c>
      <c r="F277" s="363" t="s">
        <v>592</v>
      </c>
      <c r="G277" s="310" t="s">
        <v>226</v>
      </c>
      <c r="H277" s="304">
        <f>'прил13(ведом 22-23)'!M277</f>
        <v>9268.6</v>
      </c>
      <c r="I277" s="304">
        <f>'прил13(ведом 22-23)'!N277</f>
        <v>9268.6</v>
      </c>
    </row>
    <row r="278" spans="1:9" ht="37.5">
      <c r="A278" s="290"/>
      <c r="B278" s="303" t="s">
        <v>251</v>
      </c>
      <c r="C278" s="750" t="s">
        <v>100</v>
      </c>
      <c r="D278" s="751" t="s">
        <v>65</v>
      </c>
      <c r="E278" s="751" t="s">
        <v>84</v>
      </c>
      <c r="F278" s="752" t="s">
        <v>64</v>
      </c>
      <c r="G278" s="149"/>
      <c r="H278" s="304">
        <f>H279+H282+H285</f>
        <v>7591.7</v>
      </c>
      <c r="I278" s="304">
        <f>I279+I282+I285</f>
        <v>7591.7</v>
      </c>
    </row>
    <row r="279" spans="1:9" ht="75">
      <c r="A279" s="290"/>
      <c r="B279" s="303" t="s">
        <v>253</v>
      </c>
      <c r="C279" s="750" t="s">
        <v>100</v>
      </c>
      <c r="D279" s="751" t="s">
        <v>65</v>
      </c>
      <c r="E279" s="751" t="s">
        <v>84</v>
      </c>
      <c r="F279" s="752" t="s">
        <v>346</v>
      </c>
      <c r="G279" s="149"/>
      <c r="H279" s="304">
        <f>SUM(H280:H281)</f>
        <v>6084</v>
      </c>
      <c r="I279" s="304">
        <f>SUM(I280:I281)</f>
        <v>6084</v>
      </c>
    </row>
    <row r="280" spans="1:9" ht="93.75">
      <c r="A280" s="290"/>
      <c r="B280" s="303" t="s">
        <v>69</v>
      </c>
      <c r="C280" s="750" t="s">
        <v>100</v>
      </c>
      <c r="D280" s="751" t="s">
        <v>65</v>
      </c>
      <c r="E280" s="751" t="s">
        <v>84</v>
      </c>
      <c r="F280" s="752" t="s">
        <v>346</v>
      </c>
      <c r="G280" s="149" t="s">
        <v>70</v>
      </c>
      <c r="H280" s="304">
        <f>'прил13(ведом 22-23)'!M557</f>
        <v>5725.5</v>
      </c>
      <c r="I280" s="304">
        <f>'прил13(ведом 22-23)'!N557</f>
        <v>5725.5</v>
      </c>
    </row>
    <row r="281" spans="1:9" ht="37.5">
      <c r="A281" s="290"/>
      <c r="B281" s="303" t="s">
        <v>75</v>
      </c>
      <c r="C281" s="364" t="s">
        <v>100</v>
      </c>
      <c r="D281" s="365" t="s">
        <v>65</v>
      </c>
      <c r="E281" s="365" t="s">
        <v>84</v>
      </c>
      <c r="F281" s="366" t="s">
        <v>346</v>
      </c>
      <c r="G281" s="149" t="s">
        <v>76</v>
      </c>
      <c r="H281" s="304">
        <f>'прил13(ведом 22-23)'!M558</f>
        <v>358.5</v>
      </c>
      <c r="I281" s="304">
        <f>'прил13(ведом 22-23)'!N558</f>
        <v>358.5</v>
      </c>
    </row>
    <row r="282" spans="1:9" ht="93.75">
      <c r="A282" s="290"/>
      <c r="B282" s="575" t="s">
        <v>789</v>
      </c>
      <c r="C282" s="750" t="s">
        <v>100</v>
      </c>
      <c r="D282" s="751" t="s">
        <v>65</v>
      </c>
      <c r="E282" s="751" t="s">
        <v>84</v>
      </c>
      <c r="F282" s="752" t="s">
        <v>347</v>
      </c>
      <c r="G282" s="149"/>
      <c r="H282" s="304">
        <f>SUM(H283:H284)</f>
        <v>636.69999999999993</v>
      </c>
      <c r="I282" s="304">
        <f>SUM(I283:I284)</f>
        <v>636.69999999999993</v>
      </c>
    </row>
    <row r="283" spans="1:9" ht="93.75">
      <c r="A283" s="290"/>
      <c r="B283" s="303" t="s">
        <v>69</v>
      </c>
      <c r="C283" s="750" t="s">
        <v>100</v>
      </c>
      <c r="D283" s="751" t="s">
        <v>65</v>
      </c>
      <c r="E283" s="751" t="s">
        <v>84</v>
      </c>
      <c r="F283" s="752" t="s">
        <v>347</v>
      </c>
      <c r="G283" s="149" t="s">
        <v>70</v>
      </c>
      <c r="H283" s="304">
        <f>'прил13(ведом 22-23)'!M560</f>
        <v>607.29999999999995</v>
      </c>
      <c r="I283" s="304">
        <f>'прил13(ведом 22-23)'!N560</f>
        <v>607.29999999999995</v>
      </c>
    </row>
    <row r="284" spans="1:9" ht="37.5">
      <c r="A284" s="290"/>
      <c r="B284" s="303" t="s">
        <v>75</v>
      </c>
      <c r="C284" s="750" t="s">
        <v>100</v>
      </c>
      <c r="D284" s="751" t="s">
        <v>65</v>
      </c>
      <c r="E284" s="751" t="s">
        <v>84</v>
      </c>
      <c r="F284" s="752" t="s">
        <v>347</v>
      </c>
      <c r="G284" s="149" t="s">
        <v>76</v>
      </c>
      <c r="H284" s="304">
        <f>'прил13(ведом 22-23)'!M561</f>
        <v>29.4</v>
      </c>
      <c r="I284" s="304">
        <f>'прил13(ведом 22-23)'!N561</f>
        <v>29.4</v>
      </c>
    </row>
    <row r="285" spans="1:9" ht="18.75">
      <c r="A285" s="290"/>
      <c r="B285" s="303" t="s">
        <v>254</v>
      </c>
      <c r="C285" s="750" t="s">
        <v>100</v>
      </c>
      <c r="D285" s="751" t="s">
        <v>65</v>
      </c>
      <c r="E285" s="751" t="s">
        <v>84</v>
      </c>
      <c r="F285" s="752" t="s">
        <v>348</v>
      </c>
      <c r="G285" s="149"/>
      <c r="H285" s="304">
        <f>H286+H287</f>
        <v>871</v>
      </c>
      <c r="I285" s="304">
        <f>I286+I287</f>
        <v>871</v>
      </c>
    </row>
    <row r="286" spans="1:9" ht="93.75">
      <c r="A286" s="290"/>
      <c r="B286" s="303" t="s">
        <v>69</v>
      </c>
      <c r="C286" s="750" t="s">
        <v>100</v>
      </c>
      <c r="D286" s="751" t="s">
        <v>65</v>
      </c>
      <c r="E286" s="751" t="s">
        <v>84</v>
      </c>
      <c r="F286" s="752" t="s">
        <v>348</v>
      </c>
      <c r="G286" s="149" t="s">
        <v>70</v>
      </c>
      <c r="H286" s="304">
        <f>'прил13(ведом 22-23)'!M563</f>
        <v>808.2</v>
      </c>
      <c r="I286" s="304">
        <f>'прил13(ведом 22-23)'!N563</f>
        <v>808.2</v>
      </c>
    </row>
    <row r="287" spans="1:9" ht="37.5">
      <c r="A287" s="290"/>
      <c r="B287" s="303" t="s">
        <v>75</v>
      </c>
      <c r="C287" s="750" t="s">
        <v>100</v>
      </c>
      <c r="D287" s="751" t="s">
        <v>65</v>
      </c>
      <c r="E287" s="751" t="s">
        <v>84</v>
      </c>
      <c r="F287" s="752" t="s">
        <v>348</v>
      </c>
      <c r="G287" s="149" t="s">
        <v>76</v>
      </c>
      <c r="H287" s="304">
        <f>'прил13(ведом 22-23)'!M564</f>
        <v>62.8</v>
      </c>
      <c r="I287" s="304">
        <f>'прил13(ведом 22-23)'!N564</f>
        <v>62.8</v>
      </c>
    </row>
    <row r="288" spans="1:9" ht="77.25" customHeight="1">
      <c r="A288" s="290"/>
      <c r="B288" s="166" t="s">
        <v>753</v>
      </c>
      <c r="C288" s="750" t="s">
        <v>100</v>
      </c>
      <c r="D288" s="751" t="s">
        <v>65</v>
      </c>
      <c r="E288" s="751" t="s">
        <v>72</v>
      </c>
      <c r="F288" s="752" t="s">
        <v>64</v>
      </c>
      <c r="G288" s="149"/>
      <c r="H288" s="304">
        <f>H289</f>
        <v>552</v>
      </c>
      <c r="I288" s="304">
        <f>I289</f>
        <v>552</v>
      </c>
    </row>
    <row r="289" spans="1:9" ht="75">
      <c r="A289" s="290"/>
      <c r="B289" s="166" t="s">
        <v>746</v>
      </c>
      <c r="C289" s="750" t="s">
        <v>100</v>
      </c>
      <c r="D289" s="751" t="s">
        <v>65</v>
      </c>
      <c r="E289" s="751" t="s">
        <v>72</v>
      </c>
      <c r="F289" s="752" t="s">
        <v>433</v>
      </c>
      <c r="G289" s="149"/>
      <c r="H289" s="304">
        <f>H290</f>
        <v>552</v>
      </c>
      <c r="I289" s="304">
        <f>I290</f>
        <v>552</v>
      </c>
    </row>
    <row r="290" spans="1:9" ht="26.25" customHeight="1">
      <c r="A290" s="290"/>
      <c r="B290" s="167" t="s">
        <v>141</v>
      </c>
      <c r="C290" s="750" t="s">
        <v>100</v>
      </c>
      <c r="D290" s="751" t="s">
        <v>65</v>
      </c>
      <c r="E290" s="751" t="s">
        <v>72</v>
      </c>
      <c r="F290" s="752" t="s">
        <v>433</v>
      </c>
      <c r="G290" s="149" t="s">
        <v>142</v>
      </c>
      <c r="H290" s="304">
        <f>'прил13(ведом 22-23)'!M162</f>
        <v>552</v>
      </c>
      <c r="I290" s="304">
        <f>'прил13(ведом 22-23)'!N162</f>
        <v>552</v>
      </c>
    </row>
    <row r="291" spans="1:9" ht="18.75">
      <c r="A291" s="290"/>
      <c r="B291" s="167"/>
      <c r="C291" s="751"/>
      <c r="D291" s="751"/>
      <c r="E291" s="751"/>
      <c r="F291" s="752"/>
      <c r="G291" s="149"/>
      <c r="H291" s="304"/>
      <c r="I291" s="304"/>
    </row>
    <row r="292" spans="1:9" ht="75">
      <c r="A292" s="313">
        <v>9</v>
      </c>
      <c r="B292" s="487" t="s">
        <v>397</v>
      </c>
      <c r="C292" s="488" t="s">
        <v>125</v>
      </c>
      <c r="D292" s="489" t="s">
        <v>62</v>
      </c>
      <c r="E292" s="489" t="s">
        <v>63</v>
      </c>
      <c r="F292" s="490" t="s">
        <v>64</v>
      </c>
      <c r="G292" s="401"/>
      <c r="H292" s="301">
        <f>H293+H297</f>
        <v>12354.9</v>
      </c>
      <c r="I292" s="301">
        <f>I293+I297</f>
        <v>25766.9</v>
      </c>
    </row>
    <row r="293" spans="1:9" ht="37.5">
      <c r="A293" s="290"/>
      <c r="B293" s="357" t="s">
        <v>399</v>
      </c>
      <c r="C293" s="307" t="s">
        <v>125</v>
      </c>
      <c r="D293" s="308" t="s">
        <v>65</v>
      </c>
      <c r="E293" s="308" t="s">
        <v>63</v>
      </c>
      <c r="F293" s="363" t="s">
        <v>64</v>
      </c>
      <c r="G293" s="310"/>
      <c r="H293" s="304">
        <f t="shared" ref="H293:I295" si="5">H294</f>
        <v>12354.9</v>
      </c>
      <c r="I293" s="304">
        <f t="shared" si="5"/>
        <v>0</v>
      </c>
    </row>
    <row r="294" spans="1:9" ht="56.25">
      <c r="A294" s="290"/>
      <c r="B294" s="357" t="s">
        <v>460</v>
      </c>
      <c r="C294" s="307" t="s">
        <v>125</v>
      </c>
      <c r="D294" s="308" t="s">
        <v>65</v>
      </c>
      <c r="E294" s="308" t="s">
        <v>57</v>
      </c>
      <c r="F294" s="363" t="s">
        <v>64</v>
      </c>
      <c r="G294" s="310"/>
      <c r="H294" s="304">
        <f t="shared" si="5"/>
        <v>12354.9</v>
      </c>
      <c r="I294" s="304">
        <f t="shared" si="5"/>
        <v>0</v>
      </c>
    </row>
    <row r="295" spans="1:9" ht="56.25">
      <c r="A295" s="290"/>
      <c r="B295" s="357" t="s">
        <v>1011</v>
      </c>
      <c r="C295" s="307" t="s">
        <v>125</v>
      </c>
      <c r="D295" s="308" t="s">
        <v>65</v>
      </c>
      <c r="E295" s="308" t="s">
        <v>57</v>
      </c>
      <c r="F295" s="363" t="s">
        <v>589</v>
      </c>
      <c r="G295" s="310"/>
      <c r="H295" s="304">
        <f t="shared" si="5"/>
        <v>12354.9</v>
      </c>
      <c r="I295" s="304">
        <f t="shared" si="5"/>
        <v>0</v>
      </c>
    </row>
    <row r="296" spans="1:9" ht="37.5">
      <c r="A296" s="290"/>
      <c r="B296" s="357" t="s">
        <v>225</v>
      </c>
      <c r="C296" s="307" t="s">
        <v>125</v>
      </c>
      <c r="D296" s="308" t="s">
        <v>65</v>
      </c>
      <c r="E296" s="308" t="s">
        <v>57</v>
      </c>
      <c r="F296" s="363" t="s">
        <v>589</v>
      </c>
      <c r="G296" s="310" t="s">
        <v>226</v>
      </c>
      <c r="H296" s="304">
        <f>'прил13(ведом 22-23)'!M255</f>
        <v>12354.9</v>
      </c>
      <c r="I296" s="304">
        <f>'прил13(ведом 22-23)'!N255</f>
        <v>0</v>
      </c>
    </row>
    <row r="297" spans="1:9" ht="37.5">
      <c r="A297" s="290"/>
      <c r="B297" s="618" t="s">
        <v>876</v>
      </c>
      <c r="C297" s="750" t="s">
        <v>125</v>
      </c>
      <c r="D297" s="751" t="s">
        <v>877</v>
      </c>
      <c r="E297" s="751" t="s">
        <v>63</v>
      </c>
      <c r="F297" s="752" t="s">
        <v>64</v>
      </c>
      <c r="G297" s="414"/>
      <c r="H297" s="304">
        <f>H298</f>
        <v>0</v>
      </c>
      <c r="I297" s="304">
        <f>I298</f>
        <v>25766.9</v>
      </c>
    </row>
    <row r="298" spans="1:9" ht="56.25">
      <c r="A298" s="290"/>
      <c r="B298" s="163" t="s">
        <v>821</v>
      </c>
      <c r="C298" s="750" t="s">
        <v>125</v>
      </c>
      <c r="D298" s="751" t="s">
        <v>877</v>
      </c>
      <c r="E298" s="751" t="s">
        <v>818</v>
      </c>
      <c r="F298" s="752" t="s">
        <v>64</v>
      </c>
      <c r="G298" s="414"/>
      <c r="H298" s="304">
        <f>H299+H301</f>
        <v>0</v>
      </c>
      <c r="I298" s="304">
        <f>I299+I301</f>
        <v>25766.9</v>
      </c>
    </row>
    <row r="299" spans="1:9" ht="93.75">
      <c r="A299" s="290"/>
      <c r="B299" s="163" t="s">
        <v>822</v>
      </c>
      <c r="C299" s="750" t="s">
        <v>125</v>
      </c>
      <c r="D299" s="751" t="s">
        <v>877</v>
      </c>
      <c r="E299" s="751" t="s">
        <v>818</v>
      </c>
      <c r="F299" s="752" t="s">
        <v>819</v>
      </c>
      <c r="G299" s="414"/>
      <c r="H299" s="304">
        <f>H300</f>
        <v>0</v>
      </c>
      <c r="I299" s="304">
        <f>I300</f>
        <v>20613.5</v>
      </c>
    </row>
    <row r="300" spans="1:9" ht="37.5">
      <c r="A300" s="290"/>
      <c r="B300" s="163" t="s">
        <v>225</v>
      </c>
      <c r="C300" s="750" t="s">
        <v>125</v>
      </c>
      <c r="D300" s="751" t="s">
        <v>877</v>
      </c>
      <c r="E300" s="751" t="s">
        <v>818</v>
      </c>
      <c r="F300" s="752" t="s">
        <v>819</v>
      </c>
      <c r="G300" s="414" t="s">
        <v>226</v>
      </c>
      <c r="H300" s="304">
        <f>'прил13(ведом 22-23)'!M153</f>
        <v>0</v>
      </c>
      <c r="I300" s="304">
        <f>'прил13(ведом 22-23)'!N153</f>
        <v>20613.5</v>
      </c>
    </row>
    <row r="301" spans="1:9" ht="93.75">
      <c r="A301" s="290"/>
      <c r="B301" s="163" t="s">
        <v>822</v>
      </c>
      <c r="C301" s="750" t="s">
        <v>125</v>
      </c>
      <c r="D301" s="751" t="s">
        <v>877</v>
      </c>
      <c r="E301" s="751" t="s">
        <v>818</v>
      </c>
      <c r="F301" s="752" t="s">
        <v>820</v>
      </c>
      <c r="G301" s="414"/>
      <c r="H301" s="304">
        <f>H302</f>
        <v>0</v>
      </c>
      <c r="I301" s="304">
        <f>I302</f>
        <v>5153.3999999999996</v>
      </c>
    </row>
    <row r="302" spans="1:9" ht="37.5">
      <c r="A302" s="290"/>
      <c r="B302" s="362" t="s">
        <v>225</v>
      </c>
      <c r="C302" s="750" t="s">
        <v>125</v>
      </c>
      <c r="D302" s="751" t="s">
        <v>877</v>
      </c>
      <c r="E302" s="751" t="s">
        <v>818</v>
      </c>
      <c r="F302" s="752" t="s">
        <v>820</v>
      </c>
      <c r="G302" s="414" t="s">
        <v>226</v>
      </c>
      <c r="H302" s="304">
        <f>'прил13(ведом 22-23)'!M155</f>
        <v>0</v>
      </c>
      <c r="I302" s="304">
        <f>'прил13(ведом 22-23)'!N155</f>
        <v>5153.3999999999996</v>
      </c>
    </row>
    <row r="303" spans="1:9" ht="18.75">
      <c r="A303" s="290"/>
      <c r="B303" s="167"/>
      <c r="C303" s="751"/>
      <c r="D303" s="751"/>
      <c r="E303" s="751"/>
      <c r="F303" s="752"/>
      <c r="G303" s="149"/>
      <c r="H303" s="304"/>
      <c r="I303" s="304"/>
    </row>
    <row r="304" spans="1:9" s="302" customFormat="1" ht="56.25">
      <c r="A304" s="313">
        <v>10</v>
      </c>
      <c r="B304" s="326" t="s">
        <v>115</v>
      </c>
      <c r="C304" s="314" t="s">
        <v>88</v>
      </c>
      <c r="D304" s="314" t="s">
        <v>62</v>
      </c>
      <c r="E304" s="314" t="s">
        <v>63</v>
      </c>
      <c r="F304" s="315" t="s">
        <v>64</v>
      </c>
      <c r="G304" s="367"/>
      <c r="H304" s="301">
        <f>H305</f>
        <v>11258.5</v>
      </c>
      <c r="I304" s="301">
        <f>I305</f>
        <v>11258.5</v>
      </c>
    </row>
    <row r="305" spans="1:9" ht="18.75" customHeight="1">
      <c r="A305" s="290"/>
      <c r="B305" s="303" t="s">
        <v>404</v>
      </c>
      <c r="C305" s="750" t="s">
        <v>88</v>
      </c>
      <c r="D305" s="751" t="s">
        <v>65</v>
      </c>
      <c r="E305" s="751" t="s">
        <v>63</v>
      </c>
      <c r="F305" s="752" t="s">
        <v>64</v>
      </c>
      <c r="G305" s="322"/>
      <c r="H305" s="304">
        <f>H306+H309</f>
        <v>11258.5</v>
      </c>
      <c r="I305" s="304">
        <f>I306+I309</f>
        <v>11258.5</v>
      </c>
    </row>
    <row r="306" spans="1:9" ht="37.5">
      <c r="A306" s="290"/>
      <c r="B306" s="303" t="s">
        <v>116</v>
      </c>
      <c r="C306" s="750" t="s">
        <v>88</v>
      </c>
      <c r="D306" s="751" t="s">
        <v>65</v>
      </c>
      <c r="E306" s="751" t="s">
        <v>57</v>
      </c>
      <c r="F306" s="752" t="s">
        <v>64</v>
      </c>
      <c r="G306" s="322"/>
      <c r="H306" s="304">
        <f>H307</f>
        <v>11070.6</v>
      </c>
      <c r="I306" s="304">
        <f>I307</f>
        <v>11070.6</v>
      </c>
    </row>
    <row r="307" spans="1:9" ht="56.25">
      <c r="A307" s="290"/>
      <c r="B307" s="195" t="s">
        <v>582</v>
      </c>
      <c r="C307" s="750" t="s">
        <v>88</v>
      </c>
      <c r="D307" s="751" t="s">
        <v>65</v>
      </c>
      <c r="E307" s="751" t="s">
        <v>57</v>
      </c>
      <c r="F307" s="752" t="s">
        <v>82</v>
      </c>
      <c r="G307" s="149"/>
      <c r="H307" s="304">
        <f>H308</f>
        <v>11070.6</v>
      </c>
      <c r="I307" s="304">
        <f>I308</f>
        <v>11070.6</v>
      </c>
    </row>
    <row r="308" spans="1:9" ht="18.75">
      <c r="A308" s="290"/>
      <c r="B308" s="303" t="s">
        <v>77</v>
      </c>
      <c r="C308" s="750" t="s">
        <v>88</v>
      </c>
      <c r="D308" s="751" t="s">
        <v>65</v>
      </c>
      <c r="E308" s="751" t="s">
        <v>57</v>
      </c>
      <c r="F308" s="752" t="s">
        <v>82</v>
      </c>
      <c r="G308" s="149" t="s">
        <v>78</v>
      </c>
      <c r="H308" s="304">
        <f>'прил13(ведом 22-23)'!M114</f>
        <v>11070.6</v>
      </c>
      <c r="I308" s="304">
        <f>'прил13(ведом 22-23)'!N114</f>
        <v>11070.6</v>
      </c>
    </row>
    <row r="309" spans="1:9" ht="56.25">
      <c r="A309" s="290"/>
      <c r="B309" s="303" t="s">
        <v>117</v>
      </c>
      <c r="C309" s="750" t="s">
        <v>88</v>
      </c>
      <c r="D309" s="751" t="s">
        <v>65</v>
      </c>
      <c r="E309" s="751" t="s">
        <v>59</v>
      </c>
      <c r="F309" s="752" t="s">
        <v>64</v>
      </c>
      <c r="G309" s="149"/>
      <c r="H309" s="304">
        <f>H310</f>
        <v>187.9</v>
      </c>
      <c r="I309" s="304">
        <f>I310</f>
        <v>187.9</v>
      </c>
    </row>
    <row r="310" spans="1:9" ht="18.75">
      <c r="A310" s="290"/>
      <c r="B310" s="163" t="s">
        <v>687</v>
      </c>
      <c r="C310" s="750" t="s">
        <v>88</v>
      </c>
      <c r="D310" s="751" t="s">
        <v>65</v>
      </c>
      <c r="E310" s="751" t="s">
        <v>59</v>
      </c>
      <c r="F310" s="752" t="s">
        <v>118</v>
      </c>
      <c r="G310" s="149"/>
      <c r="H310" s="304">
        <f>H311</f>
        <v>187.9</v>
      </c>
      <c r="I310" s="304">
        <f>I311</f>
        <v>187.9</v>
      </c>
    </row>
    <row r="311" spans="1:9" ht="37.5">
      <c r="A311" s="290"/>
      <c r="B311" s="303" t="s">
        <v>75</v>
      </c>
      <c r="C311" s="750" t="s">
        <v>88</v>
      </c>
      <c r="D311" s="751" t="s">
        <v>65</v>
      </c>
      <c r="E311" s="751" t="s">
        <v>59</v>
      </c>
      <c r="F311" s="752" t="s">
        <v>118</v>
      </c>
      <c r="G311" s="149" t="s">
        <v>76</v>
      </c>
      <c r="H311" s="304">
        <f>'прил13(ведом 22-23)'!M117</f>
        <v>187.9</v>
      </c>
      <c r="I311" s="304">
        <f>'прил13(ведом 22-23)'!N117</f>
        <v>187.9</v>
      </c>
    </row>
    <row r="312" spans="1:9" ht="18.75">
      <c r="A312" s="290"/>
      <c r="B312" s="312"/>
      <c r="C312" s="745"/>
      <c r="D312" s="745"/>
      <c r="E312" s="745"/>
      <c r="F312" s="746"/>
      <c r="G312" s="288"/>
      <c r="H312" s="304"/>
      <c r="I312" s="304"/>
    </row>
    <row r="313" spans="1:9" s="302" customFormat="1" ht="56.25">
      <c r="A313" s="313">
        <v>11</v>
      </c>
      <c r="B313" s="326" t="s">
        <v>120</v>
      </c>
      <c r="C313" s="314" t="s">
        <v>121</v>
      </c>
      <c r="D313" s="314" t="s">
        <v>62</v>
      </c>
      <c r="E313" s="314" t="s">
        <v>63</v>
      </c>
      <c r="F313" s="315" t="s">
        <v>64</v>
      </c>
      <c r="G313" s="300"/>
      <c r="H313" s="301">
        <f t="shared" ref="H313:I316" si="6">H314</f>
        <v>5907.9</v>
      </c>
      <c r="I313" s="301">
        <f t="shared" si="6"/>
        <v>6835.1</v>
      </c>
    </row>
    <row r="314" spans="1:9" s="302" customFormat="1" ht="19.5" customHeight="1">
      <c r="A314" s="290"/>
      <c r="B314" s="303" t="s">
        <v>404</v>
      </c>
      <c r="C314" s="750" t="s">
        <v>121</v>
      </c>
      <c r="D314" s="751" t="s">
        <v>65</v>
      </c>
      <c r="E314" s="751" t="s">
        <v>63</v>
      </c>
      <c r="F314" s="752" t="s">
        <v>64</v>
      </c>
      <c r="G314" s="149"/>
      <c r="H314" s="304">
        <f t="shared" si="6"/>
        <v>5907.9</v>
      </c>
      <c r="I314" s="304">
        <f t="shared" si="6"/>
        <v>6835.1</v>
      </c>
    </row>
    <row r="315" spans="1:9" s="302" customFormat="1" ht="75">
      <c r="A315" s="290"/>
      <c r="B315" s="303" t="s">
        <v>122</v>
      </c>
      <c r="C315" s="750" t="s">
        <v>121</v>
      </c>
      <c r="D315" s="751" t="s">
        <v>65</v>
      </c>
      <c r="E315" s="751" t="s">
        <v>57</v>
      </c>
      <c r="F315" s="752" t="s">
        <v>64</v>
      </c>
      <c r="G315" s="149"/>
      <c r="H315" s="304">
        <f t="shared" si="6"/>
        <v>5907.9</v>
      </c>
      <c r="I315" s="304">
        <f t="shared" si="6"/>
        <v>6835.1</v>
      </c>
    </row>
    <row r="316" spans="1:9" s="302" customFormat="1" ht="75">
      <c r="A316" s="290"/>
      <c r="B316" s="316" t="s">
        <v>123</v>
      </c>
      <c r="C316" s="750" t="s">
        <v>121</v>
      </c>
      <c r="D316" s="751" t="s">
        <v>65</v>
      </c>
      <c r="E316" s="751" t="s">
        <v>57</v>
      </c>
      <c r="F316" s="752" t="s">
        <v>124</v>
      </c>
      <c r="G316" s="149"/>
      <c r="H316" s="304">
        <f t="shared" si="6"/>
        <v>5907.9</v>
      </c>
      <c r="I316" s="304">
        <f t="shared" si="6"/>
        <v>6835.1</v>
      </c>
    </row>
    <row r="317" spans="1:9" ht="37.5">
      <c r="A317" s="290"/>
      <c r="B317" s="303" t="s">
        <v>75</v>
      </c>
      <c r="C317" s="750" t="s">
        <v>121</v>
      </c>
      <c r="D317" s="751" t="s">
        <v>65</v>
      </c>
      <c r="E317" s="751" t="s">
        <v>57</v>
      </c>
      <c r="F317" s="752" t="s">
        <v>124</v>
      </c>
      <c r="G317" s="149" t="s">
        <v>76</v>
      </c>
      <c r="H317" s="304">
        <f>'прил13(ведом 22-23)'!M123</f>
        <v>5907.9</v>
      </c>
      <c r="I317" s="304">
        <f>'прил13(ведом 22-23)'!N123</f>
        <v>6835.1</v>
      </c>
    </row>
    <row r="318" spans="1:9" ht="18.75">
      <c r="A318" s="290"/>
      <c r="B318" s="303"/>
      <c r="C318" s="751"/>
      <c r="D318" s="751"/>
      <c r="E318" s="751"/>
      <c r="F318" s="752"/>
      <c r="G318" s="149"/>
      <c r="H318" s="304"/>
      <c r="I318" s="304"/>
    </row>
    <row r="319" spans="1:9" ht="75">
      <c r="A319" s="313">
        <v>12</v>
      </c>
      <c r="B319" s="157" t="s">
        <v>128</v>
      </c>
      <c r="C319" s="160" t="s">
        <v>92</v>
      </c>
      <c r="D319" s="161" t="s">
        <v>62</v>
      </c>
      <c r="E319" s="161" t="s">
        <v>63</v>
      </c>
      <c r="F319" s="162" t="s">
        <v>64</v>
      </c>
      <c r="G319" s="159"/>
      <c r="H319" s="301">
        <f>H324+H320</f>
        <v>1025.0999999999999</v>
      </c>
      <c r="I319" s="301">
        <f>I324+I320</f>
        <v>1025.0999999999999</v>
      </c>
    </row>
    <row r="320" spans="1:9" ht="37.5">
      <c r="A320" s="313"/>
      <c r="B320" s="168" t="s">
        <v>129</v>
      </c>
      <c r="C320" s="750" t="s">
        <v>92</v>
      </c>
      <c r="D320" s="751" t="s">
        <v>65</v>
      </c>
      <c r="E320" s="751" t="s">
        <v>63</v>
      </c>
      <c r="F320" s="752" t="s">
        <v>64</v>
      </c>
      <c r="G320" s="149"/>
      <c r="H320" s="594">
        <f t="shared" ref="H320:H321" si="7">H321</f>
        <v>310</v>
      </c>
      <c r="I320" s="594">
        <f t="shared" ref="I320:I321" si="8">I321</f>
        <v>310</v>
      </c>
    </row>
    <row r="321" spans="1:9" ht="37.5">
      <c r="A321" s="313"/>
      <c r="B321" s="163" t="s">
        <v>130</v>
      </c>
      <c r="C321" s="750" t="s">
        <v>92</v>
      </c>
      <c r="D321" s="751" t="s">
        <v>65</v>
      </c>
      <c r="E321" s="751" t="s">
        <v>57</v>
      </c>
      <c r="F321" s="752" t="s">
        <v>64</v>
      </c>
      <c r="G321" s="149"/>
      <c r="H321" s="594">
        <f t="shared" si="7"/>
        <v>310</v>
      </c>
      <c r="I321" s="594">
        <f t="shared" si="8"/>
        <v>310</v>
      </c>
    </row>
    <row r="322" spans="1:9" ht="37.5">
      <c r="A322" s="313"/>
      <c r="B322" s="168" t="s">
        <v>131</v>
      </c>
      <c r="C322" s="750" t="s">
        <v>92</v>
      </c>
      <c r="D322" s="751" t="s">
        <v>65</v>
      </c>
      <c r="E322" s="751" t="s">
        <v>57</v>
      </c>
      <c r="F322" s="752" t="s">
        <v>132</v>
      </c>
      <c r="G322" s="149"/>
      <c r="H322" s="594">
        <f>H323</f>
        <v>310</v>
      </c>
      <c r="I322" s="594">
        <f>I323</f>
        <v>310</v>
      </c>
    </row>
    <row r="323" spans="1:9" ht="37.5">
      <c r="A323" s="313"/>
      <c r="B323" s="163" t="s">
        <v>75</v>
      </c>
      <c r="C323" s="750" t="s">
        <v>92</v>
      </c>
      <c r="D323" s="751" t="s">
        <v>65</v>
      </c>
      <c r="E323" s="751" t="s">
        <v>57</v>
      </c>
      <c r="F323" s="752" t="s">
        <v>132</v>
      </c>
      <c r="G323" s="149" t="s">
        <v>76</v>
      </c>
      <c r="H323" s="594">
        <f>'прил13(ведом 22-23)'!M129</f>
        <v>310</v>
      </c>
      <c r="I323" s="594">
        <f>'прил13(ведом 22-23)'!N129</f>
        <v>310</v>
      </c>
    </row>
    <row r="324" spans="1:9" ht="37.5">
      <c r="A324" s="290"/>
      <c r="B324" s="168" t="s">
        <v>133</v>
      </c>
      <c r="C324" s="750" t="s">
        <v>92</v>
      </c>
      <c r="D324" s="751" t="s">
        <v>110</v>
      </c>
      <c r="E324" s="751" t="s">
        <v>63</v>
      </c>
      <c r="F324" s="752" t="s">
        <v>64</v>
      </c>
      <c r="G324" s="149"/>
      <c r="H324" s="304">
        <f t="shared" ref="H324:I326" si="9">H325</f>
        <v>715.1</v>
      </c>
      <c r="I324" s="304">
        <f t="shared" si="9"/>
        <v>715.1</v>
      </c>
    </row>
    <row r="325" spans="1:9" ht="37.5">
      <c r="A325" s="290"/>
      <c r="B325" s="168" t="s">
        <v>134</v>
      </c>
      <c r="C325" s="750" t="s">
        <v>92</v>
      </c>
      <c r="D325" s="751" t="s">
        <v>110</v>
      </c>
      <c r="E325" s="751" t="s">
        <v>57</v>
      </c>
      <c r="F325" s="752" t="s">
        <v>64</v>
      </c>
      <c r="G325" s="149"/>
      <c r="H325" s="304">
        <f t="shared" si="9"/>
        <v>715.1</v>
      </c>
      <c r="I325" s="304">
        <f t="shared" si="9"/>
        <v>715.1</v>
      </c>
    </row>
    <row r="326" spans="1:9" ht="75">
      <c r="A326" s="290"/>
      <c r="B326" s="168" t="s">
        <v>135</v>
      </c>
      <c r="C326" s="750" t="s">
        <v>92</v>
      </c>
      <c r="D326" s="751" t="s">
        <v>110</v>
      </c>
      <c r="E326" s="751" t="s">
        <v>57</v>
      </c>
      <c r="F326" s="752" t="s">
        <v>136</v>
      </c>
      <c r="G326" s="149"/>
      <c r="H326" s="304">
        <f t="shared" si="9"/>
        <v>715.1</v>
      </c>
      <c r="I326" s="304">
        <f t="shared" si="9"/>
        <v>715.1</v>
      </c>
    </row>
    <row r="327" spans="1:9" ht="37.5">
      <c r="A327" s="290"/>
      <c r="B327" s="163" t="s">
        <v>75</v>
      </c>
      <c r="C327" s="750" t="s">
        <v>92</v>
      </c>
      <c r="D327" s="751" t="s">
        <v>110</v>
      </c>
      <c r="E327" s="751" t="s">
        <v>57</v>
      </c>
      <c r="F327" s="752" t="s">
        <v>136</v>
      </c>
      <c r="G327" s="149" t="s">
        <v>76</v>
      </c>
      <c r="H327" s="304">
        <f>'прил13(ведом 22-23)'!M133</f>
        <v>715.1</v>
      </c>
      <c r="I327" s="304">
        <f>'прил13(ведом 22-23)'!N133</f>
        <v>715.1</v>
      </c>
    </row>
    <row r="328" spans="1:9" ht="18.75">
      <c r="A328" s="290"/>
      <c r="B328" s="163"/>
      <c r="C328" s="751"/>
      <c r="D328" s="751"/>
      <c r="E328" s="751"/>
      <c r="F328" s="752"/>
      <c r="G328" s="149"/>
      <c r="H328" s="304"/>
      <c r="I328" s="304"/>
    </row>
    <row r="329" spans="1:9" ht="75">
      <c r="A329" s="313">
        <v>13</v>
      </c>
      <c r="B329" s="157" t="s">
        <v>137</v>
      </c>
      <c r="C329" s="160" t="s">
        <v>109</v>
      </c>
      <c r="D329" s="161" t="s">
        <v>62</v>
      </c>
      <c r="E329" s="161" t="s">
        <v>63</v>
      </c>
      <c r="F329" s="162" t="s">
        <v>64</v>
      </c>
      <c r="G329" s="159"/>
      <c r="H329" s="301">
        <f t="shared" ref="H329:I334" si="10">H330</f>
        <v>891.2</v>
      </c>
      <c r="I329" s="301">
        <f t="shared" si="10"/>
        <v>891.2</v>
      </c>
    </row>
    <row r="330" spans="1:9" ht="30" customHeight="1">
      <c r="A330" s="290"/>
      <c r="B330" s="163" t="s">
        <v>404</v>
      </c>
      <c r="C330" s="750" t="s">
        <v>109</v>
      </c>
      <c r="D330" s="751" t="s">
        <v>65</v>
      </c>
      <c r="E330" s="751" t="s">
        <v>63</v>
      </c>
      <c r="F330" s="752" t="s">
        <v>64</v>
      </c>
      <c r="G330" s="149"/>
      <c r="H330" s="304">
        <f t="shared" si="10"/>
        <v>891.2</v>
      </c>
      <c r="I330" s="304">
        <f t="shared" si="10"/>
        <v>891.2</v>
      </c>
    </row>
    <row r="331" spans="1:9" ht="56.25">
      <c r="A331" s="290"/>
      <c r="B331" s="168" t="s">
        <v>360</v>
      </c>
      <c r="C331" s="750" t="s">
        <v>109</v>
      </c>
      <c r="D331" s="751" t="s">
        <v>65</v>
      </c>
      <c r="E331" s="751" t="s">
        <v>57</v>
      </c>
      <c r="F331" s="752" t="s">
        <v>64</v>
      </c>
      <c r="G331" s="149"/>
      <c r="H331" s="304">
        <f>H334+H332</f>
        <v>891.2</v>
      </c>
      <c r="I331" s="304">
        <f>I334+I332</f>
        <v>891.2</v>
      </c>
    </row>
    <row r="332" spans="1:9" ht="56.25">
      <c r="A332" s="290"/>
      <c r="B332" s="168" t="s">
        <v>138</v>
      </c>
      <c r="C332" s="750" t="s">
        <v>109</v>
      </c>
      <c r="D332" s="751" t="s">
        <v>65</v>
      </c>
      <c r="E332" s="751" t="s">
        <v>57</v>
      </c>
      <c r="F332" s="752" t="s">
        <v>139</v>
      </c>
      <c r="G332" s="149"/>
      <c r="H332" s="304">
        <f>H333</f>
        <v>112.2</v>
      </c>
      <c r="I332" s="304">
        <f>I333</f>
        <v>112.2</v>
      </c>
    </row>
    <row r="333" spans="1:9" ht="37.5">
      <c r="A333" s="290"/>
      <c r="B333" s="163" t="s">
        <v>75</v>
      </c>
      <c r="C333" s="750" t="s">
        <v>109</v>
      </c>
      <c r="D333" s="751" t="s">
        <v>65</v>
      </c>
      <c r="E333" s="751" t="s">
        <v>57</v>
      </c>
      <c r="F333" s="752" t="s">
        <v>139</v>
      </c>
      <c r="G333" s="149" t="s">
        <v>76</v>
      </c>
      <c r="H333" s="304">
        <f>'прил13(ведом 22-23)'!M138</f>
        <v>112.2</v>
      </c>
      <c r="I333" s="304">
        <f>'прил13(ведом 22-23)'!N138</f>
        <v>112.2</v>
      </c>
    </row>
    <row r="334" spans="1:9" ht="56.25">
      <c r="A334" s="290"/>
      <c r="B334" s="163" t="s">
        <v>497</v>
      </c>
      <c r="C334" s="750" t="s">
        <v>109</v>
      </c>
      <c r="D334" s="751" t="s">
        <v>65</v>
      </c>
      <c r="E334" s="751" t="s">
        <v>57</v>
      </c>
      <c r="F334" s="752" t="s">
        <v>496</v>
      </c>
      <c r="G334" s="149"/>
      <c r="H334" s="304">
        <f t="shared" si="10"/>
        <v>779</v>
      </c>
      <c r="I334" s="304">
        <f t="shared" si="10"/>
        <v>779</v>
      </c>
    </row>
    <row r="335" spans="1:9" ht="37.5">
      <c r="A335" s="290"/>
      <c r="B335" s="163" t="s">
        <v>75</v>
      </c>
      <c r="C335" s="750" t="s">
        <v>109</v>
      </c>
      <c r="D335" s="751" t="s">
        <v>65</v>
      </c>
      <c r="E335" s="751" t="s">
        <v>57</v>
      </c>
      <c r="F335" s="752" t="s">
        <v>496</v>
      </c>
      <c r="G335" s="149" t="s">
        <v>76</v>
      </c>
      <c r="H335" s="304">
        <f>'прил13(ведом 22-23)'!M140</f>
        <v>779</v>
      </c>
      <c r="I335" s="304">
        <f>'прил13(ведом 22-23)'!N140</f>
        <v>779</v>
      </c>
    </row>
    <row r="336" spans="1:9" ht="18.75">
      <c r="A336" s="290"/>
      <c r="B336" s="163"/>
      <c r="C336" s="751"/>
      <c r="D336" s="751"/>
      <c r="E336" s="751"/>
      <c r="F336" s="752"/>
      <c r="G336" s="149"/>
      <c r="H336" s="304"/>
      <c r="I336" s="304"/>
    </row>
    <row r="337" spans="1:9" ht="75">
      <c r="A337" s="313">
        <v>14</v>
      </c>
      <c r="B337" s="326" t="s">
        <v>93</v>
      </c>
      <c r="C337" s="314" t="s">
        <v>94</v>
      </c>
      <c r="D337" s="314" t="s">
        <v>62</v>
      </c>
      <c r="E337" s="314" t="s">
        <v>63</v>
      </c>
      <c r="F337" s="315" t="s">
        <v>64</v>
      </c>
      <c r="G337" s="300"/>
      <c r="H337" s="304">
        <f t="shared" ref="H337:I340" si="11">H338</f>
        <v>1220.5999999999999</v>
      </c>
      <c r="I337" s="304">
        <f t="shared" si="11"/>
        <v>1220.5999999999999</v>
      </c>
    </row>
    <row r="338" spans="1:9" ht="26.25" customHeight="1">
      <c r="A338" s="290"/>
      <c r="B338" s="303" t="s">
        <v>404</v>
      </c>
      <c r="C338" s="750" t="s">
        <v>94</v>
      </c>
      <c r="D338" s="751" t="s">
        <v>65</v>
      </c>
      <c r="E338" s="751" t="s">
        <v>63</v>
      </c>
      <c r="F338" s="752" t="s">
        <v>64</v>
      </c>
      <c r="G338" s="149"/>
      <c r="H338" s="304">
        <f t="shared" si="11"/>
        <v>1220.5999999999999</v>
      </c>
      <c r="I338" s="304">
        <f t="shared" si="11"/>
        <v>1220.5999999999999</v>
      </c>
    </row>
    <row r="339" spans="1:9" ht="37.5">
      <c r="A339" s="290"/>
      <c r="B339" s="317" t="s">
        <v>306</v>
      </c>
      <c r="C339" s="750" t="s">
        <v>94</v>
      </c>
      <c r="D339" s="751" t="s">
        <v>65</v>
      </c>
      <c r="E339" s="751" t="s">
        <v>57</v>
      </c>
      <c r="F339" s="752" t="s">
        <v>64</v>
      </c>
      <c r="G339" s="149"/>
      <c r="H339" s="304">
        <f t="shared" si="11"/>
        <v>1220.5999999999999</v>
      </c>
      <c r="I339" s="304">
        <f t="shared" si="11"/>
        <v>1220.5999999999999</v>
      </c>
    </row>
    <row r="340" spans="1:9" ht="37.5">
      <c r="A340" s="290"/>
      <c r="B340" s="317" t="s">
        <v>95</v>
      </c>
      <c r="C340" s="750" t="s">
        <v>94</v>
      </c>
      <c r="D340" s="751" t="s">
        <v>65</v>
      </c>
      <c r="E340" s="751" t="s">
        <v>57</v>
      </c>
      <c r="F340" s="752" t="s">
        <v>96</v>
      </c>
      <c r="G340" s="149"/>
      <c r="H340" s="304">
        <f t="shared" si="11"/>
        <v>1220.5999999999999</v>
      </c>
      <c r="I340" s="304">
        <f t="shared" si="11"/>
        <v>1220.5999999999999</v>
      </c>
    </row>
    <row r="341" spans="1:9" ht="41.25" customHeight="1">
      <c r="A341" s="290"/>
      <c r="B341" s="305" t="s">
        <v>97</v>
      </c>
      <c r="C341" s="750" t="s">
        <v>94</v>
      </c>
      <c r="D341" s="751" t="s">
        <v>65</v>
      </c>
      <c r="E341" s="751" t="s">
        <v>57</v>
      </c>
      <c r="F341" s="752" t="s">
        <v>96</v>
      </c>
      <c r="G341" s="149" t="s">
        <v>98</v>
      </c>
      <c r="H341" s="304">
        <f>'прил13(ведом 22-23)'!M64+'прил13(ведом 22-23)'!M168</f>
        <v>1220.5999999999999</v>
      </c>
      <c r="I341" s="304">
        <f>'прил13(ведом 22-23)'!N64+'прил13(ведом 22-23)'!N168</f>
        <v>1220.5999999999999</v>
      </c>
    </row>
    <row r="342" spans="1:9" ht="18.75">
      <c r="A342" s="290"/>
      <c r="B342" s="312"/>
      <c r="C342" s="745"/>
      <c r="D342" s="745"/>
      <c r="E342" s="745"/>
      <c r="F342" s="746"/>
      <c r="G342" s="288"/>
      <c r="H342" s="304"/>
      <c r="I342" s="304"/>
    </row>
    <row r="343" spans="1:9" s="302" customFormat="1" ht="56.25">
      <c r="A343" s="313">
        <v>15</v>
      </c>
      <c r="B343" s="326" t="s">
        <v>60</v>
      </c>
      <c r="C343" s="314" t="s">
        <v>61</v>
      </c>
      <c r="D343" s="314" t="s">
        <v>62</v>
      </c>
      <c r="E343" s="314" t="s">
        <v>63</v>
      </c>
      <c r="F343" s="315" t="s">
        <v>64</v>
      </c>
      <c r="G343" s="300"/>
      <c r="H343" s="301">
        <f>H344</f>
        <v>87929.099999999977</v>
      </c>
      <c r="I343" s="301">
        <f>I344</f>
        <v>87904.699999999983</v>
      </c>
    </row>
    <row r="344" spans="1:9" s="302" customFormat="1" ht="24.75" customHeight="1">
      <c r="A344" s="290"/>
      <c r="B344" s="303" t="s">
        <v>404</v>
      </c>
      <c r="C344" s="750" t="s">
        <v>61</v>
      </c>
      <c r="D344" s="751" t="s">
        <v>65</v>
      </c>
      <c r="E344" s="751" t="s">
        <v>63</v>
      </c>
      <c r="F344" s="752" t="s">
        <v>64</v>
      </c>
      <c r="G344" s="149"/>
      <c r="H344" s="304">
        <f>H345+H348+H378+H386+H367+H383+H373+H390+H393</f>
        <v>87929.099999999977</v>
      </c>
      <c r="I344" s="304">
        <f>I345+I348+I378+I386+I367+I383+I373+I390+I393</f>
        <v>87904.699999999983</v>
      </c>
    </row>
    <row r="345" spans="1:9" s="302" customFormat="1" ht="37.5">
      <c r="A345" s="290"/>
      <c r="B345" s="303" t="s">
        <v>66</v>
      </c>
      <c r="C345" s="750" t="s">
        <v>61</v>
      </c>
      <c r="D345" s="751" t="s">
        <v>65</v>
      </c>
      <c r="E345" s="751" t="s">
        <v>57</v>
      </c>
      <c r="F345" s="752" t="s">
        <v>64</v>
      </c>
      <c r="G345" s="149"/>
      <c r="H345" s="304">
        <f>H346</f>
        <v>2128.5</v>
      </c>
      <c r="I345" s="304">
        <f>I346</f>
        <v>2128.5</v>
      </c>
    </row>
    <row r="346" spans="1:9" s="302" customFormat="1" ht="37.5">
      <c r="A346" s="290"/>
      <c r="B346" s="303" t="s">
        <v>67</v>
      </c>
      <c r="C346" s="750" t="s">
        <v>61</v>
      </c>
      <c r="D346" s="751" t="s">
        <v>65</v>
      </c>
      <c r="E346" s="751" t="s">
        <v>57</v>
      </c>
      <c r="F346" s="752" t="s">
        <v>68</v>
      </c>
      <c r="G346" s="149"/>
      <c r="H346" s="304">
        <f>H347</f>
        <v>2128.5</v>
      </c>
      <c r="I346" s="304">
        <f>I347</f>
        <v>2128.5</v>
      </c>
    </row>
    <row r="347" spans="1:9" s="302" customFormat="1" ht="93.75">
      <c r="A347" s="290"/>
      <c r="B347" s="303" t="s">
        <v>69</v>
      </c>
      <c r="C347" s="750" t="s">
        <v>61</v>
      </c>
      <c r="D347" s="751" t="s">
        <v>65</v>
      </c>
      <c r="E347" s="751" t="s">
        <v>57</v>
      </c>
      <c r="F347" s="752" t="s">
        <v>68</v>
      </c>
      <c r="G347" s="149" t="s">
        <v>70</v>
      </c>
      <c r="H347" s="304">
        <f>'прил13(ведом 22-23)'!M24</f>
        <v>2128.5</v>
      </c>
      <c r="I347" s="304">
        <f>'прил13(ведом 22-23)'!N24</f>
        <v>2128.5</v>
      </c>
    </row>
    <row r="348" spans="1:9" s="302" customFormat="1" ht="37.5">
      <c r="A348" s="290"/>
      <c r="B348" s="303" t="s">
        <v>74</v>
      </c>
      <c r="C348" s="750" t="s">
        <v>61</v>
      </c>
      <c r="D348" s="751" t="s">
        <v>65</v>
      </c>
      <c r="E348" s="751" t="s">
        <v>59</v>
      </c>
      <c r="F348" s="752" t="s">
        <v>64</v>
      </c>
      <c r="G348" s="149"/>
      <c r="H348" s="304">
        <f>H349+H355+H357+H359+H362+H365+H353</f>
        <v>72061.099999999991</v>
      </c>
      <c r="I348" s="304">
        <f>I349+I355+I357+I359+I362+I365+I353</f>
        <v>72042.7</v>
      </c>
    </row>
    <row r="349" spans="1:9" s="302" customFormat="1" ht="37.5">
      <c r="A349" s="290"/>
      <c r="B349" s="303" t="s">
        <v>67</v>
      </c>
      <c r="C349" s="750" t="s">
        <v>61</v>
      </c>
      <c r="D349" s="751" t="s">
        <v>65</v>
      </c>
      <c r="E349" s="751" t="s">
        <v>59</v>
      </c>
      <c r="F349" s="752" t="s">
        <v>68</v>
      </c>
      <c r="G349" s="149"/>
      <c r="H349" s="304">
        <f>SUM(H350:H352)</f>
        <v>67115.899999999994</v>
      </c>
      <c r="I349" s="304">
        <f>SUM(I350:I352)</f>
        <v>67190.2</v>
      </c>
    </row>
    <row r="350" spans="1:9" s="302" customFormat="1" ht="93.75">
      <c r="A350" s="290"/>
      <c r="B350" s="303" t="s">
        <v>69</v>
      </c>
      <c r="C350" s="750" t="s">
        <v>61</v>
      </c>
      <c r="D350" s="751" t="s">
        <v>65</v>
      </c>
      <c r="E350" s="751" t="s">
        <v>59</v>
      </c>
      <c r="F350" s="752" t="s">
        <v>68</v>
      </c>
      <c r="G350" s="149" t="s">
        <v>70</v>
      </c>
      <c r="H350" s="304">
        <f>'прил13(ведом 22-23)'!M30</f>
        <v>61571.199999999997</v>
      </c>
      <c r="I350" s="304">
        <f>'прил13(ведом 22-23)'!N30</f>
        <v>61571.199999999997</v>
      </c>
    </row>
    <row r="351" spans="1:9" ht="37.5">
      <c r="A351" s="290"/>
      <c r="B351" s="303" t="s">
        <v>75</v>
      </c>
      <c r="C351" s="750" t="s">
        <v>61</v>
      </c>
      <c r="D351" s="751" t="s">
        <v>65</v>
      </c>
      <c r="E351" s="751" t="s">
        <v>59</v>
      </c>
      <c r="F351" s="752" t="s">
        <v>68</v>
      </c>
      <c r="G351" s="149" t="s">
        <v>76</v>
      </c>
      <c r="H351" s="304">
        <f>'прил13(ведом 22-23)'!M31</f>
        <v>5452.8</v>
      </c>
      <c r="I351" s="304">
        <f>'прил13(ведом 22-23)'!N31</f>
        <v>5527.1</v>
      </c>
    </row>
    <row r="352" spans="1:9" ht="18.75">
      <c r="A352" s="290"/>
      <c r="B352" s="163" t="s">
        <v>77</v>
      </c>
      <c r="C352" s="750" t="s">
        <v>61</v>
      </c>
      <c r="D352" s="751" t="s">
        <v>65</v>
      </c>
      <c r="E352" s="751" t="s">
        <v>59</v>
      </c>
      <c r="F352" s="752" t="s">
        <v>68</v>
      </c>
      <c r="G352" s="149" t="s">
        <v>78</v>
      </c>
      <c r="H352" s="304">
        <f>'прил13(ведом 22-23)'!M32</f>
        <v>91.9</v>
      </c>
      <c r="I352" s="304">
        <f>'прил13(ведом 22-23)'!N32</f>
        <v>91.9</v>
      </c>
    </row>
    <row r="353" spans="1:9" s="302" customFormat="1" ht="75">
      <c r="A353" s="290"/>
      <c r="B353" s="163" t="s">
        <v>490</v>
      </c>
      <c r="C353" s="750" t="s">
        <v>61</v>
      </c>
      <c r="D353" s="751" t="s">
        <v>65</v>
      </c>
      <c r="E353" s="751" t="s">
        <v>59</v>
      </c>
      <c r="F353" s="752" t="s">
        <v>489</v>
      </c>
      <c r="G353" s="149"/>
      <c r="H353" s="304">
        <f>H354</f>
        <v>98.4</v>
      </c>
      <c r="I353" s="304">
        <f>I354</f>
        <v>5.7</v>
      </c>
    </row>
    <row r="354" spans="1:9" s="302" customFormat="1" ht="37.5">
      <c r="A354" s="290"/>
      <c r="B354" s="163" t="s">
        <v>75</v>
      </c>
      <c r="C354" s="750" t="s">
        <v>61</v>
      </c>
      <c r="D354" s="751" t="s">
        <v>65</v>
      </c>
      <c r="E354" s="751" t="s">
        <v>59</v>
      </c>
      <c r="F354" s="752" t="s">
        <v>489</v>
      </c>
      <c r="G354" s="149" t="s">
        <v>76</v>
      </c>
      <c r="H354" s="304">
        <f>'прил13(ведом 22-23)'!M53</f>
        <v>98.4</v>
      </c>
      <c r="I354" s="304">
        <f>'прил13(ведом 22-23)'!N53</f>
        <v>5.7</v>
      </c>
    </row>
    <row r="355" spans="1:9" ht="93.75">
      <c r="A355" s="290"/>
      <c r="B355" s="303" t="s">
        <v>747</v>
      </c>
      <c r="C355" s="750" t="s">
        <v>61</v>
      </c>
      <c r="D355" s="751" t="s">
        <v>65</v>
      </c>
      <c r="E355" s="751" t="s">
        <v>59</v>
      </c>
      <c r="F355" s="752" t="s">
        <v>305</v>
      </c>
      <c r="G355" s="149"/>
      <c r="H355" s="304">
        <f>H356</f>
        <v>66</v>
      </c>
      <c r="I355" s="304">
        <f>I356</f>
        <v>66</v>
      </c>
    </row>
    <row r="356" spans="1:9" ht="37.5">
      <c r="A356" s="290"/>
      <c r="B356" s="303" t="s">
        <v>75</v>
      </c>
      <c r="C356" s="750" t="s">
        <v>61</v>
      </c>
      <c r="D356" s="751" t="s">
        <v>65</v>
      </c>
      <c r="E356" s="751" t="s">
        <v>59</v>
      </c>
      <c r="F356" s="752" t="s">
        <v>305</v>
      </c>
      <c r="G356" s="149" t="s">
        <v>76</v>
      </c>
      <c r="H356" s="304">
        <f>'прил13(ведом 22-23)'!M34</f>
        <v>66</v>
      </c>
      <c r="I356" s="304">
        <f>'прил13(ведом 22-23)'!N34</f>
        <v>66</v>
      </c>
    </row>
    <row r="357" spans="1:9" ht="177" customHeight="1">
      <c r="A357" s="290"/>
      <c r="B357" s="195" t="s">
        <v>757</v>
      </c>
      <c r="C357" s="750" t="s">
        <v>61</v>
      </c>
      <c r="D357" s="751" t="s">
        <v>65</v>
      </c>
      <c r="E357" s="751" t="s">
        <v>59</v>
      </c>
      <c r="F357" s="752" t="s">
        <v>79</v>
      </c>
      <c r="G357" s="149"/>
      <c r="H357" s="304">
        <f>H358</f>
        <v>636.5</v>
      </c>
      <c r="I357" s="304">
        <f>I358</f>
        <v>636.5</v>
      </c>
    </row>
    <row r="358" spans="1:9" ht="93.75">
      <c r="A358" s="290"/>
      <c r="B358" s="163" t="s">
        <v>69</v>
      </c>
      <c r="C358" s="750" t="s">
        <v>61</v>
      </c>
      <c r="D358" s="751" t="s">
        <v>65</v>
      </c>
      <c r="E358" s="751" t="s">
        <v>59</v>
      </c>
      <c r="F358" s="752" t="s">
        <v>79</v>
      </c>
      <c r="G358" s="149" t="s">
        <v>70</v>
      </c>
      <c r="H358" s="304">
        <f>'прил13(ведом 22-23)'!M36</f>
        <v>636.5</v>
      </c>
      <c r="I358" s="304">
        <f>'прил13(ведом 22-23)'!N36</f>
        <v>636.5</v>
      </c>
    </row>
    <row r="359" spans="1:9" ht="75">
      <c r="A359" s="290"/>
      <c r="B359" s="303" t="s">
        <v>80</v>
      </c>
      <c r="C359" s="750" t="s">
        <v>61</v>
      </c>
      <c r="D359" s="751" t="s">
        <v>65</v>
      </c>
      <c r="E359" s="751" t="s">
        <v>59</v>
      </c>
      <c r="F359" s="752" t="s">
        <v>81</v>
      </c>
      <c r="G359" s="149"/>
      <c r="H359" s="304">
        <f>SUM(H360:H361)</f>
        <v>3441.6000000000004</v>
      </c>
      <c r="I359" s="304">
        <f>SUM(I360:I361)</f>
        <v>3441.6000000000004</v>
      </c>
    </row>
    <row r="360" spans="1:9" ht="93.75">
      <c r="A360" s="290"/>
      <c r="B360" s="303" t="s">
        <v>69</v>
      </c>
      <c r="C360" s="750" t="s">
        <v>61</v>
      </c>
      <c r="D360" s="751" t="s">
        <v>65</v>
      </c>
      <c r="E360" s="751" t="s">
        <v>59</v>
      </c>
      <c r="F360" s="752" t="s">
        <v>81</v>
      </c>
      <c r="G360" s="149" t="s">
        <v>70</v>
      </c>
      <c r="H360" s="304">
        <f>'прил13(ведом 22-23)'!M38</f>
        <v>3372.8</v>
      </c>
      <c r="I360" s="304">
        <f>'прил13(ведом 22-23)'!N38</f>
        <v>3372.8</v>
      </c>
    </row>
    <row r="361" spans="1:9" ht="37.5">
      <c r="A361" s="290"/>
      <c r="B361" s="303" t="s">
        <v>75</v>
      </c>
      <c r="C361" s="751" t="s">
        <v>61</v>
      </c>
      <c r="D361" s="751" t="s">
        <v>65</v>
      </c>
      <c r="E361" s="751" t="s">
        <v>59</v>
      </c>
      <c r="F361" s="752" t="s">
        <v>81</v>
      </c>
      <c r="G361" s="149" t="s">
        <v>76</v>
      </c>
      <c r="H361" s="304">
        <f>'прил13(ведом 22-23)'!M39</f>
        <v>68.8</v>
      </c>
      <c r="I361" s="304">
        <f>'прил13(ведом 22-23)'!N39</f>
        <v>68.8</v>
      </c>
    </row>
    <row r="362" spans="1:9" ht="56.25">
      <c r="A362" s="290"/>
      <c r="B362" s="163" t="s">
        <v>582</v>
      </c>
      <c r="C362" s="750" t="s">
        <v>61</v>
      </c>
      <c r="D362" s="751" t="s">
        <v>65</v>
      </c>
      <c r="E362" s="751" t="s">
        <v>59</v>
      </c>
      <c r="F362" s="752" t="s">
        <v>82</v>
      </c>
      <c r="G362" s="149"/>
      <c r="H362" s="304">
        <f>H363+H364</f>
        <v>636.70000000000005</v>
      </c>
      <c r="I362" s="304">
        <f>I363+I364</f>
        <v>636.70000000000005</v>
      </c>
    </row>
    <row r="363" spans="1:9" ht="93.75">
      <c r="A363" s="290"/>
      <c r="B363" s="163" t="s">
        <v>69</v>
      </c>
      <c r="C363" s="750" t="s">
        <v>61</v>
      </c>
      <c r="D363" s="751" t="s">
        <v>65</v>
      </c>
      <c r="E363" s="751" t="s">
        <v>59</v>
      </c>
      <c r="F363" s="752" t="s">
        <v>82</v>
      </c>
      <c r="G363" s="149" t="s">
        <v>70</v>
      </c>
      <c r="H363" s="304">
        <f>'прил13(ведом 22-23)'!M41</f>
        <v>632.5</v>
      </c>
      <c r="I363" s="304">
        <f>'прил13(ведом 22-23)'!N41</f>
        <v>632.5</v>
      </c>
    </row>
    <row r="364" spans="1:9" ht="37.5">
      <c r="A364" s="290"/>
      <c r="B364" s="303" t="s">
        <v>75</v>
      </c>
      <c r="C364" s="750" t="s">
        <v>61</v>
      </c>
      <c r="D364" s="751" t="s">
        <v>65</v>
      </c>
      <c r="E364" s="751" t="s">
        <v>59</v>
      </c>
      <c r="F364" s="752" t="s">
        <v>82</v>
      </c>
      <c r="G364" s="149" t="s">
        <v>76</v>
      </c>
      <c r="H364" s="304">
        <f>'прил13(ведом 22-23)'!M42</f>
        <v>4.2</v>
      </c>
      <c r="I364" s="304">
        <f>'прил13(ведом 22-23)'!N42</f>
        <v>4.2</v>
      </c>
    </row>
    <row r="365" spans="1:9" ht="147" customHeight="1">
      <c r="A365" s="290"/>
      <c r="B365" s="163" t="s">
        <v>466</v>
      </c>
      <c r="C365" s="750" t="s">
        <v>61</v>
      </c>
      <c r="D365" s="751" t="s">
        <v>65</v>
      </c>
      <c r="E365" s="751" t="s">
        <v>59</v>
      </c>
      <c r="F365" s="752" t="s">
        <v>465</v>
      </c>
      <c r="G365" s="149"/>
      <c r="H365" s="304">
        <f>H366</f>
        <v>66</v>
      </c>
      <c r="I365" s="304">
        <f>I366</f>
        <v>66</v>
      </c>
    </row>
    <row r="366" spans="1:9" ht="37.5">
      <c r="A366" s="290"/>
      <c r="B366" s="163" t="s">
        <v>75</v>
      </c>
      <c r="C366" s="750" t="s">
        <v>61</v>
      </c>
      <c r="D366" s="751" t="s">
        <v>65</v>
      </c>
      <c r="E366" s="751" t="s">
        <v>59</v>
      </c>
      <c r="F366" s="752" t="s">
        <v>465</v>
      </c>
      <c r="G366" s="149" t="s">
        <v>76</v>
      </c>
      <c r="H366" s="304">
        <f>'прил13(ведом 22-23)'!M44</f>
        <v>66</v>
      </c>
      <c r="I366" s="304">
        <f>'прил13(ведом 22-23)'!N44</f>
        <v>66</v>
      </c>
    </row>
    <row r="367" spans="1:9" ht="18.75">
      <c r="A367" s="290"/>
      <c r="B367" s="163" t="s">
        <v>83</v>
      </c>
      <c r="C367" s="750" t="s">
        <v>61</v>
      </c>
      <c r="D367" s="751" t="s">
        <v>65</v>
      </c>
      <c r="E367" s="751" t="s">
        <v>84</v>
      </c>
      <c r="F367" s="752" t="s">
        <v>64</v>
      </c>
      <c r="G367" s="149"/>
      <c r="H367" s="304">
        <f>H368+H370</f>
        <v>1177.3</v>
      </c>
      <c r="I367" s="304">
        <f>I368+I370</f>
        <v>1177.3</v>
      </c>
    </row>
    <row r="368" spans="1:9" ht="37.5">
      <c r="A368" s="290"/>
      <c r="B368" s="163" t="s">
        <v>67</v>
      </c>
      <c r="C368" s="750" t="s">
        <v>61</v>
      </c>
      <c r="D368" s="751" t="s">
        <v>65</v>
      </c>
      <c r="E368" s="751" t="s">
        <v>84</v>
      </c>
      <c r="F368" s="752" t="s">
        <v>68</v>
      </c>
      <c r="G368" s="149"/>
      <c r="H368" s="304">
        <f>H369</f>
        <v>113.2</v>
      </c>
      <c r="I368" s="304">
        <f>I369</f>
        <v>113.2</v>
      </c>
    </row>
    <row r="369" spans="1:9" ht="37.5">
      <c r="A369" s="290"/>
      <c r="B369" s="163" t="s">
        <v>75</v>
      </c>
      <c r="C369" s="750" t="s">
        <v>61</v>
      </c>
      <c r="D369" s="751" t="s">
        <v>65</v>
      </c>
      <c r="E369" s="751" t="s">
        <v>84</v>
      </c>
      <c r="F369" s="752" t="s">
        <v>68</v>
      </c>
      <c r="G369" s="149" t="s">
        <v>76</v>
      </c>
      <c r="H369" s="304">
        <f>'прил13(ведом 22-23)'!M47</f>
        <v>113.2</v>
      </c>
      <c r="I369" s="304">
        <f>'прил13(ведом 22-23)'!N47</f>
        <v>113.2</v>
      </c>
    </row>
    <row r="370" spans="1:9" ht="56.25">
      <c r="A370" s="290"/>
      <c r="B370" s="167" t="s">
        <v>478</v>
      </c>
      <c r="C370" s="750" t="s">
        <v>61</v>
      </c>
      <c r="D370" s="751" t="s">
        <v>65</v>
      </c>
      <c r="E370" s="751" t="s">
        <v>84</v>
      </c>
      <c r="F370" s="752" t="s">
        <v>477</v>
      </c>
      <c r="G370" s="149"/>
      <c r="H370" s="304">
        <f>H371+H372</f>
        <v>1064.0999999999999</v>
      </c>
      <c r="I370" s="304">
        <f>I371+I372</f>
        <v>1064.0999999999999</v>
      </c>
    </row>
    <row r="371" spans="1:9" ht="37.5">
      <c r="A371" s="290"/>
      <c r="B371" s="163" t="s">
        <v>75</v>
      </c>
      <c r="C371" s="750" t="s">
        <v>61</v>
      </c>
      <c r="D371" s="751" t="s">
        <v>65</v>
      </c>
      <c r="E371" s="751" t="s">
        <v>84</v>
      </c>
      <c r="F371" s="752" t="s">
        <v>477</v>
      </c>
      <c r="G371" s="149" t="s">
        <v>76</v>
      </c>
      <c r="H371" s="304">
        <f>'прил13(ведом 22-23)'!M69</f>
        <v>833.3</v>
      </c>
      <c r="I371" s="304">
        <f>'прил13(ведом 22-23)'!N69</f>
        <v>833.3</v>
      </c>
    </row>
    <row r="372" spans="1:9" ht="18.75">
      <c r="A372" s="290"/>
      <c r="B372" s="163" t="s">
        <v>77</v>
      </c>
      <c r="C372" s="750" t="s">
        <v>61</v>
      </c>
      <c r="D372" s="751" t="s">
        <v>65</v>
      </c>
      <c r="E372" s="751" t="s">
        <v>84</v>
      </c>
      <c r="F372" s="752" t="s">
        <v>477</v>
      </c>
      <c r="G372" s="149" t="s">
        <v>78</v>
      </c>
      <c r="H372" s="304">
        <f>'прил13(ведом 22-23)'!M70</f>
        <v>230.8</v>
      </c>
      <c r="I372" s="304">
        <f>'прил13(ведом 22-23)'!N70</f>
        <v>230.8</v>
      </c>
    </row>
    <row r="373" spans="1:9" ht="18.75">
      <c r="A373" s="290"/>
      <c r="B373" s="163" t="s">
        <v>85</v>
      </c>
      <c r="C373" s="750" t="s">
        <v>61</v>
      </c>
      <c r="D373" s="751" t="s">
        <v>65</v>
      </c>
      <c r="E373" s="751" t="s">
        <v>72</v>
      </c>
      <c r="F373" s="752" t="s">
        <v>64</v>
      </c>
      <c r="G373" s="149"/>
      <c r="H373" s="304">
        <f>H374+H376</f>
        <v>2450.2000000000003</v>
      </c>
      <c r="I373" s="304">
        <f>I374+I376</f>
        <v>2450.2000000000003</v>
      </c>
    </row>
    <row r="374" spans="1:9" ht="56.25">
      <c r="A374" s="290"/>
      <c r="B374" s="168" t="s">
        <v>429</v>
      </c>
      <c r="C374" s="750" t="s">
        <v>61</v>
      </c>
      <c r="D374" s="751" t="s">
        <v>65</v>
      </c>
      <c r="E374" s="751" t="s">
        <v>72</v>
      </c>
      <c r="F374" s="752" t="s">
        <v>126</v>
      </c>
      <c r="G374" s="149"/>
      <c r="H374" s="304">
        <f>H375</f>
        <v>475.3</v>
      </c>
      <c r="I374" s="304">
        <f>I375</f>
        <v>475.3</v>
      </c>
    </row>
    <row r="375" spans="1:9" ht="37.5">
      <c r="A375" s="290"/>
      <c r="B375" s="163" t="s">
        <v>75</v>
      </c>
      <c r="C375" s="750" t="s">
        <v>61</v>
      </c>
      <c r="D375" s="751" t="s">
        <v>65</v>
      </c>
      <c r="E375" s="751" t="s">
        <v>72</v>
      </c>
      <c r="F375" s="752" t="s">
        <v>126</v>
      </c>
      <c r="G375" s="149" t="s">
        <v>76</v>
      </c>
      <c r="H375" s="304">
        <f>'прил13(ведом 22-23)'!M73</f>
        <v>475.3</v>
      </c>
      <c r="I375" s="304">
        <f>'прил13(ведом 22-23)'!N73</f>
        <v>475.3</v>
      </c>
    </row>
    <row r="376" spans="1:9" ht="56.25">
      <c r="A376" s="290"/>
      <c r="B376" s="163" t="s">
        <v>431</v>
      </c>
      <c r="C376" s="750" t="s">
        <v>61</v>
      </c>
      <c r="D376" s="751" t="s">
        <v>65</v>
      </c>
      <c r="E376" s="751" t="s">
        <v>72</v>
      </c>
      <c r="F376" s="752" t="s">
        <v>430</v>
      </c>
      <c r="G376" s="149"/>
      <c r="H376" s="304">
        <f>'прил13(ведом 22-23)'!M74</f>
        <v>1974.9</v>
      </c>
      <c r="I376" s="304">
        <f>'прил13(ведом 22-23)'!N74</f>
        <v>1974.9</v>
      </c>
    </row>
    <row r="377" spans="1:9" ht="37.5">
      <c r="A377" s="290"/>
      <c r="B377" s="163" t="s">
        <v>75</v>
      </c>
      <c r="C377" s="750" t="s">
        <v>61</v>
      </c>
      <c r="D377" s="751" t="s">
        <v>65</v>
      </c>
      <c r="E377" s="751" t="s">
        <v>72</v>
      </c>
      <c r="F377" s="752" t="s">
        <v>430</v>
      </c>
      <c r="G377" s="149" t="s">
        <v>76</v>
      </c>
      <c r="H377" s="304">
        <f>'прил13(ведом 22-23)'!M75</f>
        <v>1974.9</v>
      </c>
      <c r="I377" s="304">
        <f>'прил13(ведом 22-23)'!N75</f>
        <v>1974.9</v>
      </c>
    </row>
    <row r="378" spans="1:9" ht="75">
      <c r="A378" s="328"/>
      <c r="B378" s="333" t="s">
        <v>351</v>
      </c>
      <c r="C378" s="179" t="s">
        <v>61</v>
      </c>
      <c r="D378" s="174" t="s">
        <v>65</v>
      </c>
      <c r="E378" s="174" t="s">
        <v>102</v>
      </c>
      <c r="F378" s="175" t="s">
        <v>64</v>
      </c>
      <c r="G378" s="173"/>
      <c r="H378" s="304">
        <f>H379</f>
        <v>5183.0000000000009</v>
      </c>
      <c r="I378" s="304">
        <f>I379</f>
        <v>5186.4000000000005</v>
      </c>
    </row>
    <row r="379" spans="1:9" ht="37.5">
      <c r="A379" s="328"/>
      <c r="B379" s="303" t="s">
        <v>795</v>
      </c>
      <c r="C379" s="179" t="s">
        <v>61</v>
      </c>
      <c r="D379" s="174" t="s">
        <v>65</v>
      </c>
      <c r="E379" s="174" t="s">
        <v>102</v>
      </c>
      <c r="F379" s="175" t="s">
        <v>112</v>
      </c>
      <c r="G379" s="173"/>
      <c r="H379" s="304">
        <f>SUM(H380:H382)</f>
        <v>5183.0000000000009</v>
      </c>
      <c r="I379" s="304">
        <f>SUM(I380:I382)</f>
        <v>5186.4000000000005</v>
      </c>
    </row>
    <row r="380" spans="1:9" ht="93.75">
      <c r="A380" s="328"/>
      <c r="B380" s="333" t="s">
        <v>69</v>
      </c>
      <c r="C380" s="179" t="s">
        <v>61</v>
      </c>
      <c r="D380" s="174" t="s">
        <v>65</v>
      </c>
      <c r="E380" s="174" t="s">
        <v>102</v>
      </c>
      <c r="F380" s="175" t="s">
        <v>112</v>
      </c>
      <c r="G380" s="173" t="s">
        <v>70</v>
      </c>
      <c r="H380" s="304">
        <f>'прил13(ведом 22-23)'!M246</f>
        <v>4729.8</v>
      </c>
      <c r="I380" s="304">
        <f>'прил13(ведом 22-23)'!N246</f>
        <v>4729.8</v>
      </c>
    </row>
    <row r="381" spans="1:9" ht="37.5">
      <c r="A381" s="328"/>
      <c r="B381" s="163" t="s">
        <v>75</v>
      </c>
      <c r="C381" s="179" t="s">
        <v>61</v>
      </c>
      <c r="D381" s="174" t="s">
        <v>65</v>
      </c>
      <c r="E381" s="174" t="s">
        <v>102</v>
      </c>
      <c r="F381" s="175" t="s">
        <v>112</v>
      </c>
      <c r="G381" s="173" t="s">
        <v>76</v>
      </c>
      <c r="H381" s="304">
        <f>'прил13(ведом 22-23)'!M247</f>
        <v>453.1</v>
      </c>
      <c r="I381" s="304">
        <f>'прил13(ведом 22-23)'!N247</f>
        <v>456.5</v>
      </c>
    </row>
    <row r="382" spans="1:9" ht="18.75">
      <c r="A382" s="328"/>
      <c r="B382" s="163" t="s">
        <v>77</v>
      </c>
      <c r="C382" s="338" t="s">
        <v>61</v>
      </c>
      <c r="D382" s="308" t="s">
        <v>65</v>
      </c>
      <c r="E382" s="308" t="s">
        <v>102</v>
      </c>
      <c r="F382" s="309" t="s">
        <v>112</v>
      </c>
      <c r="G382" s="310" t="s">
        <v>78</v>
      </c>
      <c r="H382" s="304">
        <f>'прил13(ведом 22-23)'!M248</f>
        <v>0.1</v>
      </c>
      <c r="I382" s="304">
        <f>'прил13(ведом 22-23)'!N248</f>
        <v>0.1</v>
      </c>
    </row>
    <row r="383" spans="1:9" ht="45" customHeight="1">
      <c r="A383" s="328"/>
      <c r="B383" s="167" t="s">
        <v>472</v>
      </c>
      <c r="C383" s="750" t="s">
        <v>61</v>
      </c>
      <c r="D383" s="751" t="s">
        <v>65</v>
      </c>
      <c r="E383" s="751" t="s">
        <v>100</v>
      </c>
      <c r="F383" s="752" t="s">
        <v>64</v>
      </c>
      <c r="G383" s="149"/>
      <c r="H383" s="304">
        <f>H384</f>
        <v>9.4</v>
      </c>
      <c r="I383" s="304">
        <f>I384</f>
        <v>0</v>
      </c>
    </row>
    <row r="384" spans="1:9" ht="18.75">
      <c r="A384" s="328"/>
      <c r="B384" s="167" t="s">
        <v>473</v>
      </c>
      <c r="C384" s="750" t="s">
        <v>61</v>
      </c>
      <c r="D384" s="751" t="s">
        <v>65</v>
      </c>
      <c r="E384" s="751" t="s">
        <v>100</v>
      </c>
      <c r="F384" s="752" t="s">
        <v>474</v>
      </c>
      <c r="G384" s="149"/>
      <c r="H384" s="304">
        <f>H385</f>
        <v>9.4</v>
      </c>
      <c r="I384" s="304">
        <f>I385</f>
        <v>0</v>
      </c>
    </row>
    <row r="385" spans="1:9" ht="37.5">
      <c r="A385" s="328"/>
      <c r="B385" s="167" t="s">
        <v>475</v>
      </c>
      <c r="C385" s="750" t="s">
        <v>61</v>
      </c>
      <c r="D385" s="751" t="s">
        <v>65</v>
      </c>
      <c r="E385" s="751" t="s">
        <v>100</v>
      </c>
      <c r="F385" s="752" t="s">
        <v>474</v>
      </c>
      <c r="G385" s="149" t="s">
        <v>476</v>
      </c>
      <c r="H385" s="304">
        <f>'прил13(ведом 22-23)'!M175</f>
        <v>9.4</v>
      </c>
      <c r="I385" s="304">
        <f>'прил13(ведом 22-23)'!N175</f>
        <v>0</v>
      </c>
    </row>
    <row r="386" spans="1:9" ht="37.5">
      <c r="A386" s="328"/>
      <c r="B386" s="163" t="s">
        <v>396</v>
      </c>
      <c r="C386" s="750" t="s">
        <v>61</v>
      </c>
      <c r="D386" s="751" t="s">
        <v>65</v>
      </c>
      <c r="E386" s="751" t="s">
        <v>109</v>
      </c>
      <c r="F386" s="752" t="s">
        <v>64</v>
      </c>
      <c r="G386" s="149"/>
      <c r="H386" s="304">
        <f>H387</f>
        <v>4734.2</v>
      </c>
      <c r="I386" s="304">
        <f>I387</f>
        <v>4734.2</v>
      </c>
    </row>
    <row r="387" spans="1:9" ht="37.5">
      <c r="A387" s="328"/>
      <c r="B387" s="303" t="s">
        <v>795</v>
      </c>
      <c r="C387" s="750" t="s">
        <v>61</v>
      </c>
      <c r="D387" s="751" t="s">
        <v>65</v>
      </c>
      <c r="E387" s="751" t="s">
        <v>109</v>
      </c>
      <c r="F387" s="752" t="s">
        <v>112</v>
      </c>
      <c r="G387" s="149"/>
      <c r="H387" s="304">
        <f>SUM(H388:H389)</f>
        <v>4734.2</v>
      </c>
      <c r="I387" s="304">
        <f>SUM(I388:I389)</f>
        <v>4734.2</v>
      </c>
    </row>
    <row r="388" spans="1:9" ht="93.75">
      <c r="A388" s="328"/>
      <c r="B388" s="163" t="s">
        <v>69</v>
      </c>
      <c r="C388" s="750" t="s">
        <v>61</v>
      </c>
      <c r="D388" s="751" t="s">
        <v>65</v>
      </c>
      <c r="E388" s="751" t="s">
        <v>109</v>
      </c>
      <c r="F388" s="752" t="s">
        <v>112</v>
      </c>
      <c r="G388" s="149" t="s">
        <v>70</v>
      </c>
      <c r="H388" s="304">
        <f>'прил13(ведом 22-23)'!M145</f>
        <v>4490.2</v>
      </c>
      <c r="I388" s="304">
        <f>'прил13(ведом 22-23)'!N145</f>
        <v>4490.2</v>
      </c>
    </row>
    <row r="389" spans="1:9" ht="37.5">
      <c r="A389" s="328"/>
      <c r="B389" s="163" t="s">
        <v>75</v>
      </c>
      <c r="C389" s="750" t="s">
        <v>61</v>
      </c>
      <c r="D389" s="751" t="s">
        <v>65</v>
      </c>
      <c r="E389" s="751" t="s">
        <v>109</v>
      </c>
      <c r="F389" s="752" t="s">
        <v>112</v>
      </c>
      <c r="G389" s="149" t="s">
        <v>76</v>
      </c>
      <c r="H389" s="304">
        <f>'прил13(ведом 22-23)'!M146</f>
        <v>244</v>
      </c>
      <c r="I389" s="304">
        <f>'прил13(ведом 22-23)'!N146</f>
        <v>244</v>
      </c>
    </row>
    <row r="390" spans="1:9" ht="37.5">
      <c r="A390" s="328"/>
      <c r="B390" s="163" t="s">
        <v>813</v>
      </c>
      <c r="C390" s="750" t="s">
        <v>61</v>
      </c>
      <c r="D390" s="751" t="s">
        <v>65</v>
      </c>
      <c r="E390" s="751" t="s">
        <v>585</v>
      </c>
      <c r="F390" s="752" t="s">
        <v>64</v>
      </c>
      <c r="G390" s="149"/>
      <c r="H390" s="304">
        <f>H391</f>
        <v>148</v>
      </c>
      <c r="I390" s="304">
        <f>I391</f>
        <v>148</v>
      </c>
    </row>
    <row r="391" spans="1:9" ht="37.5">
      <c r="A391" s="328"/>
      <c r="B391" s="168" t="s">
        <v>814</v>
      </c>
      <c r="C391" s="750" t="s">
        <v>61</v>
      </c>
      <c r="D391" s="751" t="s">
        <v>65</v>
      </c>
      <c r="E391" s="751" t="s">
        <v>585</v>
      </c>
      <c r="F391" s="752" t="s">
        <v>111</v>
      </c>
      <c r="G391" s="149"/>
      <c r="H391" s="304">
        <f>H392</f>
        <v>148</v>
      </c>
      <c r="I391" s="304">
        <f>I392</f>
        <v>148</v>
      </c>
    </row>
    <row r="392" spans="1:9" ht="37.5">
      <c r="A392" s="328"/>
      <c r="B392" s="163" t="s">
        <v>75</v>
      </c>
      <c r="C392" s="750" t="s">
        <v>61</v>
      </c>
      <c r="D392" s="751" t="s">
        <v>65</v>
      </c>
      <c r="E392" s="751" t="s">
        <v>585</v>
      </c>
      <c r="F392" s="752" t="s">
        <v>111</v>
      </c>
      <c r="G392" s="149" t="s">
        <v>76</v>
      </c>
      <c r="H392" s="304">
        <f>'прил13(ведом 22-23)'!M78</f>
        <v>148</v>
      </c>
      <c r="I392" s="304">
        <f>'прил13(ведом 22-23)'!N78</f>
        <v>148</v>
      </c>
    </row>
    <row r="393" spans="1:9" ht="37.5">
      <c r="A393" s="328"/>
      <c r="B393" s="163" t="s">
        <v>799</v>
      </c>
      <c r="C393" s="750" t="s">
        <v>61</v>
      </c>
      <c r="D393" s="751" t="s">
        <v>65</v>
      </c>
      <c r="E393" s="751" t="s">
        <v>61</v>
      </c>
      <c r="F393" s="752" t="s">
        <v>64</v>
      </c>
      <c r="G393" s="149"/>
      <c r="H393" s="304">
        <f>H394</f>
        <v>37.4</v>
      </c>
      <c r="I393" s="304">
        <f>I394</f>
        <v>37.4</v>
      </c>
    </row>
    <row r="394" spans="1:9" ht="18.75">
      <c r="A394" s="328"/>
      <c r="B394" s="168" t="s">
        <v>797</v>
      </c>
      <c r="C394" s="750" t="s">
        <v>61</v>
      </c>
      <c r="D394" s="751" t="s">
        <v>65</v>
      </c>
      <c r="E394" s="751" t="s">
        <v>61</v>
      </c>
      <c r="F394" s="752" t="s">
        <v>798</v>
      </c>
      <c r="G394" s="149"/>
      <c r="H394" s="304">
        <f>H395</f>
        <v>37.4</v>
      </c>
      <c r="I394" s="304">
        <f>I395</f>
        <v>37.4</v>
      </c>
    </row>
    <row r="395" spans="1:9" ht="37.5">
      <c r="A395" s="328"/>
      <c r="B395" s="163" t="s">
        <v>75</v>
      </c>
      <c r="C395" s="750" t="s">
        <v>61</v>
      </c>
      <c r="D395" s="751" t="s">
        <v>65</v>
      </c>
      <c r="E395" s="751" t="s">
        <v>61</v>
      </c>
      <c r="F395" s="752" t="s">
        <v>798</v>
      </c>
      <c r="G395" s="149" t="s">
        <v>76</v>
      </c>
      <c r="H395" s="304">
        <f>'прил13(ведом 22-23)'!M81</f>
        <v>37.4</v>
      </c>
      <c r="I395" s="304">
        <f>'прил13(ведом 22-23)'!N81</f>
        <v>37.4</v>
      </c>
    </row>
    <row r="396" spans="1:9" ht="18.75">
      <c r="A396" s="328"/>
      <c r="B396" s="333"/>
      <c r="C396" s="320"/>
      <c r="D396" s="174"/>
      <c r="E396" s="174"/>
      <c r="F396" s="175"/>
      <c r="G396" s="173"/>
      <c r="H396" s="304"/>
      <c r="I396" s="304"/>
    </row>
    <row r="397" spans="1:9" ht="37.5">
      <c r="A397" s="313">
        <v>16</v>
      </c>
      <c r="B397" s="368" t="s">
        <v>152</v>
      </c>
      <c r="C397" s="314" t="s">
        <v>153</v>
      </c>
      <c r="D397" s="314" t="s">
        <v>62</v>
      </c>
      <c r="E397" s="314" t="s">
        <v>63</v>
      </c>
      <c r="F397" s="314" t="s">
        <v>64</v>
      </c>
      <c r="G397" s="300"/>
      <c r="H397" s="301">
        <f>H398</f>
        <v>4306.6000000000004</v>
      </c>
      <c r="I397" s="301">
        <f>I398</f>
        <v>4306.7</v>
      </c>
    </row>
    <row r="398" spans="1:9" ht="37.5">
      <c r="A398" s="290"/>
      <c r="B398" s="166" t="s">
        <v>154</v>
      </c>
      <c r="C398" s="750" t="s">
        <v>153</v>
      </c>
      <c r="D398" s="751" t="s">
        <v>65</v>
      </c>
      <c r="E398" s="751" t="s">
        <v>63</v>
      </c>
      <c r="F398" s="752" t="s">
        <v>64</v>
      </c>
      <c r="G398" s="149"/>
      <c r="H398" s="304">
        <f>H399</f>
        <v>4306.6000000000004</v>
      </c>
      <c r="I398" s="304">
        <f>I399</f>
        <v>4306.7</v>
      </c>
    </row>
    <row r="399" spans="1:9" ht="37.5">
      <c r="A399" s="290"/>
      <c r="B399" s="303" t="s">
        <v>67</v>
      </c>
      <c r="C399" s="750" t="s">
        <v>153</v>
      </c>
      <c r="D399" s="751" t="s">
        <v>65</v>
      </c>
      <c r="E399" s="751" t="s">
        <v>63</v>
      </c>
      <c r="F399" s="752" t="s">
        <v>68</v>
      </c>
      <c r="G399" s="149"/>
      <c r="H399" s="304">
        <f>H400+H401+H402</f>
        <v>4306.6000000000004</v>
      </c>
      <c r="I399" s="304">
        <f>I400+I401+I402</f>
        <v>4306.7</v>
      </c>
    </row>
    <row r="400" spans="1:9" ht="93.75">
      <c r="A400" s="290"/>
      <c r="B400" s="317" t="s">
        <v>69</v>
      </c>
      <c r="C400" s="750" t="s">
        <v>153</v>
      </c>
      <c r="D400" s="751" t="s">
        <v>65</v>
      </c>
      <c r="E400" s="751" t="s">
        <v>63</v>
      </c>
      <c r="F400" s="752" t="s">
        <v>68</v>
      </c>
      <c r="G400" s="149" t="s">
        <v>70</v>
      </c>
      <c r="H400" s="304">
        <f>'прил13(ведом 22-23)'!M210</f>
        <v>4101.3</v>
      </c>
      <c r="I400" s="304">
        <f>'прил13(ведом 22-23)'!N210</f>
        <v>4101.3</v>
      </c>
    </row>
    <row r="401" spans="1:9" ht="37.5">
      <c r="A401" s="290"/>
      <c r="B401" s="163" t="s">
        <v>75</v>
      </c>
      <c r="C401" s="750" t="s">
        <v>153</v>
      </c>
      <c r="D401" s="751" t="s">
        <v>65</v>
      </c>
      <c r="E401" s="751" t="s">
        <v>63</v>
      </c>
      <c r="F401" s="752" t="s">
        <v>68</v>
      </c>
      <c r="G401" s="149" t="s">
        <v>76</v>
      </c>
      <c r="H401" s="304">
        <f>'прил13(ведом 22-23)'!M211</f>
        <v>195.3</v>
      </c>
      <c r="I401" s="304">
        <f>'прил13(ведом 22-23)'!N211</f>
        <v>195.4</v>
      </c>
    </row>
    <row r="402" spans="1:9" ht="18.75">
      <c r="A402" s="290"/>
      <c r="B402" s="163" t="s">
        <v>77</v>
      </c>
      <c r="C402" s="750" t="s">
        <v>153</v>
      </c>
      <c r="D402" s="751" t="s">
        <v>65</v>
      </c>
      <c r="E402" s="751" t="s">
        <v>63</v>
      </c>
      <c r="F402" s="752" t="s">
        <v>68</v>
      </c>
      <c r="G402" s="149" t="s">
        <v>78</v>
      </c>
      <c r="H402" s="304">
        <f>'прил13(ведом 22-23)'!M212</f>
        <v>10</v>
      </c>
      <c r="I402" s="304">
        <f>'прил13(ведом 22-23)'!N212</f>
        <v>10</v>
      </c>
    </row>
    <row r="403" spans="1:9" ht="18.75">
      <c r="A403" s="290"/>
      <c r="B403" s="312"/>
      <c r="C403" s="745"/>
      <c r="D403" s="745"/>
      <c r="E403" s="745"/>
      <c r="F403" s="745"/>
      <c r="G403" s="288"/>
      <c r="H403" s="304"/>
      <c r="I403" s="304"/>
    </row>
    <row r="404" spans="1:9" s="302" customFormat="1" ht="56.25">
      <c r="A404" s="313">
        <v>17</v>
      </c>
      <c r="B404" s="368" t="s">
        <v>755</v>
      </c>
      <c r="C404" s="314" t="s">
        <v>89</v>
      </c>
      <c r="D404" s="314" t="s">
        <v>62</v>
      </c>
      <c r="E404" s="314" t="s">
        <v>63</v>
      </c>
      <c r="F404" s="314" t="s">
        <v>64</v>
      </c>
      <c r="G404" s="300"/>
      <c r="H404" s="301">
        <f t="shared" ref="H404:I406" si="12">H405</f>
        <v>5000</v>
      </c>
      <c r="I404" s="301">
        <f t="shared" si="12"/>
        <v>5000</v>
      </c>
    </row>
    <row r="405" spans="1:9" ht="18.75">
      <c r="A405" s="290"/>
      <c r="B405" s="317" t="s">
        <v>751</v>
      </c>
      <c r="C405" s="750" t="s">
        <v>89</v>
      </c>
      <c r="D405" s="751" t="s">
        <v>65</v>
      </c>
      <c r="E405" s="751" t="s">
        <v>63</v>
      </c>
      <c r="F405" s="752" t="s">
        <v>64</v>
      </c>
      <c r="G405" s="149"/>
      <c r="H405" s="304">
        <f>H406</f>
        <v>5000</v>
      </c>
      <c r="I405" s="304">
        <f>I406</f>
        <v>5000</v>
      </c>
    </row>
    <row r="406" spans="1:9" ht="37.5">
      <c r="A406" s="290"/>
      <c r="B406" s="303" t="s">
        <v>749</v>
      </c>
      <c r="C406" s="750" t="s">
        <v>89</v>
      </c>
      <c r="D406" s="751" t="s">
        <v>65</v>
      </c>
      <c r="E406" s="751" t="s">
        <v>63</v>
      </c>
      <c r="F406" s="752" t="s">
        <v>90</v>
      </c>
      <c r="G406" s="149"/>
      <c r="H406" s="304">
        <f t="shared" si="12"/>
        <v>5000</v>
      </c>
      <c r="I406" s="304">
        <f t="shared" si="12"/>
        <v>5000</v>
      </c>
    </row>
    <row r="407" spans="1:9" ht="18.75">
      <c r="A407" s="290"/>
      <c r="B407" s="303" t="s">
        <v>77</v>
      </c>
      <c r="C407" s="750" t="s">
        <v>89</v>
      </c>
      <c r="D407" s="751" t="s">
        <v>65</v>
      </c>
      <c r="E407" s="751" t="s">
        <v>63</v>
      </c>
      <c r="F407" s="752" t="s">
        <v>90</v>
      </c>
      <c r="G407" s="149" t="s">
        <v>78</v>
      </c>
      <c r="H407" s="304">
        <f>'прил13(ведом 22-23)'!M58</f>
        <v>5000</v>
      </c>
      <c r="I407" s="304">
        <f>'прил13(ведом 22-23)'!N58</f>
        <v>5000</v>
      </c>
    </row>
    <row r="408" spans="1:9" ht="18.75">
      <c r="A408" s="290"/>
      <c r="B408" s="303"/>
      <c r="C408" s="750"/>
      <c r="D408" s="751"/>
      <c r="E408" s="751"/>
      <c r="F408" s="752"/>
      <c r="G408" s="149"/>
      <c r="H408" s="304"/>
      <c r="I408" s="304"/>
    </row>
    <row r="409" spans="1:9" s="302" customFormat="1" ht="18.75">
      <c r="A409" s="390">
        <v>18</v>
      </c>
      <c r="B409" s="432" t="s">
        <v>445</v>
      </c>
      <c r="C409" s="160"/>
      <c r="D409" s="161"/>
      <c r="E409" s="161"/>
      <c r="F409" s="162"/>
      <c r="G409" s="159"/>
      <c r="H409" s="301">
        <f>H410</f>
        <v>27047.8</v>
      </c>
      <c r="I409" s="301">
        <f>I410</f>
        <v>60960.7</v>
      </c>
    </row>
    <row r="410" spans="1:9" ht="18.75">
      <c r="A410" s="150"/>
      <c r="B410" s="433" t="s">
        <v>445</v>
      </c>
      <c r="C410" s="750"/>
      <c r="D410" s="751"/>
      <c r="E410" s="751"/>
      <c r="F410" s="752"/>
      <c r="G410" s="149"/>
      <c r="H410" s="483">
        <f>'прил13(ведом 22-23)'!M566</f>
        <v>27047.8</v>
      </c>
      <c r="I410" s="483">
        <f>'прил13(ведом 22-23)'!N566</f>
        <v>60960.7</v>
      </c>
    </row>
    <row r="411" spans="1:9" ht="18.75">
      <c r="A411" s="477"/>
      <c r="B411" s="527"/>
      <c r="C411" s="371"/>
      <c r="D411" s="371"/>
      <c r="E411" s="371"/>
      <c r="F411" s="371"/>
      <c r="G411" s="371"/>
      <c r="H411" s="528"/>
      <c r="I411" s="528"/>
    </row>
    <row r="412" spans="1:9" ht="18.75">
      <c r="A412" s="477"/>
      <c r="B412" s="527"/>
      <c r="C412" s="371"/>
      <c r="D412" s="371"/>
      <c r="E412" s="371"/>
      <c r="F412" s="371"/>
      <c r="G412" s="371"/>
      <c r="H412" s="528"/>
      <c r="I412" s="528"/>
    </row>
    <row r="413" spans="1:9" ht="18.75">
      <c r="A413" s="281"/>
      <c r="B413" s="282"/>
      <c r="C413" s="283"/>
      <c r="D413" s="283"/>
      <c r="E413" s="283"/>
      <c r="F413" s="283"/>
      <c r="G413" s="373"/>
    </row>
    <row r="414" spans="1:9" ht="18.75">
      <c r="A414" s="374" t="s">
        <v>467</v>
      </c>
      <c r="B414" s="282"/>
      <c r="C414" s="283"/>
      <c r="D414" s="283"/>
      <c r="E414" s="283"/>
      <c r="F414" s="283"/>
      <c r="G414" s="373"/>
    </row>
    <row r="415" spans="1:9" ht="18.75">
      <c r="A415" s="374" t="s">
        <v>468</v>
      </c>
      <c r="B415" s="282"/>
      <c r="C415" s="283"/>
      <c r="D415" s="283"/>
      <c r="E415" s="283"/>
      <c r="F415" s="283"/>
      <c r="G415" s="373"/>
    </row>
    <row r="416" spans="1:9" ht="18.75">
      <c r="A416" s="375" t="s">
        <v>469</v>
      </c>
      <c r="B416" s="282"/>
      <c r="C416" s="279"/>
      <c r="D416" s="283"/>
      <c r="E416" s="283"/>
      <c r="F416" s="283"/>
      <c r="G416" s="279"/>
      <c r="H416" s="279"/>
      <c r="I416" s="376" t="s">
        <v>494</v>
      </c>
    </row>
    <row r="417" spans="1:9">
      <c r="A417" s="281"/>
      <c r="B417" s="282"/>
      <c r="C417" s="283"/>
      <c r="D417" s="283"/>
      <c r="E417" s="283"/>
      <c r="F417" s="283"/>
    </row>
    <row r="418" spans="1:9">
      <c r="A418" s="281"/>
      <c r="B418" s="282"/>
      <c r="C418" s="283"/>
      <c r="D418" s="283"/>
      <c r="E418" s="283"/>
      <c r="F418" s="283"/>
    </row>
    <row r="419" spans="1:9">
      <c r="A419" s="281"/>
      <c r="B419" s="282"/>
      <c r="C419" s="283"/>
      <c r="D419" s="283"/>
      <c r="E419" s="283"/>
      <c r="F419" s="283"/>
    </row>
    <row r="420" spans="1:9" ht="18.75">
      <c r="A420" s="281"/>
      <c r="B420" s="282"/>
      <c r="C420" s="283"/>
      <c r="D420" s="283"/>
      <c r="E420" s="283"/>
      <c r="F420" s="283"/>
      <c r="G420" s="373"/>
    </row>
    <row r="421" spans="1:9">
      <c r="B421" s="275" t="s">
        <v>259</v>
      </c>
      <c r="H421" s="280">
        <f>H343+H313+H304+H256+H232+H215+H189+H166+H139+H99+H15+H292+H337+H319+H329</f>
        <v>1535512.9</v>
      </c>
      <c r="I421" s="280">
        <f>I343+I313+I304+I256+I232+I215+I189+I166+I139+I99+I15+I292+I337+I319+I329</f>
        <v>1441867.0999999999</v>
      </c>
    </row>
    <row r="423" spans="1:9">
      <c r="H423" s="280">
        <f>(H421/H14)*100</f>
        <v>97.687183899047952</v>
      </c>
      <c r="I423" s="280">
        <f>(I421/I14)*100</f>
        <v>95.353098550426552</v>
      </c>
    </row>
    <row r="424" spans="1:9">
      <c r="H424" s="280"/>
      <c r="I424" s="280"/>
    </row>
    <row r="425" spans="1:9">
      <c r="B425" s="275" t="s">
        <v>260</v>
      </c>
      <c r="H425" s="280">
        <f>H404+H397</f>
        <v>9306.6</v>
      </c>
      <c r="I425" s="280">
        <f>I404+I397</f>
        <v>9306.7000000000007</v>
      </c>
    </row>
    <row r="426" spans="1:9">
      <c r="H426" s="280">
        <f>(H425/H430)*100</f>
        <v>0.59207288045244022</v>
      </c>
      <c r="I426" s="280">
        <f>(I425/I430)*100</f>
        <v>0.61546773782358666</v>
      </c>
    </row>
    <row r="427" spans="1:9">
      <c r="H427" s="280"/>
      <c r="I427" s="280"/>
    </row>
    <row r="428" spans="1:9">
      <c r="B428" s="275" t="s">
        <v>447</v>
      </c>
      <c r="H428" s="280">
        <f>H409</f>
        <v>27047.8</v>
      </c>
      <c r="I428" s="280">
        <f>I409</f>
        <v>60960.7</v>
      </c>
    </row>
    <row r="429" spans="1:9">
      <c r="H429" s="280">
        <f>(H428/H430)*100</f>
        <v>1.7207432204995927</v>
      </c>
      <c r="I429" s="280">
        <f>(I428/I430)*100</f>
        <v>4.0314337117498482</v>
      </c>
    </row>
    <row r="430" spans="1:9">
      <c r="B430" s="275" t="s">
        <v>224</v>
      </c>
      <c r="H430" s="280">
        <f>H425+H421+H428</f>
        <v>1571867.3</v>
      </c>
      <c r="I430" s="280">
        <f>I425+I421+I428</f>
        <v>1512134.4999999998</v>
      </c>
    </row>
  </sheetData>
  <autoFilter ref="A4:L430"/>
  <mergeCells count="7">
    <mergeCell ref="A8:I8"/>
    <mergeCell ref="C13:F13"/>
    <mergeCell ref="H11:I11"/>
    <mergeCell ref="A11:A12"/>
    <mergeCell ref="B11:B12"/>
    <mergeCell ref="C11:F12"/>
    <mergeCell ref="G11:G12"/>
  </mergeCells>
  <printOptions horizontalCentered="1"/>
  <pageMargins left="1.1811023622047245" right="0.39370078740157483" top="0.78740157480314965" bottom="0.78740157480314965" header="0" footer="0"/>
  <pageSetup paperSize="9" scale="70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autoPageBreaks="0" fitToPage="1"/>
  </sheetPr>
  <dimension ref="A1:Y842"/>
  <sheetViews>
    <sheetView zoomScale="80" zoomScaleNormal="80" workbookViewId="0">
      <selection activeCell="M2" sqref="M2"/>
    </sheetView>
  </sheetViews>
  <sheetFormatPr defaultColWidth="8.85546875" defaultRowHeight="15"/>
  <cols>
    <col min="1" max="1" width="4.7109375" style="140" customWidth="1"/>
    <col min="2" max="2" width="54.42578125" style="140" customWidth="1"/>
    <col min="3" max="3" width="10" style="140" customWidth="1"/>
    <col min="4" max="4" width="3.7109375" style="140" customWidth="1"/>
    <col min="5" max="5" width="4" style="140" customWidth="1"/>
    <col min="6" max="6" width="3.28515625" style="140" customWidth="1"/>
    <col min="7" max="7" width="2.42578125" style="140" customWidth="1"/>
    <col min="8" max="8" width="2.7109375" style="140" customWidth="1"/>
    <col min="9" max="9" width="7.7109375" style="140" customWidth="1"/>
    <col min="10" max="10" width="5" style="140" customWidth="1"/>
    <col min="11" max="11" width="14.7109375" style="140" hidden="1" customWidth="1"/>
    <col min="12" max="12" width="14.85546875" style="140" customWidth="1"/>
    <col min="13" max="13" width="15.7109375" style="182" customWidth="1"/>
    <col min="14" max="14" width="10.140625" style="140" customWidth="1"/>
    <col min="15" max="16384" width="8.85546875" style="140"/>
  </cols>
  <sheetData>
    <row r="1" spans="1:14" s="193" customFormat="1" ht="18.75">
      <c r="K1" s="709"/>
      <c r="L1" s="708"/>
      <c r="M1" s="806" t="s">
        <v>540</v>
      </c>
    </row>
    <row r="2" spans="1:14" s="193" customFormat="1" ht="18.75" customHeight="1">
      <c r="K2" s="709"/>
      <c r="L2" s="708"/>
      <c r="M2" s="806" t="s">
        <v>1028</v>
      </c>
    </row>
    <row r="4" spans="1:14" ht="18.75">
      <c r="M4" s="444" t="s">
        <v>570</v>
      </c>
    </row>
    <row r="5" spans="1:14" ht="18.75" customHeight="1">
      <c r="M5" s="807" t="s">
        <v>917</v>
      </c>
    </row>
    <row r="6" spans="1:14" ht="15" customHeight="1"/>
    <row r="7" spans="1:14" ht="15" customHeight="1"/>
    <row r="8" spans="1:14" ht="18.75" customHeight="1">
      <c r="A8" s="959" t="s">
        <v>770</v>
      </c>
      <c r="B8" s="959"/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</row>
    <row r="9" spans="1:14" ht="18.75" customHeight="1">
      <c r="A9" s="743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</row>
    <row r="10" spans="1:14" ht="18.75" customHeight="1">
      <c r="A10" s="141"/>
      <c r="B10" s="142"/>
      <c r="C10" s="143"/>
      <c r="D10" s="143"/>
      <c r="E10" s="143"/>
      <c r="F10" s="143"/>
      <c r="G10" s="141"/>
      <c r="H10" s="144"/>
      <c r="I10" s="145"/>
      <c r="J10" s="146"/>
      <c r="K10" s="146"/>
      <c r="L10" s="146"/>
      <c r="M10" s="183" t="s">
        <v>42</v>
      </c>
    </row>
    <row r="11" spans="1:14" ht="31.15" customHeight="1">
      <c r="A11" s="972" t="s">
        <v>43</v>
      </c>
      <c r="B11" s="974" t="s">
        <v>44</v>
      </c>
      <c r="C11" s="976" t="s">
        <v>45</v>
      </c>
      <c r="D11" s="976" t="s">
        <v>46</v>
      </c>
      <c r="E11" s="976" t="s">
        <v>47</v>
      </c>
      <c r="F11" s="978" t="s">
        <v>48</v>
      </c>
      <c r="G11" s="979"/>
      <c r="H11" s="979"/>
      <c r="I11" s="980"/>
      <c r="J11" s="976" t="s">
        <v>49</v>
      </c>
      <c r="K11" s="984" t="s">
        <v>918</v>
      </c>
      <c r="L11" s="986" t="s">
        <v>553</v>
      </c>
      <c r="M11" s="987"/>
    </row>
    <row r="12" spans="1:14" ht="37.9" customHeight="1">
      <c r="A12" s="973"/>
      <c r="B12" s="975"/>
      <c r="C12" s="977"/>
      <c r="D12" s="977"/>
      <c r="E12" s="977"/>
      <c r="F12" s="981"/>
      <c r="G12" s="982"/>
      <c r="H12" s="982"/>
      <c r="I12" s="983"/>
      <c r="J12" s="977"/>
      <c r="K12" s="985"/>
      <c r="L12" s="689" t="s">
        <v>919</v>
      </c>
      <c r="M12" s="808" t="s">
        <v>920</v>
      </c>
    </row>
    <row r="13" spans="1:14" ht="18.75" customHeight="1">
      <c r="A13" s="147">
        <v>1</v>
      </c>
      <c r="B13" s="148">
        <v>2</v>
      </c>
      <c r="C13" s="149" t="s">
        <v>50</v>
      </c>
      <c r="D13" s="149" t="s">
        <v>51</v>
      </c>
      <c r="E13" s="149" t="s">
        <v>52</v>
      </c>
      <c r="F13" s="969" t="s">
        <v>53</v>
      </c>
      <c r="G13" s="970"/>
      <c r="H13" s="970"/>
      <c r="I13" s="971"/>
      <c r="J13" s="149" t="s">
        <v>54</v>
      </c>
      <c r="K13" s="690"/>
      <c r="L13" s="149" t="s">
        <v>877</v>
      </c>
      <c r="M13" s="184">
        <v>9</v>
      </c>
    </row>
    <row r="14" spans="1:14" ht="18.75" customHeight="1">
      <c r="A14" s="150">
        <v>1</v>
      </c>
      <c r="B14" s="151" t="s">
        <v>224</v>
      </c>
      <c r="C14" s="152"/>
      <c r="D14" s="153"/>
      <c r="E14" s="153"/>
      <c r="F14" s="154"/>
      <c r="G14" s="155"/>
      <c r="H14" s="155"/>
      <c r="I14" s="156"/>
      <c r="J14" s="153"/>
      <c r="K14" s="837" t="e">
        <f>K15+K229+K265+K277+K527+K603+K652+K686+K369</f>
        <v>#REF!</v>
      </c>
      <c r="L14" s="377">
        <f>L15+L229+L265+L277+L527+L603+L652+L686+L369</f>
        <v>45225.7</v>
      </c>
      <c r="M14" s="711">
        <f>M15+M229+M265+M277+M527+M603+M652+M686+M369</f>
        <v>1639630.09</v>
      </c>
      <c r="N14" s="570"/>
    </row>
    <row r="15" spans="1:14" s="395" customFormat="1" ht="37.5" customHeight="1">
      <c r="A15" s="390">
        <v>1</v>
      </c>
      <c r="B15" s="157" t="s">
        <v>1</v>
      </c>
      <c r="C15" s="158" t="s">
        <v>3</v>
      </c>
      <c r="D15" s="159"/>
      <c r="E15" s="159"/>
      <c r="F15" s="160"/>
      <c r="G15" s="161"/>
      <c r="H15" s="161"/>
      <c r="I15" s="162"/>
      <c r="J15" s="159"/>
      <c r="K15" s="691" t="e">
        <f>K16+K89+K126+K167+K174+K196+K203</f>
        <v>#REF!</v>
      </c>
      <c r="L15" s="188">
        <f>L16+L89+L126+L167+L174+L196+L203</f>
        <v>3257.4000000000005</v>
      </c>
      <c r="M15" s="188">
        <f>M16+M89+M126+M167+M174+M196+M203</f>
        <v>143985.71400000004</v>
      </c>
    </row>
    <row r="16" spans="1:14" s="396" customFormat="1" ht="18.75" customHeight="1">
      <c r="A16" s="150"/>
      <c r="B16" s="163" t="s">
        <v>56</v>
      </c>
      <c r="C16" s="164" t="s">
        <v>3</v>
      </c>
      <c r="D16" s="149" t="s">
        <v>57</v>
      </c>
      <c r="E16" s="149"/>
      <c r="F16" s="750"/>
      <c r="G16" s="751"/>
      <c r="H16" s="751"/>
      <c r="I16" s="752"/>
      <c r="J16" s="149"/>
      <c r="K16" s="692">
        <f>K17+K23+K52+K57+K46</f>
        <v>89064.619000000006</v>
      </c>
      <c r="L16" s="165">
        <f>L17+L23+L52+L57+L46</f>
        <v>495.13400000000115</v>
      </c>
      <c r="M16" s="165">
        <f>M17+M23+M52+M57+M46</f>
        <v>89559.752999999997</v>
      </c>
    </row>
    <row r="17" spans="1:15" s="391" customFormat="1" ht="56.25" customHeight="1">
      <c r="A17" s="150"/>
      <c r="B17" s="163" t="s">
        <v>58</v>
      </c>
      <c r="C17" s="164" t="s">
        <v>3</v>
      </c>
      <c r="D17" s="149" t="s">
        <v>57</v>
      </c>
      <c r="E17" s="149" t="s">
        <v>59</v>
      </c>
      <c r="F17" s="750"/>
      <c r="G17" s="751"/>
      <c r="H17" s="751"/>
      <c r="I17" s="752"/>
      <c r="J17" s="149"/>
      <c r="K17" s="692">
        <f t="shared" ref="K17:M21" si="0">K18</f>
        <v>2067.1</v>
      </c>
      <c r="L17" s="165">
        <f t="shared" si="0"/>
        <v>0</v>
      </c>
      <c r="M17" s="165">
        <f t="shared" si="0"/>
        <v>2067.1</v>
      </c>
      <c r="O17" s="391" t="s">
        <v>745</v>
      </c>
    </row>
    <row r="18" spans="1:15" s="391" customFormat="1" ht="59.25" customHeight="1">
      <c r="A18" s="150"/>
      <c r="B18" s="163" t="s">
        <v>60</v>
      </c>
      <c r="C18" s="164" t="s">
        <v>3</v>
      </c>
      <c r="D18" s="149" t="s">
        <v>57</v>
      </c>
      <c r="E18" s="149" t="s">
        <v>59</v>
      </c>
      <c r="F18" s="750" t="s">
        <v>61</v>
      </c>
      <c r="G18" s="751" t="s">
        <v>62</v>
      </c>
      <c r="H18" s="751" t="s">
        <v>63</v>
      </c>
      <c r="I18" s="752" t="s">
        <v>64</v>
      </c>
      <c r="J18" s="149"/>
      <c r="K18" s="692">
        <f t="shared" si="0"/>
        <v>2067.1</v>
      </c>
      <c r="L18" s="165">
        <f t="shared" si="0"/>
        <v>0</v>
      </c>
      <c r="M18" s="165">
        <f t="shared" si="0"/>
        <v>2067.1</v>
      </c>
    </row>
    <row r="19" spans="1:15" s="391" customFormat="1" ht="37.5" customHeight="1">
      <c r="A19" s="150"/>
      <c r="B19" s="163" t="s">
        <v>404</v>
      </c>
      <c r="C19" s="164" t="s">
        <v>3</v>
      </c>
      <c r="D19" s="149" t="s">
        <v>57</v>
      </c>
      <c r="E19" s="149" t="s">
        <v>59</v>
      </c>
      <c r="F19" s="750" t="s">
        <v>61</v>
      </c>
      <c r="G19" s="751" t="s">
        <v>65</v>
      </c>
      <c r="H19" s="751" t="s">
        <v>63</v>
      </c>
      <c r="I19" s="752" t="s">
        <v>64</v>
      </c>
      <c r="J19" s="149"/>
      <c r="K19" s="692">
        <f t="shared" si="0"/>
        <v>2067.1</v>
      </c>
      <c r="L19" s="165">
        <f t="shared" si="0"/>
        <v>0</v>
      </c>
      <c r="M19" s="165">
        <f t="shared" si="0"/>
        <v>2067.1</v>
      </c>
    </row>
    <row r="20" spans="1:15" s="391" customFormat="1" ht="56.25" customHeight="1">
      <c r="A20" s="150"/>
      <c r="B20" s="163" t="s">
        <v>66</v>
      </c>
      <c r="C20" s="164" t="s">
        <v>3</v>
      </c>
      <c r="D20" s="149" t="s">
        <v>57</v>
      </c>
      <c r="E20" s="149" t="s">
        <v>59</v>
      </c>
      <c r="F20" s="750" t="s">
        <v>61</v>
      </c>
      <c r="G20" s="751" t="s">
        <v>65</v>
      </c>
      <c r="H20" s="751" t="s">
        <v>57</v>
      </c>
      <c r="I20" s="752" t="s">
        <v>64</v>
      </c>
      <c r="J20" s="149"/>
      <c r="K20" s="692">
        <f t="shared" si="0"/>
        <v>2067.1</v>
      </c>
      <c r="L20" s="165">
        <f t="shared" si="0"/>
        <v>0</v>
      </c>
      <c r="M20" s="165">
        <f t="shared" si="0"/>
        <v>2067.1</v>
      </c>
    </row>
    <row r="21" spans="1:15" s="391" customFormat="1" ht="37.5" customHeight="1">
      <c r="A21" s="150"/>
      <c r="B21" s="163" t="s">
        <v>67</v>
      </c>
      <c r="C21" s="164" t="s">
        <v>3</v>
      </c>
      <c r="D21" s="149" t="s">
        <v>57</v>
      </c>
      <c r="E21" s="149" t="s">
        <v>59</v>
      </c>
      <c r="F21" s="750" t="s">
        <v>61</v>
      </c>
      <c r="G21" s="751" t="s">
        <v>65</v>
      </c>
      <c r="H21" s="751" t="s">
        <v>57</v>
      </c>
      <c r="I21" s="752" t="s">
        <v>68</v>
      </c>
      <c r="J21" s="149"/>
      <c r="K21" s="692">
        <f>K22</f>
        <v>2067.1</v>
      </c>
      <c r="L21" s="165">
        <f t="shared" si="0"/>
        <v>0</v>
      </c>
      <c r="M21" s="165">
        <f>M22</f>
        <v>2067.1</v>
      </c>
    </row>
    <row r="22" spans="1:15" s="391" customFormat="1" ht="112.5" customHeight="1">
      <c r="A22" s="150"/>
      <c r="B22" s="163" t="s">
        <v>69</v>
      </c>
      <c r="C22" s="164" t="s">
        <v>3</v>
      </c>
      <c r="D22" s="149" t="s">
        <v>57</v>
      </c>
      <c r="E22" s="149" t="s">
        <v>59</v>
      </c>
      <c r="F22" s="750" t="s">
        <v>61</v>
      </c>
      <c r="G22" s="751" t="s">
        <v>65</v>
      </c>
      <c r="H22" s="751" t="s">
        <v>57</v>
      </c>
      <c r="I22" s="752" t="s">
        <v>68</v>
      </c>
      <c r="J22" s="149" t="s">
        <v>70</v>
      </c>
      <c r="K22" s="692">
        <v>2067.1</v>
      </c>
      <c r="L22" s="165">
        <f>M22-K22</f>
        <v>0</v>
      </c>
      <c r="M22" s="165">
        <v>2067.1</v>
      </c>
    </row>
    <row r="23" spans="1:15" s="396" customFormat="1" ht="75.75" customHeight="1">
      <c r="A23" s="150"/>
      <c r="B23" s="163" t="s">
        <v>71</v>
      </c>
      <c r="C23" s="164" t="s">
        <v>3</v>
      </c>
      <c r="D23" s="149" t="s">
        <v>57</v>
      </c>
      <c r="E23" s="149" t="s">
        <v>72</v>
      </c>
      <c r="F23" s="750"/>
      <c r="G23" s="751"/>
      <c r="H23" s="751"/>
      <c r="I23" s="752"/>
      <c r="J23" s="149"/>
      <c r="K23" s="692">
        <f t="shared" ref="K23:M24" si="1">K24</f>
        <v>71364.330999999991</v>
      </c>
      <c r="L23" s="165">
        <f t="shared" si="1"/>
        <v>1800.0000000000011</v>
      </c>
      <c r="M23" s="165">
        <f t="shared" si="1"/>
        <v>73164.330999999991</v>
      </c>
    </row>
    <row r="24" spans="1:15" s="396" customFormat="1" ht="60" customHeight="1">
      <c r="A24" s="150"/>
      <c r="B24" s="163" t="s">
        <v>73</v>
      </c>
      <c r="C24" s="164" t="s">
        <v>3</v>
      </c>
      <c r="D24" s="149" t="s">
        <v>57</v>
      </c>
      <c r="E24" s="149" t="s">
        <v>72</v>
      </c>
      <c r="F24" s="750" t="s">
        <v>61</v>
      </c>
      <c r="G24" s="751" t="s">
        <v>62</v>
      </c>
      <c r="H24" s="751" t="s">
        <v>63</v>
      </c>
      <c r="I24" s="752" t="s">
        <v>64</v>
      </c>
      <c r="J24" s="149"/>
      <c r="K24" s="692">
        <f t="shared" si="1"/>
        <v>71364.330999999991</v>
      </c>
      <c r="L24" s="165">
        <f t="shared" si="1"/>
        <v>1800.0000000000011</v>
      </c>
      <c r="M24" s="165">
        <f t="shared" si="1"/>
        <v>73164.330999999991</v>
      </c>
    </row>
    <row r="25" spans="1:15" s="146" customFormat="1" ht="37.5" customHeight="1">
      <c r="A25" s="150"/>
      <c r="B25" s="163" t="s">
        <v>404</v>
      </c>
      <c r="C25" s="164" t="s">
        <v>3</v>
      </c>
      <c r="D25" s="149" t="s">
        <v>57</v>
      </c>
      <c r="E25" s="149" t="s">
        <v>72</v>
      </c>
      <c r="F25" s="750" t="s">
        <v>61</v>
      </c>
      <c r="G25" s="751" t="s">
        <v>65</v>
      </c>
      <c r="H25" s="751" t="s">
        <v>63</v>
      </c>
      <c r="I25" s="752" t="s">
        <v>64</v>
      </c>
      <c r="J25" s="149"/>
      <c r="K25" s="692">
        <f>K26+K43</f>
        <v>71364.330999999991</v>
      </c>
      <c r="L25" s="165">
        <f>L26+L43</f>
        <v>1800.0000000000011</v>
      </c>
      <c r="M25" s="165">
        <f>M26+M43</f>
        <v>73164.330999999991</v>
      </c>
    </row>
    <row r="26" spans="1:15" s="146" customFormat="1" ht="37.5" customHeight="1">
      <c r="A26" s="150"/>
      <c r="B26" s="163" t="s">
        <v>74</v>
      </c>
      <c r="C26" s="164" t="s">
        <v>3</v>
      </c>
      <c r="D26" s="149" t="s">
        <v>57</v>
      </c>
      <c r="E26" s="149" t="s">
        <v>72</v>
      </c>
      <c r="F26" s="750" t="s">
        <v>61</v>
      </c>
      <c r="G26" s="751" t="s">
        <v>65</v>
      </c>
      <c r="H26" s="751" t="s">
        <v>59</v>
      </c>
      <c r="I26" s="752" t="s">
        <v>64</v>
      </c>
      <c r="J26" s="149"/>
      <c r="K26" s="692">
        <f>K27+K33+K35+K38+K31+K41</f>
        <v>71251.130999999994</v>
      </c>
      <c r="L26" s="165">
        <f>L27+L33+L35+L38+L31+L41</f>
        <v>1783.8000000000011</v>
      </c>
      <c r="M26" s="165">
        <f>M27+M33+M35+M38+M31+M41</f>
        <v>73034.930999999997</v>
      </c>
    </row>
    <row r="27" spans="1:15" s="391" customFormat="1" ht="37.5" customHeight="1">
      <c r="A27" s="150"/>
      <c r="B27" s="163" t="s">
        <v>67</v>
      </c>
      <c r="C27" s="164" t="s">
        <v>3</v>
      </c>
      <c r="D27" s="149" t="s">
        <v>57</v>
      </c>
      <c r="E27" s="149" t="s">
        <v>72</v>
      </c>
      <c r="F27" s="750" t="s">
        <v>61</v>
      </c>
      <c r="G27" s="751" t="s">
        <v>65</v>
      </c>
      <c r="H27" s="751" t="s">
        <v>59</v>
      </c>
      <c r="I27" s="752" t="s">
        <v>68</v>
      </c>
      <c r="J27" s="149"/>
      <c r="K27" s="692">
        <f>K28+K29+K30</f>
        <v>66404.330999999991</v>
      </c>
      <c r="L27" s="165">
        <f>L28+L29+L30</f>
        <v>1783.8000000000011</v>
      </c>
      <c r="M27" s="165">
        <f>M28+M29+M30</f>
        <v>68188.130999999994</v>
      </c>
    </row>
    <row r="28" spans="1:15" s="391" customFormat="1" ht="112.5" customHeight="1">
      <c r="A28" s="150"/>
      <c r="B28" s="163" t="s">
        <v>69</v>
      </c>
      <c r="C28" s="164" t="s">
        <v>3</v>
      </c>
      <c r="D28" s="149" t="s">
        <v>57</v>
      </c>
      <c r="E28" s="149" t="s">
        <v>72</v>
      </c>
      <c r="F28" s="750" t="s">
        <v>61</v>
      </c>
      <c r="G28" s="751" t="s">
        <v>65</v>
      </c>
      <c r="H28" s="751" t="s">
        <v>59</v>
      </c>
      <c r="I28" s="752" t="s">
        <v>68</v>
      </c>
      <c r="J28" s="149" t="s">
        <v>70</v>
      </c>
      <c r="K28" s="692">
        <v>59795.8</v>
      </c>
      <c r="L28" s="881">
        <f>M28-K28</f>
        <v>30</v>
      </c>
      <c r="M28" s="741">
        <f>59795.8+30</f>
        <v>59825.8</v>
      </c>
      <c r="N28" s="396"/>
    </row>
    <row r="29" spans="1:15" s="146" customFormat="1" ht="56.25" customHeight="1">
      <c r="A29" s="150"/>
      <c r="B29" s="163" t="s">
        <v>75</v>
      </c>
      <c r="C29" s="164" t="s">
        <v>3</v>
      </c>
      <c r="D29" s="149" t="s">
        <v>57</v>
      </c>
      <c r="E29" s="149" t="s">
        <v>72</v>
      </c>
      <c r="F29" s="750" t="s">
        <v>61</v>
      </c>
      <c r="G29" s="751" t="s">
        <v>65</v>
      </c>
      <c r="H29" s="751" t="s">
        <v>59</v>
      </c>
      <c r="I29" s="752" t="s">
        <v>68</v>
      </c>
      <c r="J29" s="149" t="s">
        <v>76</v>
      </c>
      <c r="K29" s="692">
        <f>5981.4+45.331+56.7-50+48.8+50+204.4+180</f>
        <v>6516.6309999999994</v>
      </c>
      <c r="L29" s="165">
        <f>M29-K29</f>
        <v>1753.8000000000011</v>
      </c>
      <c r="M29" s="741">
        <f>5981.4+45.331+56.7-50+48.8+50+204.4+180-46.2-200+2000</f>
        <v>8270.4310000000005</v>
      </c>
    </row>
    <row r="30" spans="1:15" s="391" customFormat="1" ht="18.75" customHeight="1">
      <c r="A30" s="150"/>
      <c r="B30" s="163" t="s">
        <v>77</v>
      </c>
      <c r="C30" s="164" t="s">
        <v>3</v>
      </c>
      <c r="D30" s="149" t="s">
        <v>57</v>
      </c>
      <c r="E30" s="149" t="s">
        <v>72</v>
      </c>
      <c r="F30" s="750" t="s">
        <v>61</v>
      </c>
      <c r="G30" s="751" t="s">
        <v>65</v>
      </c>
      <c r="H30" s="751" t="s">
        <v>59</v>
      </c>
      <c r="I30" s="752" t="s">
        <v>68</v>
      </c>
      <c r="J30" s="149" t="s">
        <v>78</v>
      </c>
      <c r="K30" s="692">
        <v>91.9</v>
      </c>
      <c r="L30" s="165">
        <f>M30-K30</f>
        <v>0</v>
      </c>
      <c r="M30" s="165">
        <v>91.9</v>
      </c>
      <c r="N30" s="146"/>
    </row>
    <row r="31" spans="1:15" s="396" customFormat="1" ht="97.5" customHeight="1">
      <c r="A31" s="150"/>
      <c r="B31" s="163" t="s">
        <v>747</v>
      </c>
      <c r="C31" s="164" t="s">
        <v>3</v>
      </c>
      <c r="D31" s="149" t="s">
        <v>57</v>
      </c>
      <c r="E31" s="149" t="s">
        <v>72</v>
      </c>
      <c r="F31" s="750" t="s">
        <v>61</v>
      </c>
      <c r="G31" s="751" t="s">
        <v>65</v>
      </c>
      <c r="H31" s="751" t="s">
        <v>59</v>
      </c>
      <c r="I31" s="752" t="s">
        <v>305</v>
      </c>
      <c r="J31" s="149"/>
      <c r="K31" s="692">
        <f>K32</f>
        <v>66</v>
      </c>
      <c r="L31" s="165">
        <f>L32</f>
        <v>0</v>
      </c>
      <c r="M31" s="165">
        <f>M32</f>
        <v>66</v>
      </c>
    </row>
    <row r="32" spans="1:15" s="396" customFormat="1" ht="56.25" customHeight="1">
      <c r="A32" s="150"/>
      <c r="B32" s="163" t="s">
        <v>75</v>
      </c>
      <c r="C32" s="164" t="s">
        <v>3</v>
      </c>
      <c r="D32" s="149" t="s">
        <v>57</v>
      </c>
      <c r="E32" s="149" t="s">
        <v>72</v>
      </c>
      <c r="F32" s="750" t="s">
        <v>61</v>
      </c>
      <c r="G32" s="751" t="s">
        <v>65</v>
      </c>
      <c r="H32" s="751" t="s">
        <v>59</v>
      </c>
      <c r="I32" s="752" t="s">
        <v>305</v>
      </c>
      <c r="J32" s="149" t="s">
        <v>76</v>
      </c>
      <c r="K32" s="692">
        <v>66</v>
      </c>
      <c r="L32" s="165">
        <f>M32-K32</f>
        <v>0</v>
      </c>
      <c r="M32" s="165">
        <v>66</v>
      </c>
    </row>
    <row r="33" spans="1:13" s="396" customFormat="1" ht="211.5" customHeight="1">
      <c r="A33" s="150"/>
      <c r="B33" s="195" t="s">
        <v>757</v>
      </c>
      <c r="C33" s="164" t="s">
        <v>3</v>
      </c>
      <c r="D33" s="149" t="s">
        <v>57</v>
      </c>
      <c r="E33" s="149" t="s">
        <v>72</v>
      </c>
      <c r="F33" s="750" t="s">
        <v>61</v>
      </c>
      <c r="G33" s="751" t="s">
        <v>65</v>
      </c>
      <c r="H33" s="751" t="s">
        <v>59</v>
      </c>
      <c r="I33" s="752" t="s">
        <v>79</v>
      </c>
      <c r="J33" s="149"/>
      <c r="K33" s="692">
        <f>K34</f>
        <v>636.5</v>
      </c>
      <c r="L33" s="165">
        <f>L34</f>
        <v>0</v>
      </c>
      <c r="M33" s="165">
        <f>M34</f>
        <v>636.5</v>
      </c>
    </row>
    <row r="34" spans="1:13" s="396" customFormat="1" ht="112.5" customHeight="1">
      <c r="A34" s="150"/>
      <c r="B34" s="163" t="s">
        <v>69</v>
      </c>
      <c r="C34" s="164" t="s">
        <v>3</v>
      </c>
      <c r="D34" s="149" t="s">
        <v>57</v>
      </c>
      <c r="E34" s="149" t="s">
        <v>72</v>
      </c>
      <c r="F34" s="750" t="s">
        <v>61</v>
      </c>
      <c r="G34" s="751" t="s">
        <v>65</v>
      </c>
      <c r="H34" s="751" t="s">
        <v>59</v>
      </c>
      <c r="I34" s="752" t="s">
        <v>79</v>
      </c>
      <c r="J34" s="149" t="s">
        <v>70</v>
      </c>
      <c r="K34" s="692">
        <v>636.5</v>
      </c>
      <c r="L34" s="165">
        <f>M34-K34</f>
        <v>0</v>
      </c>
      <c r="M34" s="165">
        <v>636.5</v>
      </c>
    </row>
    <row r="35" spans="1:13" s="396" customFormat="1" ht="78.75" customHeight="1">
      <c r="A35" s="150"/>
      <c r="B35" s="163" t="s">
        <v>80</v>
      </c>
      <c r="C35" s="164" t="s">
        <v>3</v>
      </c>
      <c r="D35" s="149" t="s">
        <v>57</v>
      </c>
      <c r="E35" s="149" t="s">
        <v>72</v>
      </c>
      <c r="F35" s="750" t="s">
        <v>61</v>
      </c>
      <c r="G35" s="751" t="s">
        <v>65</v>
      </c>
      <c r="H35" s="751" t="s">
        <v>59</v>
      </c>
      <c r="I35" s="752" t="s">
        <v>81</v>
      </c>
      <c r="J35" s="149"/>
      <c r="K35" s="692">
        <f>SUM(K36:K37)</f>
        <v>3441.6</v>
      </c>
      <c r="L35" s="165">
        <f>SUM(L36:L37)</f>
        <v>0</v>
      </c>
      <c r="M35" s="165">
        <f>SUM(M36:M37)</f>
        <v>3441.6</v>
      </c>
    </row>
    <row r="36" spans="1:13" s="396" customFormat="1" ht="112.5" customHeight="1">
      <c r="A36" s="150"/>
      <c r="B36" s="163" t="s">
        <v>69</v>
      </c>
      <c r="C36" s="164" t="s">
        <v>3</v>
      </c>
      <c r="D36" s="149" t="s">
        <v>57</v>
      </c>
      <c r="E36" s="149" t="s">
        <v>72</v>
      </c>
      <c r="F36" s="750" t="s">
        <v>61</v>
      </c>
      <c r="G36" s="751" t="s">
        <v>65</v>
      </c>
      <c r="H36" s="751" t="s">
        <v>59</v>
      </c>
      <c r="I36" s="752" t="s">
        <v>81</v>
      </c>
      <c r="J36" s="149" t="s">
        <v>70</v>
      </c>
      <c r="K36" s="692">
        <v>3251.6</v>
      </c>
      <c r="L36" s="165">
        <f>M36-K36</f>
        <v>0</v>
      </c>
      <c r="M36" s="165">
        <v>3251.6</v>
      </c>
    </row>
    <row r="37" spans="1:13" s="146" customFormat="1" ht="56.25" customHeight="1">
      <c r="A37" s="150"/>
      <c r="B37" s="163" t="s">
        <v>75</v>
      </c>
      <c r="C37" s="164" t="s">
        <v>3</v>
      </c>
      <c r="D37" s="149" t="s">
        <v>57</v>
      </c>
      <c r="E37" s="149" t="s">
        <v>72</v>
      </c>
      <c r="F37" s="750" t="s">
        <v>61</v>
      </c>
      <c r="G37" s="751" t="s">
        <v>65</v>
      </c>
      <c r="H37" s="751" t="s">
        <v>59</v>
      </c>
      <c r="I37" s="752" t="s">
        <v>81</v>
      </c>
      <c r="J37" s="149" t="s">
        <v>76</v>
      </c>
      <c r="K37" s="692">
        <v>190</v>
      </c>
      <c r="L37" s="165">
        <f>M37-K37</f>
        <v>0</v>
      </c>
      <c r="M37" s="165">
        <v>190</v>
      </c>
    </row>
    <row r="38" spans="1:13" s="396" customFormat="1" ht="75" customHeight="1">
      <c r="A38" s="150"/>
      <c r="B38" s="163" t="s">
        <v>582</v>
      </c>
      <c r="C38" s="164" t="s">
        <v>3</v>
      </c>
      <c r="D38" s="149" t="s">
        <v>57</v>
      </c>
      <c r="E38" s="149" t="s">
        <v>72</v>
      </c>
      <c r="F38" s="750" t="s">
        <v>61</v>
      </c>
      <c r="G38" s="751" t="s">
        <v>65</v>
      </c>
      <c r="H38" s="751" t="s">
        <v>59</v>
      </c>
      <c r="I38" s="752" t="s">
        <v>82</v>
      </c>
      <c r="J38" s="149"/>
      <c r="K38" s="692">
        <f>K39+K40</f>
        <v>636.70000000000005</v>
      </c>
      <c r="L38" s="165">
        <f>L39+L40</f>
        <v>0</v>
      </c>
      <c r="M38" s="165">
        <f>M39+M40</f>
        <v>636.70000000000005</v>
      </c>
    </row>
    <row r="39" spans="1:13" s="396" customFormat="1" ht="112.5" customHeight="1">
      <c r="A39" s="150"/>
      <c r="B39" s="163" t="s">
        <v>69</v>
      </c>
      <c r="C39" s="164" t="s">
        <v>3</v>
      </c>
      <c r="D39" s="149" t="s">
        <v>57</v>
      </c>
      <c r="E39" s="149" t="s">
        <v>72</v>
      </c>
      <c r="F39" s="750" t="s">
        <v>61</v>
      </c>
      <c r="G39" s="751" t="s">
        <v>65</v>
      </c>
      <c r="H39" s="751" t="s">
        <v>59</v>
      </c>
      <c r="I39" s="752" t="s">
        <v>82</v>
      </c>
      <c r="J39" s="149" t="s">
        <v>70</v>
      </c>
      <c r="K39" s="692">
        <v>632.5</v>
      </c>
      <c r="L39" s="165">
        <f>M39-K39</f>
        <v>0</v>
      </c>
      <c r="M39" s="165">
        <v>632.5</v>
      </c>
    </row>
    <row r="40" spans="1:13" s="396" customFormat="1" ht="56.25" customHeight="1">
      <c r="A40" s="150"/>
      <c r="B40" s="163" t="s">
        <v>75</v>
      </c>
      <c r="C40" s="164" t="s">
        <v>3</v>
      </c>
      <c r="D40" s="149" t="s">
        <v>57</v>
      </c>
      <c r="E40" s="149" t="s">
        <v>72</v>
      </c>
      <c r="F40" s="750" t="s">
        <v>61</v>
      </c>
      <c r="G40" s="751" t="s">
        <v>65</v>
      </c>
      <c r="H40" s="751" t="s">
        <v>59</v>
      </c>
      <c r="I40" s="752" t="s">
        <v>82</v>
      </c>
      <c r="J40" s="149" t="s">
        <v>76</v>
      </c>
      <c r="K40" s="692">
        <v>4.2</v>
      </c>
      <c r="L40" s="165">
        <f>M40-K40</f>
        <v>0</v>
      </c>
      <c r="M40" s="165">
        <v>4.2</v>
      </c>
    </row>
    <row r="41" spans="1:13" s="396" customFormat="1" ht="189" customHeight="1">
      <c r="A41" s="150"/>
      <c r="B41" s="195" t="s">
        <v>466</v>
      </c>
      <c r="C41" s="164" t="s">
        <v>3</v>
      </c>
      <c r="D41" s="149" t="s">
        <v>57</v>
      </c>
      <c r="E41" s="149" t="s">
        <v>72</v>
      </c>
      <c r="F41" s="750" t="s">
        <v>61</v>
      </c>
      <c r="G41" s="751" t="s">
        <v>65</v>
      </c>
      <c r="H41" s="751" t="s">
        <v>59</v>
      </c>
      <c r="I41" s="752" t="s">
        <v>465</v>
      </c>
      <c r="J41" s="149"/>
      <c r="K41" s="692">
        <f>K42</f>
        <v>66</v>
      </c>
      <c r="L41" s="165">
        <f>L42</f>
        <v>0</v>
      </c>
      <c r="M41" s="165">
        <f>M42</f>
        <v>66</v>
      </c>
    </row>
    <row r="42" spans="1:13" s="396" customFormat="1" ht="56.25" customHeight="1">
      <c r="A42" s="150"/>
      <c r="B42" s="163" t="s">
        <v>75</v>
      </c>
      <c r="C42" s="164" t="s">
        <v>3</v>
      </c>
      <c r="D42" s="149" t="s">
        <v>57</v>
      </c>
      <c r="E42" s="149" t="s">
        <v>72</v>
      </c>
      <c r="F42" s="750" t="s">
        <v>61</v>
      </c>
      <c r="G42" s="751" t="s">
        <v>65</v>
      </c>
      <c r="H42" s="751" t="s">
        <v>59</v>
      </c>
      <c r="I42" s="752" t="s">
        <v>465</v>
      </c>
      <c r="J42" s="149" t="s">
        <v>76</v>
      </c>
      <c r="K42" s="692">
        <v>66</v>
      </c>
      <c r="L42" s="165">
        <f>M42-K42</f>
        <v>0</v>
      </c>
      <c r="M42" s="165">
        <v>66</v>
      </c>
    </row>
    <row r="43" spans="1:13" s="146" customFormat="1" ht="18.75" customHeight="1">
      <c r="A43" s="150"/>
      <c r="B43" s="163" t="s">
        <v>83</v>
      </c>
      <c r="C43" s="164" t="s">
        <v>3</v>
      </c>
      <c r="D43" s="149" t="s">
        <v>57</v>
      </c>
      <c r="E43" s="149" t="s">
        <v>72</v>
      </c>
      <c r="F43" s="750" t="s">
        <v>61</v>
      </c>
      <c r="G43" s="751" t="s">
        <v>65</v>
      </c>
      <c r="H43" s="751" t="s">
        <v>84</v>
      </c>
      <c r="I43" s="752" t="s">
        <v>64</v>
      </c>
      <c r="J43" s="149"/>
      <c r="K43" s="692">
        <f t="shared" ref="K43:M44" si="2">K44</f>
        <v>113.2</v>
      </c>
      <c r="L43" s="165">
        <f t="shared" si="2"/>
        <v>16.200000000000003</v>
      </c>
      <c r="M43" s="165">
        <f t="shared" si="2"/>
        <v>129.4</v>
      </c>
    </row>
    <row r="44" spans="1:13" s="391" customFormat="1" ht="37.5" customHeight="1">
      <c r="A44" s="150"/>
      <c r="B44" s="163" t="s">
        <v>67</v>
      </c>
      <c r="C44" s="164" t="s">
        <v>3</v>
      </c>
      <c r="D44" s="149" t="s">
        <v>57</v>
      </c>
      <c r="E44" s="149" t="s">
        <v>72</v>
      </c>
      <c r="F44" s="750" t="s">
        <v>61</v>
      </c>
      <c r="G44" s="751" t="s">
        <v>65</v>
      </c>
      <c r="H44" s="751" t="s">
        <v>84</v>
      </c>
      <c r="I44" s="752" t="s">
        <v>68</v>
      </c>
      <c r="J44" s="149"/>
      <c r="K44" s="692">
        <f>K45</f>
        <v>113.2</v>
      </c>
      <c r="L44" s="165">
        <f t="shared" si="2"/>
        <v>16.200000000000003</v>
      </c>
      <c r="M44" s="165">
        <f>M45</f>
        <v>129.4</v>
      </c>
    </row>
    <row r="45" spans="1:13" s="146" customFormat="1" ht="56.25" customHeight="1">
      <c r="A45" s="150"/>
      <c r="B45" s="163" t="s">
        <v>75</v>
      </c>
      <c r="C45" s="164" t="s">
        <v>3</v>
      </c>
      <c r="D45" s="149" t="s">
        <v>57</v>
      </c>
      <c r="E45" s="149" t="s">
        <v>72</v>
      </c>
      <c r="F45" s="750" t="s">
        <v>61</v>
      </c>
      <c r="G45" s="751" t="s">
        <v>65</v>
      </c>
      <c r="H45" s="751" t="s">
        <v>84</v>
      </c>
      <c r="I45" s="752" t="s">
        <v>68</v>
      </c>
      <c r="J45" s="149" t="s">
        <v>76</v>
      </c>
      <c r="K45" s="692">
        <v>113.2</v>
      </c>
      <c r="L45" s="881">
        <f>M45-K45</f>
        <v>16.200000000000003</v>
      </c>
      <c r="M45" s="741">
        <f>113.2+16.2</f>
        <v>129.4</v>
      </c>
    </row>
    <row r="46" spans="1:13" s="146" customFormat="1" ht="18.75" customHeight="1">
      <c r="A46" s="150"/>
      <c r="B46" s="163" t="s">
        <v>488</v>
      </c>
      <c r="C46" s="164" t="s">
        <v>3</v>
      </c>
      <c r="D46" s="149" t="s">
        <v>57</v>
      </c>
      <c r="E46" s="149" t="s">
        <v>86</v>
      </c>
      <c r="F46" s="750"/>
      <c r="G46" s="751"/>
      <c r="H46" s="751"/>
      <c r="I46" s="752"/>
      <c r="J46" s="149"/>
      <c r="K46" s="692">
        <f t="shared" ref="K46:M50" si="3">K47</f>
        <v>13.2</v>
      </c>
      <c r="L46" s="165">
        <f t="shared" si="3"/>
        <v>0</v>
      </c>
      <c r="M46" s="165">
        <f t="shared" si="3"/>
        <v>13.2</v>
      </c>
    </row>
    <row r="47" spans="1:13" s="146" customFormat="1" ht="59.25" customHeight="1">
      <c r="A47" s="150"/>
      <c r="B47" s="163" t="s">
        <v>73</v>
      </c>
      <c r="C47" s="164" t="s">
        <v>3</v>
      </c>
      <c r="D47" s="149" t="s">
        <v>57</v>
      </c>
      <c r="E47" s="149" t="s">
        <v>86</v>
      </c>
      <c r="F47" s="750" t="s">
        <v>61</v>
      </c>
      <c r="G47" s="751" t="s">
        <v>62</v>
      </c>
      <c r="H47" s="751" t="s">
        <v>63</v>
      </c>
      <c r="I47" s="752" t="s">
        <v>64</v>
      </c>
      <c r="J47" s="149"/>
      <c r="K47" s="692">
        <f t="shared" si="3"/>
        <v>13.2</v>
      </c>
      <c r="L47" s="165">
        <f t="shared" si="3"/>
        <v>0</v>
      </c>
      <c r="M47" s="165">
        <f t="shared" si="3"/>
        <v>13.2</v>
      </c>
    </row>
    <row r="48" spans="1:13" s="146" customFormat="1" ht="37.5" customHeight="1">
      <c r="A48" s="150"/>
      <c r="B48" s="163" t="s">
        <v>404</v>
      </c>
      <c r="C48" s="164" t="s">
        <v>3</v>
      </c>
      <c r="D48" s="149" t="s">
        <v>57</v>
      </c>
      <c r="E48" s="149" t="s">
        <v>86</v>
      </c>
      <c r="F48" s="750" t="s">
        <v>61</v>
      </c>
      <c r="G48" s="751" t="s">
        <v>65</v>
      </c>
      <c r="H48" s="751" t="s">
        <v>63</v>
      </c>
      <c r="I48" s="752" t="s">
        <v>64</v>
      </c>
      <c r="J48" s="149"/>
      <c r="K48" s="692">
        <f t="shared" si="3"/>
        <v>13.2</v>
      </c>
      <c r="L48" s="165">
        <f t="shared" si="3"/>
        <v>0</v>
      </c>
      <c r="M48" s="165">
        <f t="shared" si="3"/>
        <v>13.2</v>
      </c>
    </row>
    <row r="49" spans="1:13" s="146" customFormat="1" ht="37.5" customHeight="1">
      <c r="A49" s="150"/>
      <c r="B49" s="163" t="s">
        <v>74</v>
      </c>
      <c r="C49" s="164" t="s">
        <v>3</v>
      </c>
      <c r="D49" s="149" t="s">
        <v>57</v>
      </c>
      <c r="E49" s="149" t="s">
        <v>86</v>
      </c>
      <c r="F49" s="750" t="s">
        <v>61</v>
      </c>
      <c r="G49" s="751" t="s">
        <v>65</v>
      </c>
      <c r="H49" s="751" t="s">
        <v>59</v>
      </c>
      <c r="I49" s="752" t="s">
        <v>64</v>
      </c>
      <c r="J49" s="149"/>
      <c r="K49" s="692">
        <f t="shared" si="3"/>
        <v>13.2</v>
      </c>
      <c r="L49" s="165">
        <f t="shared" si="3"/>
        <v>0</v>
      </c>
      <c r="M49" s="165">
        <f t="shared" si="3"/>
        <v>13.2</v>
      </c>
    </row>
    <row r="50" spans="1:13" s="146" customFormat="1" ht="93.75">
      <c r="A50" s="150"/>
      <c r="B50" s="163" t="s">
        <v>490</v>
      </c>
      <c r="C50" s="164" t="s">
        <v>3</v>
      </c>
      <c r="D50" s="149" t="s">
        <v>57</v>
      </c>
      <c r="E50" s="149" t="s">
        <v>86</v>
      </c>
      <c r="F50" s="750" t="s">
        <v>61</v>
      </c>
      <c r="G50" s="751" t="s">
        <v>65</v>
      </c>
      <c r="H50" s="751" t="s">
        <v>59</v>
      </c>
      <c r="I50" s="752" t="s">
        <v>489</v>
      </c>
      <c r="J50" s="149"/>
      <c r="K50" s="692">
        <f>K51</f>
        <v>13.2</v>
      </c>
      <c r="L50" s="165">
        <f t="shared" si="3"/>
        <v>0</v>
      </c>
      <c r="M50" s="165">
        <f>M51</f>
        <v>13.2</v>
      </c>
    </row>
    <row r="51" spans="1:13" s="146" customFormat="1" ht="56.25" customHeight="1">
      <c r="A51" s="150"/>
      <c r="B51" s="163" t="s">
        <v>75</v>
      </c>
      <c r="C51" s="164" t="s">
        <v>3</v>
      </c>
      <c r="D51" s="149" t="s">
        <v>57</v>
      </c>
      <c r="E51" s="149" t="s">
        <v>86</v>
      </c>
      <c r="F51" s="750" t="s">
        <v>61</v>
      </c>
      <c r="G51" s="751" t="s">
        <v>65</v>
      </c>
      <c r="H51" s="751" t="s">
        <v>59</v>
      </c>
      <c r="I51" s="752" t="s">
        <v>489</v>
      </c>
      <c r="J51" s="149" t="s">
        <v>76</v>
      </c>
      <c r="K51" s="692">
        <v>13.2</v>
      </c>
      <c r="L51" s="165">
        <f>M51-K51</f>
        <v>0</v>
      </c>
      <c r="M51" s="165">
        <v>13.2</v>
      </c>
    </row>
    <row r="52" spans="1:13" s="391" customFormat="1" ht="18.75" customHeight="1">
      <c r="A52" s="150"/>
      <c r="B52" s="163" t="s">
        <v>87</v>
      </c>
      <c r="C52" s="164" t="s">
        <v>3</v>
      </c>
      <c r="D52" s="149" t="s">
        <v>57</v>
      </c>
      <c r="E52" s="149" t="s">
        <v>88</v>
      </c>
      <c r="F52" s="750"/>
      <c r="G52" s="751"/>
      <c r="H52" s="751"/>
      <c r="I52" s="752"/>
      <c r="J52" s="149"/>
      <c r="K52" s="692">
        <f t="shared" ref="K52:M55" si="4">K53</f>
        <v>7566.8879999999999</v>
      </c>
      <c r="L52" s="165">
        <f t="shared" si="4"/>
        <v>-2474.0659999999998</v>
      </c>
      <c r="M52" s="165">
        <f t="shared" si="4"/>
        <v>5092.8220000000001</v>
      </c>
    </row>
    <row r="53" spans="1:13" s="391" customFormat="1" ht="37.5" customHeight="1">
      <c r="A53" s="150"/>
      <c r="B53" s="163" t="s">
        <v>750</v>
      </c>
      <c r="C53" s="164" t="s">
        <v>3</v>
      </c>
      <c r="D53" s="149" t="s">
        <v>57</v>
      </c>
      <c r="E53" s="149" t="s">
        <v>88</v>
      </c>
      <c r="F53" s="750" t="s">
        <v>89</v>
      </c>
      <c r="G53" s="751" t="s">
        <v>62</v>
      </c>
      <c r="H53" s="751" t="s">
        <v>63</v>
      </c>
      <c r="I53" s="752" t="s">
        <v>64</v>
      </c>
      <c r="J53" s="149"/>
      <c r="K53" s="692">
        <f t="shared" si="4"/>
        <v>7566.8879999999999</v>
      </c>
      <c r="L53" s="165">
        <f t="shared" si="4"/>
        <v>-2474.0659999999998</v>
      </c>
      <c r="M53" s="165">
        <f t="shared" si="4"/>
        <v>5092.8220000000001</v>
      </c>
    </row>
    <row r="54" spans="1:13" s="391" customFormat="1" ht="18.75" customHeight="1">
      <c r="A54" s="150"/>
      <c r="B54" s="166" t="s">
        <v>751</v>
      </c>
      <c r="C54" s="164" t="s">
        <v>3</v>
      </c>
      <c r="D54" s="149" t="s">
        <v>57</v>
      </c>
      <c r="E54" s="149" t="s">
        <v>88</v>
      </c>
      <c r="F54" s="750" t="s">
        <v>89</v>
      </c>
      <c r="G54" s="751" t="s">
        <v>65</v>
      </c>
      <c r="H54" s="751" t="s">
        <v>63</v>
      </c>
      <c r="I54" s="752" t="s">
        <v>64</v>
      </c>
      <c r="J54" s="149"/>
      <c r="K54" s="692">
        <f>K55</f>
        <v>7566.8879999999999</v>
      </c>
      <c r="L54" s="165">
        <f>L55</f>
        <v>-2474.0659999999998</v>
      </c>
      <c r="M54" s="165">
        <f>M55</f>
        <v>5092.8220000000001</v>
      </c>
    </row>
    <row r="55" spans="1:13" s="391" customFormat="1" ht="40.15" customHeight="1">
      <c r="A55" s="150"/>
      <c r="B55" s="163" t="s">
        <v>749</v>
      </c>
      <c r="C55" s="164" t="s">
        <v>3</v>
      </c>
      <c r="D55" s="149" t="s">
        <v>57</v>
      </c>
      <c r="E55" s="149" t="s">
        <v>88</v>
      </c>
      <c r="F55" s="750" t="s">
        <v>89</v>
      </c>
      <c r="G55" s="751" t="s">
        <v>65</v>
      </c>
      <c r="H55" s="751" t="s">
        <v>63</v>
      </c>
      <c r="I55" s="752" t="s">
        <v>90</v>
      </c>
      <c r="J55" s="149"/>
      <c r="K55" s="692">
        <f>K56</f>
        <v>7566.8879999999999</v>
      </c>
      <c r="L55" s="165">
        <f t="shared" si="4"/>
        <v>-2474.0659999999998</v>
      </c>
      <c r="M55" s="165">
        <f>M56</f>
        <v>5092.8220000000001</v>
      </c>
    </row>
    <row r="56" spans="1:13" s="391" customFormat="1" ht="18.75" customHeight="1">
      <c r="A56" s="150"/>
      <c r="B56" s="163" t="s">
        <v>77</v>
      </c>
      <c r="C56" s="164" t="s">
        <v>3</v>
      </c>
      <c r="D56" s="149" t="s">
        <v>57</v>
      </c>
      <c r="E56" s="149" t="s">
        <v>88</v>
      </c>
      <c r="F56" s="750" t="s">
        <v>89</v>
      </c>
      <c r="G56" s="751" t="s">
        <v>65</v>
      </c>
      <c r="H56" s="751" t="s">
        <v>63</v>
      </c>
      <c r="I56" s="752" t="s">
        <v>90</v>
      </c>
      <c r="J56" s="149" t="s">
        <v>78</v>
      </c>
      <c r="K56" s="692">
        <f>7000-1747.224+4000-1078.888-106-265-236</f>
        <v>7566.8879999999999</v>
      </c>
      <c r="L56" s="881">
        <f>M56-K56</f>
        <v>-2474.0659999999998</v>
      </c>
      <c r="M56" s="741">
        <f>7000-1747.224+4000-1078.888-106-265-236-150.068-2569.998-2754+3000</f>
        <v>5092.8220000000001</v>
      </c>
    </row>
    <row r="57" spans="1:13" s="391" customFormat="1" ht="18.75" customHeight="1">
      <c r="A57" s="150"/>
      <c r="B57" s="163" t="s">
        <v>91</v>
      </c>
      <c r="C57" s="164" t="s">
        <v>3</v>
      </c>
      <c r="D57" s="149" t="s">
        <v>57</v>
      </c>
      <c r="E57" s="149" t="s">
        <v>92</v>
      </c>
      <c r="F57" s="750"/>
      <c r="G57" s="751"/>
      <c r="H57" s="751"/>
      <c r="I57" s="752"/>
      <c r="J57" s="149"/>
      <c r="K57" s="692">
        <f>K63+K58</f>
        <v>8053.1</v>
      </c>
      <c r="L57" s="165">
        <f>L63+L58</f>
        <v>1169.1999999999998</v>
      </c>
      <c r="M57" s="165">
        <f>M63+M58</f>
        <v>9222.3000000000011</v>
      </c>
    </row>
    <row r="58" spans="1:13" s="391" customFormat="1" ht="93.75">
      <c r="A58" s="150"/>
      <c r="B58" s="163" t="s">
        <v>93</v>
      </c>
      <c r="C58" s="164" t="s">
        <v>3</v>
      </c>
      <c r="D58" s="149" t="s">
        <v>57</v>
      </c>
      <c r="E58" s="149" t="s">
        <v>92</v>
      </c>
      <c r="F58" s="750" t="s">
        <v>94</v>
      </c>
      <c r="G58" s="751" t="s">
        <v>62</v>
      </c>
      <c r="H58" s="751" t="s">
        <v>63</v>
      </c>
      <c r="I58" s="752" t="s">
        <v>64</v>
      </c>
      <c r="J58" s="149"/>
      <c r="K58" s="692">
        <f t="shared" ref="K58:M61" si="5">K59</f>
        <v>1984.3999999999999</v>
      </c>
      <c r="L58" s="165">
        <f t="shared" si="5"/>
        <v>365.49999999999977</v>
      </c>
      <c r="M58" s="165">
        <f t="shared" si="5"/>
        <v>2349.8999999999996</v>
      </c>
    </row>
    <row r="59" spans="1:13" s="391" customFormat="1" ht="37.5" customHeight="1">
      <c r="A59" s="150"/>
      <c r="B59" s="163" t="s">
        <v>404</v>
      </c>
      <c r="C59" s="164" t="s">
        <v>3</v>
      </c>
      <c r="D59" s="149" t="s">
        <v>57</v>
      </c>
      <c r="E59" s="149" t="s">
        <v>92</v>
      </c>
      <c r="F59" s="750" t="s">
        <v>94</v>
      </c>
      <c r="G59" s="751" t="s">
        <v>65</v>
      </c>
      <c r="H59" s="751" t="s">
        <v>63</v>
      </c>
      <c r="I59" s="752" t="s">
        <v>64</v>
      </c>
      <c r="J59" s="149"/>
      <c r="K59" s="692">
        <f t="shared" si="5"/>
        <v>1984.3999999999999</v>
      </c>
      <c r="L59" s="165">
        <f t="shared" si="5"/>
        <v>365.49999999999977</v>
      </c>
      <c r="M59" s="165">
        <f t="shared" si="5"/>
        <v>2349.8999999999996</v>
      </c>
    </row>
    <row r="60" spans="1:13" s="391" customFormat="1" ht="56.25" customHeight="1">
      <c r="A60" s="150"/>
      <c r="B60" s="166" t="s">
        <v>306</v>
      </c>
      <c r="C60" s="164" t="s">
        <v>3</v>
      </c>
      <c r="D60" s="149" t="s">
        <v>57</v>
      </c>
      <c r="E60" s="149" t="s">
        <v>92</v>
      </c>
      <c r="F60" s="750" t="s">
        <v>94</v>
      </c>
      <c r="G60" s="751" t="s">
        <v>65</v>
      </c>
      <c r="H60" s="751" t="s">
        <v>57</v>
      </c>
      <c r="I60" s="752" t="s">
        <v>64</v>
      </c>
      <c r="J60" s="149"/>
      <c r="K60" s="692">
        <f t="shared" si="5"/>
        <v>1984.3999999999999</v>
      </c>
      <c r="L60" s="165">
        <f t="shared" si="5"/>
        <v>365.49999999999977</v>
      </c>
      <c r="M60" s="165">
        <f t="shared" si="5"/>
        <v>2349.8999999999996</v>
      </c>
    </row>
    <row r="61" spans="1:13" s="391" customFormat="1" ht="54" customHeight="1">
      <c r="A61" s="150"/>
      <c r="B61" s="166" t="s">
        <v>95</v>
      </c>
      <c r="C61" s="164" t="s">
        <v>3</v>
      </c>
      <c r="D61" s="149" t="s">
        <v>57</v>
      </c>
      <c r="E61" s="149" t="s">
        <v>92</v>
      </c>
      <c r="F61" s="750" t="s">
        <v>94</v>
      </c>
      <c r="G61" s="751" t="s">
        <v>65</v>
      </c>
      <c r="H61" s="751" t="s">
        <v>57</v>
      </c>
      <c r="I61" s="752" t="s">
        <v>96</v>
      </c>
      <c r="J61" s="149"/>
      <c r="K61" s="692">
        <f>K62</f>
        <v>1984.3999999999999</v>
      </c>
      <c r="L61" s="165">
        <f t="shared" si="5"/>
        <v>365.49999999999977</v>
      </c>
      <c r="M61" s="165">
        <f>M62</f>
        <v>2349.8999999999996</v>
      </c>
    </row>
    <row r="62" spans="1:13" s="391" customFormat="1" ht="56.25" customHeight="1">
      <c r="A62" s="150"/>
      <c r="B62" s="167" t="s">
        <v>97</v>
      </c>
      <c r="C62" s="164" t="s">
        <v>3</v>
      </c>
      <c r="D62" s="149" t="s">
        <v>57</v>
      </c>
      <c r="E62" s="149" t="s">
        <v>92</v>
      </c>
      <c r="F62" s="750" t="s">
        <v>94</v>
      </c>
      <c r="G62" s="751" t="s">
        <v>65</v>
      </c>
      <c r="H62" s="751" t="s">
        <v>57</v>
      </c>
      <c r="I62" s="752" t="s">
        <v>96</v>
      </c>
      <c r="J62" s="149" t="s">
        <v>98</v>
      </c>
      <c r="K62" s="692">
        <f>291.9+992.2+100.3+300+300</f>
        <v>1984.3999999999999</v>
      </c>
      <c r="L62" s="881">
        <f>M62-K62</f>
        <v>365.49999999999977</v>
      </c>
      <c r="M62" s="165">
        <f>291.9+992.2+100.3+300+300+365.5</f>
        <v>2349.8999999999996</v>
      </c>
    </row>
    <row r="63" spans="1:13" s="391" customFormat="1" ht="60" customHeight="1">
      <c r="A63" s="150"/>
      <c r="B63" s="163" t="s">
        <v>60</v>
      </c>
      <c r="C63" s="164" t="s">
        <v>3</v>
      </c>
      <c r="D63" s="149" t="s">
        <v>57</v>
      </c>
      <c r="E63" s="149" t="s">
        <v>92</v>
      </c>
      <c r="F63" s="750" t="s">
        <v>61</v>
      </c>
      <c r="G63" s="751" t="s">
        <v>62</v>
      </c>
      <c r="H63" s="751" t="s">
        <v>63</v>
      </c>
      <c r="I63" s="752" t="s">
        <v>64</v>
      </c>
      <c r="J63" s="149"/>
      <c r="K63" s="692">
        <f>K64</f>
        <v>6068.7000000000007</v>
      </c>
      <c r="L63" s="165">
        <f>L64</f>
        <v>803.7</v>
      </c>
      <c r="M63" s="165">
        <f>M64</f>
        <v>6872.4000000000015</v>
      </c>
    </row>
    <row r="64" spans="1:13" s="391" customFormat="1" ht="37.5" customHeight="1">
      <c r="A64" s="150"/>
      <c r="B64" s="163" t="s">
        <v>404</v>
      </c>
      <c r="C64" s="164" t="s">
        <v>3</v>
      </c>
      <c r="D64" s="149" t="s">
        <v>57</v>
      </c>
      <c r="E64" s="149" t="s">
        <v>92</v>
      </c>
      <c r="F64" s="750" t="s">
        <v>61</v>
      </c>
      <c r="G64" s="751" t="s">
        <v>65</v>
      </c>
      <c r="H64" s="751" t="s">
        <v>63</v>
      </c>
      <c r="I64" s="752" t="s">
        <v>64</v>
      </c>
      <c r="J64" s="149"/>
      <c r="K64" s="692">
        <f>K72+K68+K80+K83+K77+K86+K65</f>
        <v>6068.7000000000007</v>
      </c>
      <c r="L64" s="165">
        <f t="shared" ref="L64:M64" si="6">L72+L68+L80+L83+L77+L86+L65</f>
        <v>803.7</v>
      </c>
      <c r="M64" s="165">
        <f t="shared" si="6"/>
        <v>6872.4000000000015</v>
      </c>
    </row>
    <row r="65" spans="1:13" s="391" customFormat="1" ht="37.5" customHeight="1">
      <c r="A65" s="150"/>
      <c r="B65" s="163" t="s">
        <v>74</v>
      </c>
      <c r="C65" s="798" t="s">
        <v>3</v>
      </c>
      <c r="D65" s="799" t="s">
        <v>57</v>
      </c>
      <c r="E65" s="799" t="s">
        <v>92</v>
      </c>
      <c r="F65" s="800" t="s">
        <v>61</v>
      </c>
      <c r="G65" s="801" t="s">
        <v>65</v>
      </c>
      <c r="H65" s="801" t="s">
        <v>59</v>
      </c>
      <c r="I65" s="802" t="s">
        <v>64</v>
      </c>
      <c r="J65" s="799"/>
      <c r="K65" s="692">
        <f>K66</f>
        <v>0</v>
      </c>
      <c r="L65" s="165">
        <f t="shared" ref="L65:M65" si="7">L66</f>
        <v>80.5</v>
      </c>
      <c r="M65" s="165">
        <f t="shared" si="7"/>
        <v>80.5</v>
      </c>
    </row>
    <row r="66" spans="1:13" s="391" customFormat="1" ht="18.75">
      <c r="A66" s="150"/>
      <c r="B66" s="163" t="s">
        <v>1022</v>
      </c>
      <c r="C66" s="798" t="s">
        <v>3</v>
      </c>
      <c r="D66" s="799" t="s">
        <v>57</v>
      </c>
      <c r="E66" s="799" t="s">
        <v>92</v>
      </c>
      <c r="F66" s="800" t="s">
        <v>61</v>
      </c>
      <c r="G66" s="801" t="s">
        <v>65</v>
      </c>
      <c r="H66" s="801" t="s">
        <v>59</v>
      </c>
      <c r="I66" s="802" t="s">
        <v>1021</v>
      </c>
      <c r="J66" s="799"/>
      <c r="K66" s="692">
        <f>K67</f>
        <v>0</v>
      </c>
      <c r="L66" s="165">
        <f t="shared" ref="L66:M66" si="8">L67</f>
        <v>80.5</v>
      </c>
      <c r="M66" s="165">
        <f t="shared" si="8"/>
        <v>80.5</v>
      </c>
    </row>
    <row r="67" spans="1:13" s="391" customFormat="1" ht="37.5" customHeight="1">
      <c r="A67" s="150"/>
      <c r="B67" s="163" t="s">
        <v>75</v>
      </c>
      <c r="C67" s="798" t="s">
        <v>3</v>
      </c>
      <c r="D67" s="799" t="s">
        <v>57</v>
      </c>
      <c r="E67" s="799" t="s">
        <v>92</v>
      </c>
      <c r="F67" s="800" t="s">
        <v>61</v>
      </c>
      <c r="G67" s="801" t="s">
        <v>65</v>
      </c>
      <c r="H67" s="801" t="s">
        <v>59</v>
      </c>
      <c r="I67" s="802" t="s">
        <v>1021</v>
      </c>
      <c r="J67" s="799" t="s">
        <v>76</v>
      </c>
      <c r="K67" s="692"/>
      <c r="L67" s="881">
        <f>M67-K67</f>
        <v>80.5</v>
      </c>
      <c r="M67" s="165">
        <v>80.5</v>
      </c>
    </row>
    <row r="68" spans="1:13" s="391" customFormat="1" ht="18.75" customHeight="1">
      <c r="A68" s="150"/>
      <c r="B68" s="167" t="s">
        <v>83</v>
      </c>
      <c r="C68" s="164" t="s">
        <v>3</v>
      </c>
      <c r="D68" s="149" t="s">
        <v>57</v>
      </c>
      <c r="E68" s="149" t="s">
        <v>92</v>
      </c>
      <c r="F68" s="750" t="s">
        <v>61</v>
      </c>
      <c r="G68" s="751" t="s">
        <v>65</v>
      </c>
      <c r="H68" s="751" t="s">
        <v>84</v>
      </c>
      <c r="I68" s="752" t="s">
        <v>64</v>
      </c>
      <c r="J68" s="149"/>
      <c r="K68" s="692">
        <f t="shared" ref="K68:M68" si="9">K69</f>
        <v>1230.8</v>
      </c>
      <c r="L68" s="165">
        <f t="shared" si="9"/>
        <v>593.40000000000009</v>
      </c>
      <c r="M68" s="165">
        <f t="shared" si="9"/>
        <v>1824.2</v>
      </c>
    </row>
    <row r="69" spans="1:13" s="391" customFormat="1" ht="60" customHeight="1">
      <c r="A69" s="150"/>
      <c r="B69" s="167" t="s">
        <v>478</v>
      </c>
      <c r="C69" s="164" t="s">
        <v>3</v>
      </c>
      <c r="D69" s="149" t="s">
        <v>57</v>
      </c>
      <c r="E69" s="149" t="s">
        <v>92</v>
      </c>
      <c r="F69" s="750" t="s">
        <v>61</v>
      </c>
      <c r="G69" s="751" t="s">
        <v>65</v>
      </c>
      <c r="H69" s="751" t="s">
        <v>84</v>
      </c>
      <c r="I69" s="752" t="s">
        <v>477</v>
      </c>
      <c r="J69" s="149"/>
      <c r="K69" s="692">
        <f>K70+K71</f>
        <v>1230.8</v>
      </c>
      <c r="L69" s="165">
        <f>L70+L71</f>
        <v>593.40000000000009</v>
      </c>
      <c r="M69" s="165">
        <f>M70+M71</f>
        <v>1824.2</v>
      </c>
    </row>
    <row r="70" spans="1:13" s="391" customFormat="1" ht="56.25" customHeight="1">
      <c r="A70" s="150"/>
      <c r="B70" s="163" t="s">
        <v>75</v>
      </c>
      <c r="C70" s="164" t="s">
        <v>3</v>
      </c>
      <c r="D70" s="149" t="s">
        <v>57</v>
      </c>
      <c r="E70" s="149" t="s">
        <v>92</v>
      </c>
      <c r="F70" s="750" t="s">
        <v>61</v>
      </c>
      <c r="G70" s="751" t="s">
        <v>65</v>
      </c>
      <c r="H70" s="751" t="s">
        <v>84</v>
      </c>
      <c r="I70" s="752" t="s">
        <v>477</v>
      </c>
      <c r="J70" s="149" t="s">
        <v>76</v>
      </c>
      <c r="K70" s="692">
        <v>1000</v>
      </c>
      <c r="L70" s="165">
        <f>M70-K70</f>
        <v>593.40000000000009</v>
      </c>
      <c r="M70" s="741">
        <f>1000+124.2+127.7+122+19.5+200</f>
        <v>1593.4</v>
      </c>
    </row>
    <row r="71" spans="1:13" s="391" customFormat="1" ht="25.5" customHeight="1">
      <c r="A71" s="150"/>
      <c r="B71" s="163" t="s">
        <v>77</v>
      </c>
      <c r="C71" s="164" t="s">
        <v>3</v>
      </c>
      <c r="D71" s="149" t="s">
        <v>57</v>
      </c>
      <c r="E71" s="149" t="s">
        <v>92</v>
      </c>
      <c r="F71" s="750" t="s">
        <v>61</v>
      </c>
      <c r="G71" s="751" t="s">
        <v>65</v>
      </c>
      <c r="H71" s="751" t="s">
        <v>84</v>
      </c>
      <c r="I71" s="752" t="s">
        <v>477</v>
      </c>
      <c r="J71" s="149" t="s">
        <v>78</v>
      </c>
      <c r="K71" s="692">
        <v>230.8</v>
      </c>
      <c r="L71" s="165">
        <f>M71-K71</f>
        <v>0</v>
      </c>
      <c r="M71" s="165">
        <v>230.8</v>
      </c>
    </row>
    <row r="72" spans="1:13" s="391" customFormat="1" ht="18.75" customHeight="1">
      <c r="A72" s="150"/>
      <c r="B72" s="163" t="s">
        <v>85</v>
      </c>
      <c r="C72" s="164" t="s">
        <v>3</v>
      </c>
      <c r="D72" s="149" t="s">
        <v>57</v>
      </c>
      <c r="E72" s="149" t="s">
        <v>92</v>
      </c>
      <c r="F72" s="750" t="s">
        <v>61</v>
      </c>
      <c r="G72" s="751" t="s">
        <v>65</v>
      </c>
      <c r="H72" s="751" t="s">
        <v>72</v>
      </c>
      <c r="I72" s="752" t="s">
        <v>64</v>
      </c>
      <c r="J72" s="149"/>
      <c r="K72" s="692">
        <f>K73+K75</f>
        <v>3270.4000000000005</v>
      </c>
      <c r="L72" s="165">
        <f>L73+L75</f>
        <v>0</v>
      </c>
      <c r="M72" s="165">
        <f>M73+M75</f>
        <v>3270.4000000000005</v>
      </c>
    </row>
    <row r="73" spans="1:13" s="391" customFormat="1" ht="58.5" customHeight="1">
      <c r="A73" s="150"/>
      <c r="B73" s="168" t="s">
        <v>429</v>
      </c>
      <c r="C73" s="164" t="s">
        <v>3</v>
      </c>
      <c r="D73" s="149" t="s">
        <v>57</v>
      </c>
      <c r="E73" s="149" t="s">
        <v>92</v>
      </c>
      <c r="F73" s="750" t="s">
        <v>61</v>
      </c>
      <c r="G73" s="751" t="s">
        <v>65</v>
      </c>
      <c r="H73" s="751" t="s">
        <v>72</v>
      </c>
      <c r="I73" s="752" t="s">
        <v>126</v>
      </c>
      <c r="J73" s="149"/>
      <c r="K73" s="692">
        <f>K74</f>
        <v>1213.3</v>
      </c>
      <c r="L73" s="165">
        <f>L74</f>
        <v>0</v>
      </c>
      <c r="M73" s="165">
        <f>M74</f>
        <v>1213.3</v>
      </c>
    </row>
    <row r="74" spans="1:13" s="391" customFormat="1" ht="56.25" customHeight="1">
      <c r="A74" s="150"/>
      <c r="B74" s="163" t="s">
        <v>75</v>
      </c>
      <c r="C74" s="164" t="s">
        <v>3</v>
      </c>
      <c r="D74" s="149" t="s">
        <v>57</v>
      </c>
      <c r="E74" s="149" t="s">
        <v>92</v>
      </c>
      <c r="F74" s="750" t="s">
        <v>61</v>
      </c>
      <c r="G74" s="751" t="s">
        <v>65</v>
      </c>
      <c r="H74" s="751" t="s">
        <v>72</v>
      </c>
      <c r="I74" s="752" t="s">
        <v>126</v>
      </c>
      <c r="J74" s="149" t="s">
        <v>76</v>
      </c>
      <c r="K74" s="692">
        <f>1213.3</f>
        <v>1213.3</v>
      </c>
      <c r="L74" s="165">
        <f>M74-K74</f>
        <v>0</v>
      </c>
      <c r="M74" s="165">
        <f>1213.3</f>
        <v>1213.3</v>
      </c>
    </row>
    <row r="75" spans="1:13" s="391" customFormat="1" ht="56.25" customHeight="1">
      <c r="A75" s="150"/>
      <c r="B75" s="163" t="s">
        <v>431</v>
      </c>
      <c r="C75" s="164" t="s">
        <v>3</v>
      </c>
      <c r="D75" s="149" t="s">
        <v>57</v>
      </c>
      <c r="E75" s="149" t="s">
        <v>92</v>
      </c>
      <c r="F75" s="750" t="s">
        <v>61</v>
      </c>
      <c r="G75" s="751" t="s">
        <v>65</v>
      </c>
      <c r="H75" s="751" t="s">
        <v>72</v>
      </c>
      <c r="I75" s="752" t="s">
        <v>430</v>
      </c>
      <c r="J75" s="149"/>
      <c r="K75" s="692">
        <f>K76</f>
        <v>2057.1000000000004</v>
      </c>
      <c r="L75" s="165">
        <f>L76</f>
        <v>0</v>
      </c>
      <c r="M75" s="165">
        <f>M76</f>
        <v>2057.1000000000004</v>
      </c>
    </row>
    <row r="76" spans="1:13" s="391" customFormat="1" ht="56.25" customHeight="1">
      <c r="A76" s="150"/>
      <c r="B76" s="163" t="s">
        <v>75</v>
      </c>
      <c r="C76" s="164" t="s">
        <v>3</v>
      </c>
      <c r="D76" s="149" t="s">
        <v>57</v>
      </c>
      <c r="E76" s="149" t="s">
        <v>92</v>
      </c>
      <c r="F76" s="750" t="s">
        <v>61</v>
      </c>
      <c r="G76" s="751" t="s">
        <v>65</v>
      </c>
      <c r="H76" s="751" t="s">
        <v>72</v>
      </c>
      <c r="I76" s="752" t="s">
        <v>430</v>
      </c>
      <c r="J76" s="149" t="s">
        <v>76</v>
      </c>
      <c r="K76" s="692">
        <f>1974.9+42.2+40</f>
        <v>2057.1000000000004</v>
      </c>
      <c r="L76" s="165">
        <f>M76-K76</f>
        <v>0</v>
      </c>
      <c r="M76" s="165">
        <f>1974.9+42.2+40</f>
        <v>2057.1000000000004</v>
      </c>
    </row>
    <row r="77" spans="1:13" s="391" customFormat="1" ht="42.75" customHeight="1">
      <c r="A77" s="150"/>
      <c r="B77" s="163" t="s">
        <v>900</v>
      </c>
      <c r="C77" s="164" t="s">
        <v>3</v>
      </c>
      <c r="D77" s="149" t="s">
        <v>57</v>
      </c>
      <c r="E77" s="149" t="s">
        <v>92</v>
      </c>
      <c r="F77" s="750" t="s">
        <v>61</v>
      </c>
      <c r="G77" s="751" t="s">
        <v>65</v>
      </c>
      <c r="H77" s="751" t="s">
        <v>92</v>
      </c>
      <c r="I77" s="752" t="s">
        <v>64</v>
      </c>
      <c r="J77" s="149"/>
      <c r="K77" s="692">
        <f t="shared" ref="K77:M78" si="10">K78</f>
        <v>1332.1</v>
      </c>
      <c r="L77" s="165">
        <f t="shared" si="10"/>
        <v>0</v>
      </c>
      <c r="M77" s="165">
        <f t="shared" si="10"/>
        <v>1332.1</v>
      </c>
    </row>
    <row r="78" spans="1:13" s="391" customFormat="1" ht="34.5" customHeight="1">
      <c r="A78" s="150"/>
      <c r="B78" s="163" t="s">
        <v>901</v>
      </c>
      <c r="C78" s="164" t="s">
        <v>3</v>
      </c>
      <c r="D78" s="149" t="s">
        <v>57</v>
      </c>
      <c r="E78" s="149" t="s">
        <v>92</v>
      </c>
      <c r="F78" s="750" t="s">
        <v>61</v>
      </c>
      <c r="G78" s="751" t="s">
        <v>65</v>
      </c>
      <c r="H78" s="751" t="s">
        <v>92</v>
      </c>
      <c r="I78" s="752" t="s">
        <v>902</v>
      </c>
      <c r="J78" s="149"/>
      <c r="K78" s="692">
        <f t="shared" si="10"/>
        <v>1332.1</v>
      </c>
      <c r="L78" s="165">
        <f t="shared" si="10"/>
        <v>0</v>
      </c>
      <c r="M78" s="165">
        <f t="shared" si="10"/>
        <v>1332.1</v>
      </c>
    </row>
    <row r="79" spans="1:13" s="391" customFormat="1" ht="56.25" customHeight="1">
      <c r="A79" s="150"/>
      <c r="B79" s="163" t="s">
        <v>75</v>
      </c>
      <c r="C79" s="164" t="s">
        <v>3</v>
      </c>
      <c r="D79" s="149" t="s">
        <v>57</v>
      </c>
      <c r="E79" s="149" t="s">
        <v>92</v>
      </c>
      <c r="F79" s="750" t="s">
        <v>61</v>
      </c>
      <c r="G79" s="751" t="s">
        <v>65</v>
      </c>
      <c r="H79" s="751" t="s">
        <v>92</v>
      </c>
      <c r="I79" s="752" t="s">
        <v>902</v>
      </c>
      <c r="J79" s="149" t="s">
        <v>76</v>
      </c>
      <c r="K79" s="692">
        <v>1332.1</v>
      </c>
      <c r="L79" s="165">
        <f>M79-K79</f>
        <v>0</v>
      </c>
      <c r="M79" s="165">
        <v>1332.1</v>
      </c>
    </row>
    <row r="80" spans="1:13" s="391" customFormat="1" ht="35.25" customHeight="1">
      <c r="A80" s="150"/>
      <c r="B80" s="163" t="s">
        <v>813</v>
      </c>
      <c r="C80" s="164" t="s">
        <v>3</v>
      </c>
      <c r="D80" s="149" t="s">
        <v>57</v>
      </c>
      <c r="E80" s="149" t="s">
        <v>92</v>
      </c>
      <c r="F80" s="750" t="s">
        <v>61</v>
      </c>
      <c r="G80" s="751" t="s">
        <v>65</v>
      </c>
      <c r="H80" s="751" t="s">
        <v>585</v>
      </c>
      <c r="I80" s="752" t="s">
        <v>64</v>
      </c>
      <c r="J80" s="149"/>
      <c r="K80" s="692">
        <f t="shared" ref="K80:M81" si="11">K81</f>
        <v>148</v>
      </c>
      <c r="L80" s="165">
        <f t="shared" si="11"/>
        <v>-2.4000000000000057</v>
      </c>
      <c r="M80" s="165">
        <f t="shared" si="11"/>
        <v>145.6</v>
      </c>
    </row>
    <row r="81" spans="1:13" s="391" customFormat="1" ht="39" customHeight="1">
      <c r="A81" s="150"/>
      <c r="B81" s="168" t="s">
        <v>814</v>
      </c>
      <c r="C81" s="164" t="s">
        <v>3</v>
      </c>
      <c r="D81" s="149" t="s">
        <v>57</v>
      </c>
      <c r="E81" s="149" t="s">
        <v>92</v>
      </c>
      <c r="F81" s="750" t="s">
        <v>61</v>
      </c>
      <c r="G81" s="751" t="s">
        <v>65</v>
      </c>
      <c r="H81" s="751" t="s">
        <v>585</v>
      </c>
      <c r="I81" s="752" t="s">
        <v>111</v>
      </c>
      <c r="J81" s="149"/>
      <c r="K81" s="692">
        <f t="shared" si="11"/>
        <v>148</v>
      </c>
      <c r="L81" s="165">
        <f t="shared" si="11"/>
        <v>-2.4000000000000057</v>
      </c>
      <c r="M81" s="165">
        <f t="shared" si="11"/>
        <v>145.6</v>
      </c>
    </row>
    <row r="82" spans="1:13" s="391" customFormat="1" ht="56.25" customHeight="1">
      <c r="A82" s="150"/>
      <c r="B82" s="163" t="s">
        <v>75</v>
      </c>
      <c r="C82" s="164" t="s">
        <v>3</v>
      </c>
      <c r="D82" s="149" t="s">
        <v>57</v>
      </c>
      <c r="E82" s="149" t="s">
        <v>92</v>
      </c>
      <c r="F82" s="750" t="s">
        <v>61</v>
      </c>
      <c r="G82" s="751" t="s">
        <v>65</v>
      </c>
      <c r="H82" s="751" t="s">
        <v>585</v>
      </c>
      <c r="I82" s="752" t="s">
        <v>111</v>
      </c>
      <c r="J82" s="149" t="s">
        <v>76</v>
      </c>
      <c r="K82" s="692">
        <v>148</v>
      </c>
      <c r="L82" s="881">
        <f>M82-K82</f>
        <v>-2.4000000000000057</v>
      </c>
      <c r="M82" s="165">
        <f>148-2.4</f>
        <v>145.6</v>
      </c>
    </row>
    <row r="83" spans="1:13" s="391" customFormat="1" ht="35.25" customHeight="1">
      <c r="A83" s="150"/>
      <c r="B83" s="163" t="s">
        <v>799</v>
      </c>
      <c r="C83" s="164" t="s">
        <v>3</v>
      </c>
      <c r="D83" s="149" t="s">
        <v>57</v>
      </c>
      <c r="E83" s="149" t="s">
        <v>92</v>
      </c>
      <c r="F83" s="750" t="s">
        <v>61</v>
      </c>
      <c r="G83" s="751" t="s">
        <v>65</v>
      </c>
      <c r="H83" s="751" t="s">
        <v>61</v>
      </c>
      <c r="I83" s="752" t="s">
        <v>64</v>
      </c>
      <c r="J83" s="149"/>
      <c r="K83" s="692">
        <f t="shared" ref="K83:M84" si="12">K84</f>
        <v>37.4</v>
      </c>
      <c r="L83" s="165">
        <f t="shared" si="12"/>
        <v>87.199999999999989</v>
      </c>
      <c r="M83" s="165">
        <f t="shared" si="12"/>
        <v>124.6</v>
      </c>
    </row>
    <row r="84" spans="1:13" s="391" customFormat="1" ht="25.5" customHeight="1">
      <c r="A84" s="150"/>
      <c r="B84" s="168" t="s">
        <v>797</v>
      </c>
      <c r="C84" s="164" t="s">
        <v>3</v>
      </c>
      <c r="D84" s="149" t="s">
        <v>57</v>
      </c>
      <c r="E84" s="149" t="s">
        <v>92</v>
      </c>
      <c r="F84" s="750" t="s">
        <v>61</v>
      </c>
      <c r="G84" s="751" t="s">
        <v>65</v>
      </c>
      <c r="H84" s="751" t="s">
        <v>61</v>
      </c>
      <c r="I84" s="752" t="s">
        <v>798</v>
      </c>
      <c r="J84" s="149"/>
      <c r="K84" s="692">
        <f t="shared" si="12"/>
        <v>37.4</v>
      </c>
      <c r="L84" s="165">
        <f t="shared" si="12"/>
        <v>87.199999999999989</v>
      </c>
      <c r="M84" s="165">
        <f t="shared" si="12"/>
        <v>124.6</v>
      </c>
    </row>
    <row r="85" spans="1:13" s="391" customFormat="1" ht="56.25" customHeight="1">
      <c r="A85" s="150"/>
      <c r="B85" s="163" t="s">
        <v>75</v>
      </c>
      <c r="C85" s="164" t="s">
        <v>3</v>
      </c>
      <c r="D85" s="149" t="s">
        <v>57</v>
      </c>
      <c r="E85" s="149" t="s">
        <v>92</v>
      </c>
      <c r="F85" s="750" t="s">
        <v>61</v>
      </c>
      <c r="G85" s="751" t="s">
        <v>65</v>
      </c>
      <c r="H85" s="751" t="s">
        <v>61</v>
      </c>
      <c r="I85" s="752" t="s">
        <v>798</v>
      </c>
      <c r="J85" s="149" t="s">
        <v>76</v>
      </c>
      <c r="K85" s="692">
        <v>37.4</v>
      </c>
      <c r="L85" s="881">
        <f>M85-K85</f>
        <v>87.199999999999989</v>
      </c>
      <c r="M85" s="165">
        <f>37.4+84.8+2.4</f>
        <v>124.6</v>
      </c>
    </row>
    <row r="86" spans="1:13" s="391" customFormat="1" ht="37.5" customHeight="1">
      <c r="A86" s="150"/>
      <c r="B86" s="163" t="s">
        <v>464</v>
      </c>
      <c r="C86" s="164" t="s">
        <v>3</v>
      </c>
      <c r="D86" s="149" t="s">
        <v>57</v>
      </c>
      <c r="E86" s="149" t="s">
        <v>92</v>
      </c>
      <c r="F86" s="750" t="s">
        <v>61</v>
      </c>
      <c r="G86" s="751" t="s">
        <v>65</v>
      </c>
      <c r="H86" s="751" t="s">
        <v>996</v>
      </c>
      <c r="I86" s="752" t="s">
        <v>64</v>
      </c>
      <c r="J86" s="149"/>
      <c r="K86" s="692">
        <f t="shared" ref="K86:M87" si="13">K87</f>
        <v>50</v>
      </c>
      <c r="L86" s="165">
        <f t="shared" si="13"/>
        <v>45</v>
      </c>
      <c r="M86" s="165">
        <f t="shared" si="13"/>
        <v>95</v>
      </c>
    </row>
    <row r="87" spans="1:13" s="391" customFormat="1" ht="37.5" customHeight="1">
      <c r="A87" s="150"/>
      <c r="B87" s="163" t="s">
        <v>402</v>
      </c>
      <c r="C87" s="164" t="s">
        <v>3</v>
      </c>
      <c r="D87" s="149" t="s">
        <v>57</v>
      </c>
      <c r="E87" s="149" t="s">
        <v>92</v>
      </c>
      <c r="F87" s="750" t="s">
        <v>61</v>
      </c>
      <c r="G87" s="751" t="s">
        <v>65</v>
      </c>
      <c r="H87" s="751" t="s">
        <v>996</v>
      </c>
      <c r="I87" s="752" t="s">
        <v>401</v>
      </c>
      <c r="J87" s="149"/>
      <c r="K87" s="692">
        <f t="shared" si="13"/>
        <v>50</v>
      </c>
      <c r="L87" s="165">
        <f t="shared" si="13"/>
        <v>45</v>
      </c>
      <c r="M87" s="165">
        <f t="shared" si="13"/>
        <v>95</v>
      </c>
    </row>
    <row r="88" spans="1:13" s="391" customFormat="1" ht="18.75" customHeight="1">
      <c r="A88" s="150"/>
      <c r="B88" s="163" t="s">
        <v>77</v>
      </c>
      <c r="C88" s="164" t="s">
        <v>3</v>
      </c>
      <c r="D88" s="149" t="s">
        <v>57</v>
      </c>
      <c r="E88" s="149" t="s">
        <v>92</v>
      </c>
      <c r="F88" s="750" t="s">
        <v>61</v>
      </c>
      <c r="G88" s="751" t="s">
        <v>65</v>
      </c>
      <c r="H88" s="751" t="s">
        <v>996</v>
      </c>
      <c r="I88" s="752" t="s">
        <v>401</v>
      </c>
      <c r="J88" s="149" t="s">
        <v>78</v>
      </c>
      <c r="K88" s="692">
        <v>50</v>
      </c>
      <c r="L88" s="881">
        <f>M88-K88</f>
        <v>45</v>
      </c>
      <c r="M88" s="165">
        <f>50+45</f>
        <v>95</v>
      </c>
    </row>
    <row r="89" spans="1:13" s="391" customFormat="1" ht="37.5" customHeight="1">
      <c r="A89" s="150"/>
      <c r="B89" s="163" t="s">
        <v>99</v>
      </c>
      <c r="C89" s="164" t="s">
        <v>3</v>
      </c>
      <c r="D89" s="149" t="s">
        <v>84</v>
      </c>
      <c r="E89" s="149"/>
      <c r="F89" s="750"/>
      <c r="G89" s="751"/>
      <c r="H89" s="751"/>
      <c r="I89" s="752"/>
      <c r="J89" s="149"/>
      <c r="K89" s="692">
        <f>K90+K102</f>
        <v>15054.2</v>
      </c>
      <c r="L89" s="165">
        <f>L90+L102</f>
        <v>45.399999999999636</v>
      </c>
      <c r="M89" s="165">
        <f>M90+M102</f>
        <v>15099.600000000002</v>
      </c>
    </row>
    <row r="90" spans="1:13" s="391" customFormat="1" ht="72.75" customHeight="1">
      <c r="A90" s="150"/>
      <c r="B90" s="163" t="s">
        <v>792</v>
      </c>
      <c r="C90" s="164" t="s">
        <v>3</v>
      </c>
      <c r="D90" s="149" t="s">
        <v>84</v>
      </c>
      <c r="E90" s="149" t="s">
        <v>125</v>
      </c>
      <c r="F90" s="750"/>
      <c r="G90" s="751"/>
      <c r="H90" s="751"/>
      <c r="I90" s="752"/>
      <c r="J90" s="149"/>
      <c r="K90" s="692">
        <f>K91</f>
        <v>4033.3</v>
      </c>
      <c r="L90" s="165">
        <f>L91</f>
        <v>0</v>
      </c>
      <c r="M90" s="165">
        <f>M91</f>
        <v>4033.3</v>
      </c>
    </row>
    <row r="91" spans="1:13" s="391" customFormat="1" ht="60.75" customHeight="1">
      <c r="A91" s="150"/>
      <c r="B91" s="163" t="s">
        <v>101</v>
      </c>
      <c r="C91" s="164" t="s">
        <v>3</v>
      </c>
      <c r="D91" s="149" t="s">
        <v>84</v>
      </c>
      <c r="E91" s="149" t="s">
        <v>125</v>
      </c>
      <c r="F91" s="750" t="s">
        <v>102</v>
      </c>
      <c r="G91" s="751" t="s">
        <v>62</v>
      </c>
      <c r="H91" s="751" t="s">
        <v>63</v>
      </c>
      <c r="I91" s="752" t="s">
        <v>64</v>
      </c>
      <c r="J91" s="149"/>
      <c r="K91" s="692">
        <f t="shared" ref="K91:M91" si="14">K92</f>
        <v>4033.3</v>
      </c>
      <c r="L91" s="165">
        <f t="shared" si="14"/>
        <v>0</v>
      </c>
      <c r="M91" s="165">
        <f t="shared" si="14"/>
        <v>4033.3</v>
      </c>
    </row>
    <row r="92" spans="1:13" s="391" customFormat="1" ht="58.5" customHeight="1">
      <c r="A92" s="150"/>
      <c r="B92" s="169" t="s">
        <v>103</v>
      </c>
      <c r="C92" s="164" t="s">
        <v>3</v>
      </c>
      <c r="D92" s="149" t="s">
        <v>84</v>
      </c>
      <c r="E92" s="149" t="s">
        <v>125</v>
      </c>
      <c r="F92" s="750" t="s">
        <v>102</v>
      </c>
      <c r="G92" s="751" t="s">
        <v>65</v>
      </c>
      <c r="H92" s="751" t="s">
        <v>63</v>
      </c>
      <c r="I92" s="752" t="s">
        <v>64</v>
      </c>
      <c r="J92" s="149"/>
      <c r="K92" s="692">
        <f>K93</f>
        <v>4033.3</v>
      </c>
      <c r="L92" s="165">
        <f>L93</f>
        <v>0</v>
      </c>
      <c r="M92" s="165">
        <f>M93</f>
        <v>4033.3</v>
      </c>
    </row>
    <row r="93" spans="1:13" s="391" customFormat="1" ht="78.75" customHeight="1">
      <c r="A93" s="150"/>
      <c r="B93" s="163" t="s">
        <v>104</v>
      </c>
      <c r="C93" s="164" t="s">
        <v>3</v>
      </c>
      <c r="D93" s="149" t="s">
        <v>84</v>
      </c>
      <c r="E93" s="149" t="s">
        <v>125</v>
      </c>
      <c r="F93" s="750" t="s">
        <v>102</v>
      </c>
      <c r="G93" s="751" t="s">
        <v>65</v>
      </c>
      <c r="H93" s="751" t="s">
        <v>57</v>
      </c>
      <c r="I93" s="752" t="s">
        <v>64</v>
      </c>
      <c r="J93" s="149"/>
      <c r="K93" s="692">
        <f t="shared" ref="K93:M93" si="15">K94+K96+K98+K101</f>
        <v>4033.3</v>
      </c>
      <c r="L93" s="165">
        <f t="shared" ref="L93" si="16">L94+L96+L98+L101</f>
        <v>0</v>
      </c>
      <c r="M93" s="165">
        <f t="shared" si="15"/>
        <v>4033.3</v>
      </c>
    </row>
    <row r="94" spans="1:13" s="391" customFormat="1" ht="37.5" customHeight="1">
      <c r="A94" s="150"/>
      <c r="B94" s="169" t="s">
        <v>756</v>
      </c>
      <c r="C94" s="164" t="s">
        <v>3</v>
      </c>
      <c r="D94" s="149" t="s">
        <v>84</v>
      </c>
      <c r="E94" s="149" t="s">
        <v>125</v>
      </c>
      <c r="F94" s="750" t="s">
        <v>102</v>
      </c>
      <c r="G94" s="751" t="s">
        <v>65</v>
      </c>
      <c r="H94" s="751" t="s">
        <v>57</v>
      </c>
      <c r="I94" s="752" t="s">
        <v>105</v>
      </c>
      <c r="J94" s="149"/>
      <c r="K94" s="692">
        <f>K95</f>
        <v>742.7</v>
      </c>
      <c r="L94" s="165">
        <f>L95</f>
        <v>0</v>
      </c>
      <c r="M94" s="165">
        <f>M95</f>
        <v>742.7</v>
      </c>
    </row>
    <row r="95" spans="1:13" s="391" customFormat="1" ht="56.25" customHeight="1">
      <c r="A95" s="150"/>
      <c r="B95" s="163" t="s">
        <v>75</v>
      </c>
      <c r="C95" s="164" t="s">
        <v>3</v>
      </c>
      <c r="D95" s="149" t="s">
        <v>84</v>
      </c>
      <c r="E95" s="149" t="s">
        <v>125</v>
      </c>
      <c r="F95" s="750" t="s">
        <v>102</v>
      </c>
      <c r="G95" s="751" t="s">
        <v>65</v>
      </c>
      <c r="H95" s="751" t="s">
        <v>57</v>
      </c>
      <c r="I95" s="752" t="s">
        <v>105</v>
      </c>
      <c r="J95" s="149" t="s">
        <v>76</v>
      </c>
      <c r="K95" s="692">
        <f>298.4+444.3</f>
        <v>742.7</v>
      </c>
      <c r="L95" s="165">
        <f>M95-K95</f>
        <v>0</v>
      </c>
      <c r="M95" s="165">
        <f>298.4+444.3</f>
        <v>742.7</v>
      </c>
    </row>
    <row r="96" spans="1:13" s="391" customFormat="1" ht="56.25" customHeight="1">
      <c r="A96" s="150"/>
      <c r="B96" s="163" t="s">
        <v>106</v>
      </c>
      <c r="C96" s="164" t="s">
        <v>3</v>
      </c>
      <c r="D96" s="149" t="s">
        <v>84</v>
      </c>
      <c r="E96" s="149" t="s">
        <v>125</v>
      </c>
      <c r="F96" s="750" t="s">
        <v>102</v>
      </c>
      <c r="G96" s="751" t="s">
        <v>65</v>
      </c>
      <c r="H96" s="751" t="s">
        <v>57</v>
      </c>
      <c r="I96" s="752" t="s">
        <v>107</v>
      </c>
      <c r="J96" s="149"/>
      <c r="K96" s="692">
        <f>K97</f>
        <v>203</v>
      </c>
      <c r="L96" s="165">
        <f>L97</f>
        <v>0</v>
      </c>
      <c r="M96" s="165">
        <f>M97</f>
        <v>203</v>
      </c>
    </row>
    <row r="97" spans="1:13" s="391" customFormat="1" ht="56.25" customHeight="1">
      <c r="A97" s="150"/>
      <c r="B97" s="163" t="s">
        <v>75</v>
      </c>
      <c r="C97" s="164" t="s">
        <v>3</v>
      </c>
      <c r="D97" s="149" t="s">
        <v>84</v>
      </c>
      <c r="E97" s="149" t="s">
        <v>125</v>
      </c>
      <c r="F97" s="750" t="s">
        <v>102</v>
      </c>
      <c r="G97" s="751" t="s">
        <v>65</v>
      </c>
      <c r="H97" s="751" t="s">
        <v>57</v>
      </c>
      <c r="I97" s="752" t="s">
        <v>107</v>
      </c>
      <c r="J97" s="149" t="s">
        <v>76</v>
      </c>
      <c r="K97" s="692">
        <v>203</v>
      </c>
      <c r="L97" s="165">
        <f>M97-K97</f>
        <v>0</v>
      </c>
      <c r="M97" s="165">
        <v>203</v>
      </c>
    </row>
    <row r="98" spans="1:13" s="391" customFormat="1" ht="94.5" customHeight="1">
      <c r="A98" s="150"/>
      <c r="B98" s="163" t="s">
        <v>405</v>
      </c>
      <c r="C98" s="164" t="s">
        <v>3</v>
      </c>
      <c r="D98" s="149" t="s">
        <v>84</v>
      </c>
      <c r="E98" s="149" t="s">
        <v>125</v>
      </c>
      <c r="F98" s="750" t="s">
        <v>102</v>
      </c>
      <c r="G98" s="751" t="s">
        <v>65</v>
      </c>
      <c r="H98" s="751" t="s">
        <v>57</v>
      </c>
      <c r="I98" s="752" t="s">
        <v>393</v>
      </c>
      <c r="J98" s="149"/>
      <c r="K98" s="692">
        <f>K99</f>
        <v>3075.3</v>
      </c>
      <c r="L98" s="165">
        <f>L99</f>
        <v>0</v>
      </c>
      <c r="M98" s="165">
        <f>M99</f>
        <v>3075.3</v>
      </c>
    </row>
    <row r="99" spans="1:13" s="391" customFormat="1" ht="18.75" customHeight="1">
      <c r="A99" s="150"/>
      <c r="B99" s="163" t="s">
        <v>144</v>
      </c>
      <c r="C99" s="164" t="s">
        <v>3</v>
      </c>
      <c r="D99" s="149" t="s">
        <v>84</v>
      </c>
      <c r="E99" s="149" t="s">
        <v>125</v>
      </c>
      <c r="F99" s="750" t="s">
        <v>102</v>
      </c>
      <c r="G99" s="751" t="s">
        <v>65</v>
      </c>
      <c r="H99" s="751" t="s">
        <v>57</v>
      </c>
      <c r="I99" s="752" t="s">
        <v>393</v>
      </c>
      <c r="J99" s="149" t="s">
        <v>145</v>
      </c>
      <c r="K99" s="692">
        <v>3075.3</v>
      </c>
      <c r="L99" s="165">
        <f>M99-K99</f>
        <v>0</v>
      </c>
      <c r="M99" s="165">
        <v>3075.3</v>
      </c>
    </row>
    <row r="100" spans="1:13" s="391" customFormat="1" ht="131.25" customHeight="1">
      <c r="A100" s="150"/>
      <c r="B100" s="163" t="s">
        <v>407</v>
      </c>
      <c r="C100" s="164" t="s">
        <v>3</v>
      </c>
      <c r="D100" s="149" t="s">
        <v>84</v>
      </c>
      <c r="E100" s="149" t="s">
        <v>125</v>
      </c>
      <c r="F100" s="750" t="s">
        <v>102</v>
      </c>
      <c r="G100" s="751" t="s">
        <v>65</v>
      </c>
      <c r="H100" s="751" t="s">
        <v>57</v>
      </c>
      <c r="I100" s="752" t="s">
        <v>394</v>
      </c>
      <c r="J100" s="149"/>
      <c r="K100" s="692">
        <f>K101</f>
        <v>12.3</v>
      </c>
      <c r="L100" s="165">
        <f>L101</f>
        <v>0</v>
      </c>
      <c r="M100" s="165">
        <f>M101</f>
        <v>12.3</v>
      </c>
    </row>
    <row r="101" spans="1:13" s="391" customFormat="1" ht="18.75" customHeight="1">
      <c r="A101" s="150"/>
      <c r="B101" s="163" t="s">
        <v>144</v>
      </c>
      <c r="C101" s="164" t="s">
        <v>3</v>
      </c>
      <c r="D101" s="149" t="s">
        <v>84</v>
      </c>
      <c r="E101" s="149" t="s">
        <v>125</v>
      </c>
      <c r="F101" s="750" t="s">
        <v>102</v>
      </c>
      <c r="G101" s="751" t="s">
        <v>65</v>
      </c>
      <c r="H101" s="751" t="s">
        <v>57</v>
      </c>
      <c r="I101" s="752" t="s">
        <v>394</v>
      </c>
      <c r="J101" s="149" t="s">
        <v>145</v>
      </c>
      <c r="K101" s="692">
        <v>12.3</v>
      </c>
      <c r="L101" s="165">
        <f>M101-K101</f>
        <v>0</v>
      </c>
      <c r="M101" s="165">
        <v>12.3</v>
      </c>
    </row>
    <row r="102" spans="1:13" s="391" customFormat="1" ht="56.25" customHeight="1">
      <c r="A102" s="150"/>
      <c r="B102" s="168" t="s">
        <v>108</v>
      </c>
      <c r="C102" s="164" t="s">
        <v>3</v>
      </c>
      <c r="D102" s="149" t="s">
        <v>84</v>
      </c>
      <c r="E102" s="149" t="s">
        <v>109</v>
      </c>
      <c r="F102" s="750"/>
      <c r="G102" s="751"/>
      <c r="H102" s="751"/>
      <c r="I102" s="752"/>
      <c r="J102" s="149"/>
      <c r="K102" s="692">
        <f>K103</f>
        <v>11020.9</v>
      </c>
      <c r="L102" s="165">
        <f>L103</f>
        <v>45.399999999999636</v>
      </c>
      <c r="M102" s="165">
        <f>M103</f>
        <v>11066.300000000001</v>
      </c>
    </row>
    <row r="103" spans="1:13" s="391" customFormat="1" ht="60.75" customHeight="1">
      <c r="A103" s="150"/>
      <c r="B103" s="163" t="s">
        <v>101</v>
      </c>
      <c r="C103" s="164" t="s">
        <v>3</v>
      </c>
      <c r="D103" s="149" t="s">
        <v>84</v>
      </c>
      <c r="E103" s="149" t="s">
        <v>109</v>
      </c>
      <c r="F103" s="750" t="s">
        <v>102</v>
      </c>
      <c r="G103" s="751" t="s">
        <v>62</v>
      </c>
      <c r="H103" s="751" t="s">
        <v>63</v>
      </c>
      <c r="I103" s="752" t="s">
        <v>64</v>
      </c>
      <c r="J103" s="149"/>
      <c r="K103" s="692">
        <f>K104+K113+K122</f>
        <v>11020.9</v>
      </c>
      <c r="L103" s="165">
        <f>L104+L113+L122</f>
        <v>45.399999999999636</v>
      </c>
      <c r="M103" s="165">
        <f>M104+M113+M122</f>
        <v>11066.300000000001</v>
      </c>
    </row>
    <row r="104" spans="1:13" s="391" customFormat="1" ht="37.5" customHeight="1">
      <c r="A104" s="150"/>
      <c r="B104" s="168" t="s">
        <v>146</v>
      </c>
      <c r="C104" s="164" t="s">
        <v>3</v>
      </c>
      <c r="D104" s="149" t="s">
        <v>84</v>
      </c>
      <c r="E104" s="149" t="s">
        <v>109</v>
      </c>
      <c r="F104" s="750" t="s">
        <v>102</v>
      </c>
      <c r="G104" s="751" t="s">
        <v>110</v>
      </c>
      <c r="H104" s="751" t="s">
        <v>63</v>
      </c>
      <c r="I104" s="752" t="s">
        <v>64</v>
      </c>
      <c r="J104" s="149"/>
      <c r="K104" s="692">
        <f>K110+K105</f>
        <v>384.4</v>
      </c>
      <c r="L104" s="165">
        <f>L110+L105</f>
        <v>0</v>
      </c>
      <c r="M104" s="165">
        <f>M110+M105</f>
        <v>384.4</v>
      </c>
    </row>
    <row r="105" spans="1:13" s="391" customFormat="1" ht="44.25" customHeight="1">
      <c r="A105" s="150"/>
      <c r="B105" s="168" t="s">
        <v>311</v>
      </c>
      <c r="C105" s="164" t="s">
        <v>3</v>
      </c>
      <c r="D105" s="149" t="s">
        <v>84</v>
      </c>
      <c r="E105" s="149" t="s">
        <v>109</v>
      </c>
      <c r="F105" s="750" t="s">
        <v>102</v>
      </c>
      <c r="G105" s="751" t="s">
        <v>110</v>
      </c>
      <c r="H105" s="751" t="s">
        <v>57</v>
      </c>
      <c r="I105" s="752" t="s">
        <v>64</v>
      </c>
      <c r="J105" s="149"/>
      <c r="K105" s="692">
        <f>K108+K106</f>
        <v>143.69999999999999</v>
      </c>
      <c r="L105" s="165">
        <f>L108+L106</f>
        <v>0</v>
      </c>
      <c r="M105" s="165">
        <f>M108+M106</f>
        <v>143.69999999999999</v>
      </c>
    </row>
    <row r="106" spans="1:13" s="391" customFormat="1" ht="37.5" customHeight="1">
      <c r="A106" s="150"/>
      <c r="B106" s="166" t="s">
        <v>148</v>
      </c>
      <c r="C106" s="164" t="s">
        <v>3</v>
      </c>
      <c r="D106" s="149" t="s">
        <v>84</v>
      </c>
      <c r="E106" s="149" t="s">
        <v>109</v>
      </c>
      <c r="F106" s="750" t="s">
        <v>102</v>
      </c>
      <c r="G106" s="751" t="s">
        <v>110</v>
      </c>
      <c r="H106" s="751" t="s">
        <v>57</v>
      </c>
      <c r="I106" s="752" t="s">
        <v>111</v>
      </c>
      <c r="J106" s="149"/>
      <c r="K106" s="692">
        <f>K107</f>
        <v>21.6</v>
      </c>
      <c r="L106" s="165">
        <f>L107</f>
        <v>0</v>
      </c>
      <c r="M106" s="165">
        <f>M107</f>
        <v>21.6</v>
      </c>
    </row>
    <row r="107" spans="1:13" s="391" customFormat="1" ht="56.25" customHeight="1">
      <c r="A107" s="150"/>
      <c r="B107" s="163" t="s">
        <v>75</v>
      </c>
      <c r="C107" s="164" t="s">
        <v>3</v>
      </c>
      <c r="D107" s="149" t="s">
        <v>84</v>
      </c>
      <c r="E107" s="149" t="s">
        <v>109</v>
      </c>
      <c r="F107" s="750" t="s">
        <v>102</v>
      </c>
      <c r="G107" s="751" t="s">
        <v>110</v>
      </c>
      <c r="H107" s="751" t="s">
        <v>57</v>
      </c>
      <c r="I107" s="752" t="s">
        <v>111</v>
      </c>
      <c r="J107" s="149" t="s">
        <v>76</v>
      </c>
      <c r="K107" s="692">
        <v>21.6</v>
      </c>
      <c r="L107" s="165">
        <f>M107-K107</f>
        <v>0</v>
      </c>
      <c r="M107" s="165">
        <v>21.6</v>
      </c>
    </row>
    <row r="108" spans="1:13" s="391" customFormat="1" ht="112.5" customHeight="1">
      <c r="A108" s="150"/>
      <c r="B108" s="168" t="s">
        <v>406</v>
      </c>
      <c r="C108" s="164" t="s">
        <v>3</v>
      </c>
      <c r="D108" s="149" t="s">
        <v>84</v>
      </c>
      <c r="E108" s="149" t="s">
        <v>109</v>
      </c>
      <c r="F108" s="750" t="s">
        <v>102</v>
      </c>
      <c r="G108" s="751" t="s">
        <v>110</v>
      </c>
      <c r="H108" s="751" t="s">
        <v>57</v>
      </c>
      <c r="I108" s="752" t="s">
        <v>395</v>
      </c>
      <c r="J108" s="149"/>
      <c r="K108" s="692">
        <f>K109</f>
        <v>122.1</v>
      </c>
      <c r="L108" s="165">
        <f>L109</f>
        <v>0</v>
      </c>
      <c r="M108" s="165">
        <f>M109</f>
        <v>122.1</v>
      </c>
    </row>
    <row r="109" spans="1:13" s="391" customFormat="1" ht="18.75" customHeight="1">
      <c r="A109" s="150"/>
      <c r="B109" s="168" t="s">
        <v>144</v>
      </c>
      <c r="C109" s="164" t="s">
        <v>3</v>
      </c>
      <c r="D109" s="149" t="s">
        <v>84</v>
      </c>
      <c r="E109" s="149" t="s">
        <v>109</v>
      </c>
      <c r="F109" s="750" t="s">
        <v>102</v>
      </c>
      <c r="G109" s="751" t="s">
        <v>110</v>
      </c>
      <c r="H109" s="751" t="s">
        <v>57</v>
      </c>
      <c r="I109" s="752" t="s">
        <v>395</v>
      </c>
      <c r="J109" s="149" t="s">
        <v>145</v>
      </c>
      <c r="K109" s="692">
        <v>122.1</v>
      </c>
      <c r="L109" s="165">
        <f>M109-K109</f>
        <v>0</v>
      </c>
      <c r="M109" s="165">
        <v>122.1</v>
      </c>
    </row>
    <row r="110" spans="1:13" s="391" customFormat="1" ht="56.25" customHeight="1">
      <c r="A110" s="150"/>
      <c r="B110" s="166" t="s">
        <v>147</v>
      </c>
      <c r="C110" s="164" t="s">
        <v>3</v>
      </c>
      <c r="D110" s="149" t="s">
        <v>84</v>
      </c>
      <c r="E110" s="149" t="s">
        <v>109</v>
      </c>
      <c r="F110" s="750" t="s">
        <v>102</v>
      </c>
      <c r="G110" s="751" t="s">
        <v>110</v>
      </c>
      <c r="H110" s="751" t="s">
        <v>59</v>
      </c>
      <c r="I110" s="752" t="s">
        <v>64</v>
      </c>
      <c r="J110" s="149"/>
      <c r="K110" s="692">
        <f t="shared" ref="K110:M111" si="17">K111</f>
        <v>240.7</v>
      </c>
      <c r="L110" s="165">
        <f t="shared" si="17"/>
        <v>0</v>
      </c>
      <c r="M110" s="165">
        <f t="shared" si="17"/>
        <v>240.7</v>
      </c>
    </row>
    <row r="111" spans="1:13" s="391" customFormat="1" ht="37.5" customHeight="1">
      <c r="A111" s="150"/>
      <c r="B111" s="166" t="s">
        <v>148</v>
      </c>
      <c r="C111" s="164" t="s">
        <v>3</v>
      </c>
      <c r="D111" s="149" t="s">
        <v>84</v>
      </c>
      <c r="E111" s="149" t="s">
        <v>109</v>
      </c>
      <c r="F111" s="750" t="s">
        <v>102</v>
      </c>
      <c r="G111" s="751" t="s">
        <v>110</v>
      </c>
      <c r="H111" s="751" t="s">
        <v>59</v>
      </c>
      <c r="I111" s="752" t="s">
        <v>111</v>
      </c>
      <c r="J111" s="149"/>
      <c r="K111" s="692">
        <f t="shared" si="17"/>
        <v>240.7</v>
      </c>
      <c r="L111" s="165">
        <f t="shared" si="17"/>
        <v>0</v>
      </c>
      <c r="M111" s="165">
        <f t="shared" si="17"/>
        <v>240.7</v>
      </c>
    </row>
    <row r="112" spans="1:13" s="391" customFormat="1" ht="56.25" customHeight="1">
      <c r="A112" s="150"/>
      <c r="B112" s="163" t="s">
        <v>75</v>
      </c>
      <c r="C112" s="164" t="s">
        <v>3</v>
      </c>
      <c r="D112" s="149" t="s">
        <v>84</v>
      </c>
      <c r="E112" s="149" t="s">
        <v>109</v>
      </c>
      <c r="F112" s="750" t="s">
        <v>102</v>
      </c>
      <c r="G112" s="751" t="s">
        <v>110</v>
      </c>
      <c r="H112" s="751" t="s">
        <v>59</v>
      </c>
      <c r="I112" s="752" t="s">
        <v>111</v>
      </c>
      <c r="J112" s="149" t="s">
        <v>76</v>
      </c>
      <c r="K112" s="692">
        <v>240.7</v>
      </c>
      <c r="L112" s="165">
        <f>M112-K112</f>
        <v>0</v>
      </c>
      <c r="M112" s="165">
        <v>240.7</v>
      </c>
    </row>
    <row r="113" spans="1:13" s="391" customFormat="1" ht="75" customHeight="1">
      <c r="A113" s="150"/>
      <c r="B113" s="168" t="s">
        <v>453</v>
      </c>
      <c r="C113" s="164" t="s">
        <v>3</v>
      </c>
      <c r="D113" s="149" t="s">
        <v>84</v>
      </c>
      <c r="E113" s="149" t="s">
        <v>109</v>
      </c>
      <c r="F113" s="750" t="s">
        <v>102</v>
      </c>
      <c r="G113" s="751" t="s">
        <v>50</v>
      </c>
      <c r="H113" s="751" t="s">
        <v>63</v>
      </c>
      <c r="I113" s="752" t="s">
        <v>64</v>
      </c>
      <c r="J113" s="149"/>
      <c r="K113" s="692">
        <f>K114+K119</f>
        <v>10614.9</v>
      </c>
      <c r="L113" s="165">
        <f>L114+L119</f>
        <v>45.399999999999636</v>
      </c>
      <c r="M113" s="165">
        <f>M114+M119</f>
        <v>10660.300000000001</v>
      </c>
    </row>
    <row r="114" spans="1:13" s="391" customFormat="1" ht="79.5" customHeight="1">
      <c r="A114" s="150"/>
      <c r="B114" s="166" t="s">
        <v>386</v>
      </c>
      <c r="C114" s="164" t="s">
        <v>3</v>
      </c>
      <c r="D114" s="149" t="s">
        <v>84</v>
      </c>
      <c r="E114" s="149" t="s">
        <v>109</v>
      </c>
      <c r="F114" s="750" t="s">
        <v>102</v>
      </c>
      <c r="G114" s="751" t="s">
        <v>50</v>
      </c>
      <c r="H114" s="751" t="s">
        <v>57</v>
      </c>
      <c r="I114" s="752" t="s">
        <v>64</v>
      </c>
      <c r="J114" s="149"/>
      <c r="K114" s="692">
        <f>K115</f>
        <v>10159.799999999999</v>
      </c>
      <c r="L114" s="165">
        <f>L115</f>
        <v>45.399999999999636</v>
      </c>
      <c r="M114" s="165">
        <f>M115</f>
        <v>10205.200000000001</v>
      </c>
    </row>
    <row r="115" spans="1:13" s="391" customFormat="1" ht="45.75" customHeight="1">
      <c r="A115" s="150"/>
      <c r="B115" s="166" t="s">
        <v>795</v>
      </c>
      <c r="C115" s="164" t="s">
        <v>3</v>
      </c>
      <c r="D115" s="149" t="s">
        <v>84</v>
      </c>
      <c r="E115" s="149" t="s">
        <v>109</v>
      </c>
      <c r="F115" s="750" t="s">
        <v>102</v>
      </c>
      <c r="G115" s="751" t="s">
        <v>50</v>
      </c>
      <c r="H115" s="751" t="s">
        <v>57</v>
      </c>
      <c r="I115" s="752" t="s">
        <v>112</v>
      </c>
      <c r="J115" s="149"/>
      <c r="K115" s="692">
        <f>K116+K117+K118</f>
        <v>10159.799999999999</v>
      </c>
      <c r="L115" s="165">
        <f>L116+L117+L118</f>
        <v>45.399999999999636</v>
      </c>
      <c r="M115" s="165">
        <f>M116+M117+M118</f>
        <v>10205.200000000001</v>
      </c>
    </row>
    <row r="116" spans="1:13" s="391" customFormat="1" ht="112.5" customHeight="1">
      <c r="A116" s="150"/>
      <c r="B116" s="163" t="s">
        <v>69</v>
      </c>
      <c r="C116" s="164" t="s">
        <v>3</v>
      </c>
      <c r="D116" s="149" t="s">
        <v>84</v>
      </c>
      <c r="E116" s="149" t="s">
        <v>109</v>
      </c>
      <c r="F116" s="750" t="s">
        <v>102</v>
      </c>
      <c r="G116" s="751" t="s">
        <v>50</v>
      </c>
      <c r="H116" s="751" t="s">
        <v>57</v>
      </c>
      <c r="I116" s="752" t="s">
        <v>112</v>
      </c>
      <c r="J116" s="149" t="s">
        <v>70</v>
      </c>
      <c r="K116" s="692">
        <f>7266+274.6</f>
        <v>7540.6</v>
      </c>
      <c r="L116" s="881">
        <f>M116-K116</f>
        <v>28.699999999999818</v>
      </c>
      <c r="M116" s="165">
        <f>7266+274.6+28.7</f>
        <v>7569.3</v>
      </c>
    </row>
    <row r="117" spans="1:13" s="391" customFormat="1" ht="56.25" customHeight="1">
      <c r="A117" s="150"/>
      <c r="B117" s="163" t="s">
        <v>75</v>
      </c>
      <c r="C117" s="164" t="s">
        <v>3</v>
      </c>
      <c r="D117" s="149" t="s">
        <v>84</v>
      </c>
      <c r="E117" s="149" t="s">
        <v>109</v>
      </c>
      <c r="F117" s="750" t="s">
        <v>102</v>
      </c>
      <c r="G117" s="751" t="s">
        <v>50</v>
      </c>
      <c r="H117" s="751" t="s">
        <v>57</v>
      </c>
      <c r="I117" s="752" t="s">
        <v>112</v>
      </c>
      <c r="J117" s="149" t="s">
        <v>76</v>
      </c>
      <c r="K117" s="692">
        <f>2242.3+127.9+199.9+42.8</f>
        <v>2612.9000000000005</v>
      </c>
      <c r="L117" s="881">
        <f>M117-K117</f>
        <v>16.699999999999818</v>
      </c>
      <c r="M117" s="165">
        <f>2242.3+127.9+199.9+42.8+16.7</f>
        <v>2629.6000000000004</v>
      </c>
    </row>
    <row r="118" spans="1:13" s="391" customFormat="1" ht="18.75" customHeight="1">
      <c r="A118" s="150"/>
      <c r="B118" s="163" t="s">
        <v>77</v>
      </c>
      <c r="C118" s="164" t="s">
        <v>3</v>
      </c>
      <c r="D118" s="149" t="s">
        <v>84</v>
      </c>
      <c r="E118" s="149" t="s">
        <v>109</v>
      </c>
      <c r="F118" s="750" t="s">
        <v>102</v>
      </c>
      <c r="G118" s="751" t="s">
        <v>50</v>
      </c>
      <c r="H118" s="751" t="s">
        <v>57</v>
      </c>
      <c r="I118" s="752" t="s">
        <v>112</v>
      </c>
      <c r="J118" s="149" t="s">
        <v>78</v>
      </c>
      <c r="K118" s="692">
        <v>6.3</v>
      </c>
      <c r="L118" s="165">
        <f>M118-K118</f>
        <v>0</v>
      </c>
      <c r="M118" s="165">
        <v>6.3</v>
      </c>
    </row>
    <row r="119" spans="1:13" s="391" customFormat="1" ht="40.5" customHeight="1">
      <c r="A119" s="150"/>
      <c r="B119" s="168" t="s">
        <v>815</v>
      </c>
      <c r="C119" s="164" t="s">
        <v>3</v>
      </c>
      <c r="D119" s="149" t="s">
        <v>84</v>
      </c>
      <c r="E119" s="149" t="s">
        <v>109</v>
      </c>
      <c r="F119" s="750" t="s">
        <v>102</v>
      </c>
      <c r="G119" s="751" t="s">
        <v>50</v>
      </c>
      <c r="H119" s="751" t="s">
        <v>59</v>
      </c>
      <c r="I119" s="752" t="s">
        <v>64</v>
      </c>
      <c r="J119" s="149"/>
      <c r="K119" s="692">
        <f t="shared" ref="K119:M120" si="18">K120</f>
        <v>455.1</v>
      </c>
      <c r="L119" s="165">
        <f t="shared" si="18"/>
        <v>0</v>
      </c>
      <c r="M119" s="165">
        <f t="shared" si="18"/>
        <v>455.1</v>
      </c>
    </row>
    <row r="120" spans="1:13" s="391" customFormat="1" ht="56.25" customHeight="1">
      <c r="A120" s="150"/>
      <c r="B120" s="357" t="s">
        <v>106</v>
      </c>
      <c r="C120" s="164" t="s">
        <v>3</v>
      </c>
      <c r="D120" s="149" t="s">
        <v>84</v>
      </c>
      <c r="E120" s="149" t="s">
        <v>109</v>
      </c>
      <c r="F120" s="750" t="s">
        <v>102</v>
      </c>
      <c r="G120" s="751" t="s">
        <v>50</v>
      </c>
      <c r="H120" s="751" t="s">
        <v>59</v>
      </c>
      <c r="I120" s="752" t="s">
        <v>107</v>
      </c>
      <c r="J120" s="149"/>
      <c r="K120" s="692">
        <f t="shared" si="18"/>
        <v>455.1</v>
      </c>
      <c r="L120" s="165">
        <f t="shared" si="18"/>
        <v>0</v>
      </c>
      <c r="M120" s="165">
        <f t="shared" si="18"/>
        <v>455.1</v>
      </c>
    </row>
    <row r="121" spans="1:13" s="391" customFormat="1" ht="53.25" customHeight="1">
      <c r="A121" s="150"/>
      <c r="B121" s="660" t="s">
        <v>75</v>
      </c>
      <c r="C121" s="164" t="s">
        <v>3</v>
      </c>
      <c r="D121" s="149" t="s">
        <v>84</v>
      </c>
      <c r="E121" s="149" t="s">
        <v>109</v>
      </c>
      <c r="F121" s="750" t="s">
        <v>102</v>
      </c>
      <c r="G121" s="751" t="s">
        <v>50</v>
      </c>
      <c r="H121" s="751" t="s">
        <v>59</v>
      </c>
      <c r="I121" s="752" t="s">
        <v>107</v>
      </c>
      <c r="J121" s="149" t="s">
        <v>76</v>
      </c>
      <c r="K121" s="692">
        <v>455.1</v>
      </c>
      <c r="L121" s="165">
        <f>M121-K121</f>
        <v>0</v>
      </c>
      <c r="M121" s="165">
        <v>455.1</v>
      </c>
    </row>
    <row r="122" spans="1:13" s="391" customFormat="1" ht="53.25" customHeight="1">
      <c r="A122" s="150"/>
      <c r="B122" s="661" t="s">
        <v>903</v>
      </c>
      <c r="C122" s="164" t="s">
        <v>3</v>
      </c>
      <c r="D122" s="149" t="s">
        <v>84</v>
      </c>
      <c r="E122" s="149" t="s">
        <v>109</v>
      </c>
      <c r="F122" s="750" t="s">
        <v>102</v>
      </c>
      <c r="G122" s="751" t="s">
        <v>51</v>
      </c>
      <c r="H122" s="751" t="s">
        <v>63</v>
      </c>
      <c r="I122" s="752" t="s">
        <v>64</v>
      </c>
      <c r="J122" s="149"/>
      <c r="K122" s="692">
        <f t="shared" ref="K122:M124" si="19">K123</f>
        <v>21.6</v>
      </c>
      <c r="L122" s="165">
        <f t="shared" si="19"/>
        <v>0</v>
      </c>
      <c r="M122" s="165">
        <f t="shared" si="19"/>
        <v>21.6</v>
      </c>
    </row>
    <row r="123" spans="1:13" s="391" customFormat="1" ht="72" customHeight="1">
      <c r="A123" s="150"/>
      <c r="B123" s="662" t="s">
        <v>904</v>
      </c>
      <c r="C123" s="164" t="s">
        <v>3</v>
      </c>
      <c r="D123" s="149" t="s">
        <v>84</v>
      </c>
      <c r="E123" s="149" t="s">
        <v>109</v>
      </c>
      <c r="F123" s="750" t="s">
        <v>102</v>
      </c>
      <c r="G123" s="751" t="s">
        <v>51</v>
      </c>
      <c r="H123" s="751" t="s">
        <v>57</v>
      </c>
      <c r="I123" s="752" t="s">
        <v>64</v>
      </c>
      <c r="J123" s="149"/>
      <c r="K123" s="692">
        <f t="shared" si="19"/>
        <v>21.6</v>
      </c>
      <c r="L123" s="165">
        <f t="shared" si="19"/>
        <v>0</v>
      </c>
      <c r="M123" s="165">
        <f t="shared" si="19"/>
        <v>21.6</v>
      </c>
    </row>
    <row r="124" spans="1:13" s="391" customFormat="1" ht="53.25" customHeight="1">
      <c r="A124" s="150"/>
      <c r="B124" s="658" t="s">
        <v>106</v>
      </c>
      <c r="C124" s="164" t="s">
        <v>3</v>
      </c>
      <c r="D124" s="149" t="s">
        <v>84</v>
      </c>
      <c r="E124" s="149" t="s">
        <v>109</v>
      </c>
      <c r="F124" s="750" t="s">
        <v>102</v>
      </c>
      <c r="G124" s="751" t="s">
        <v>51</v>
      </c>
      <c r="H124" s="751" t="s">
        <v>57</v>
      </c>
      <c r="I124" s="752" t="s">
        <v>107</v>
      </c>
      <c r="J124" s="149"/>
      <c r="K124" s="692">
        <f t="shared" si="19"/>
        <v>21.6</v>
      </c>
      <c r="L124" s="165">
        <f t="shared" si="19"/>
        <v>0</v>
      </c>
      <c r="M124" s="165">
        <f t="shared" si="19"/>
        <v>21.6</v>
      </c>
    </row>
    <row r="125" spans="1:13" s="391" customFormat="1" ht="53.25" customHeight="1">
      <c r="A125" s="150"/>
      <c r="B125" s="660" t="s">
        <v>75</v>
      </c>
      <c r="C125" s="164" t="s">
        <v>3</v>
      </c>
      <c r="D125" s="149" t="s">
        <v>84</v>
      </c>
      <c r="E125" s="149" t="s">
        <v>109</v>
      </c>
      <c r="F125" s="750" t="s">
        <v>102</v>
      </c>
      <c r="G125" s="751" t="s">
        <v>51</v>
      </c>
      <c r="H125" s="751" t="s">
        <v>57</v>
      </c>
      <c r="I125" s="752" t="s">
        <v>107</v>
      </c>
      <c r="J125" s="149" t="s">
        <v>76</v>
      </c>
      <c r="K125" s="692">
        <v>21.6</v>
      </c>
      <c r="L125" s="165">
        <f>M125-K125</f>
        <v>0</v>
      </c>
      <c r="M125" s="165">
        <v>21.6</v>
      </c>
    </row>
    <row r="126" spans="1:13" s="391" customFormat="1" ht="18.75" customHeight="1">
      <c r="A126" s="150"/>
      <c r="B126" s="163" t="s">
        <v>113</v>
      </c>
      <c r="C126" s="164" t="s">
        <v>3</v>
      </c>
      <c r="D126" s="149" t="s">
        <v>72</v>
      </c>
      <c r="E126" s="149"/>
      <c r="F126" s="750"/>
      <c r="G126" s="751"/>
      <c r="H126" s="751"/>
      <c r="I126" s="752"/>
      <c r="J126" s="149"/>
      <c r="K126" s="692">
        <f>K127+K136+K142</f>
        <v>29561.582999999999</v>
      </c>
      <c r="L126" s="165">
        <f>L127+L136+L142</f>
        <v>-3.1999999999999886</v>
      </c>
      <c r="M126" s="165">
        <f>M127+M136+M142</f>
        <v>29558.383000000002</v>
      </c>
    </row>
    <row r="127" spans="1:13" s="146" customFormat="1" ht="18.75" customHeight="1">
      <c r="A127" s="150"/>
      <c r="B127" s="163" t="s">
        <v>114</v>
      </c>
      <c r="C127" s="164" t="s">
        <v>3</v>
      </c>
      <c r="D127" s="149" t="s">
        <v>72</v>
      </c>
      <c r="E127" s="149" t="s">
        <v>86</v>
      </c>
      <c r="F127" s="750"/>
      <c r="G127" s="751"/>
      <c r="H127" s="751"/>
      <c r="I127" s="752"/>
      <c r="J127" s="149"/>
      <c r="K127" s="692">
        <f t="shared" ref="K127:M128" si="20">K128</f>
        <v>11258.5</v>
      </c>
      <c r="L127" s="165">
        <f t="shared" si="20"/>
        <v>-3.1999999999999886</v>
      </c>
      <c r="M127" s="165">
        <f t="shared" si="20"/>
        <v>11255.300000000001</v>
      </c>
    </row>
    <row r="128" spans="1:13" s="391" customFormat="1" ht="60" customHeight="1">
      <c r="A128" s="150"/>
      <c r="B128" s="163" t="s">
        <v>115</v>
      </c>
      <c r="C128" s="164" t="s">
        <v>3</v>
      </c>
      <c r="D128" s="149" t="s">
        <v>72</v>
      </c>
      <c r="E128" s="149" t="s">
        <v>86</v>
      </c>
      <c r="F128" s="750" t="s">
        <v>88</v>
      </c>
      <c r="G128" s="751" t="s">
        <v>62</v>
      </c>
      <c r="H128" s="751" t="s">
        <v>63</v>
      </c>
      <c r="I128" s="752" t="s">
        <v>64</v>
      </c>
      <c r="J128" s="149"/>
      <c r="K128" s="692">
        <f t="shared" si="20"/>
        <v>11258.5</v>
      </c>
      <c r="L128" s="165">
        <f t="shared" si="20"/>
        <v>-3.1999999999999886</v>
      </c>
      <c r="M128" s="165">
        <f t="shared" si="20"/>
        <v>11255.300000000001</v>
      </c>
    </row>
    <row r="129" spans="1:13" s="146" customFormat="1" ht="37.5" customHeight="1">
      <c r="A129" s="150"/>
      <c r="B129" s="163" t="s">
        <v>404</v>
      </c>
      <c r="C129" s="164" t="s">
        <v>3</v>
      </c>
      <c r="D129" s="149" t="s">
        <v>72</v>
      </c>
      <c r="E129" s="149" t="s">
        <v>86</v>
      </c>
      <c r="F129" s="750" t="s">
        <v>88</v>
      </c>
      <c r="G129" s="751" t="s">
        <v>65</v>
      </c>
      <c r="H129" s="751" t="s">
        <v>63</v>
      </c>
      <c r="I129" s="752" t="s">
        <v>64</v>
      </c>
      <c r="J129" s="149"/>
      <c r="K129" s="692">
        <f>K130+K133</f>
        <v>11258.5</v>
      </c>
      <c r="L129" s="165">
        <f>L130+L133</f>
        <v>-3.1999999999999886</v>
      </c>
      <c r="M129" s="165">
        <f>M130+M133</f>
        <v>11255.300000000001</v>
      </c>
    </row>
    <row r="130" spans="1:13" s="146" customFormat="1" ht="56.25" customHeight="1">
      <c r="A130" s="150"/>
      <c r="B130" s="163" t="s">
        <v>116</v>
      </c>
      <c r="C130" s="164" t="s">
        <v>3</v>
      </c>
      <c r="D130" s="149" t="s">
        <v>72</v>
      </c>
      <c r="E130" s="149" t="s">
        <v>86</v>
      </c>
      <c r="F130" s="750" t="s">
        <v>88</v>
      </c>
      <c r="G130" s="751" t="s">
        <v>65</v>
      </c>
      <c r="H130" s="751" t="s">
        <v>57</v>
      </c>
      <c r="I130" s="752" t="s">
        <v>64</v>
      </c>
      <c r="J130" s="149"/>
      <c r="K130" s="692">
        <f t="shared" ref="K130:M130" si="21">K131</f>
        <v>11070.6</v>
      </c>
      <c r="L130" s="165">
        <f t="shared" si="21"/>
        <v>0</v>
      </c>
      <c r="M130" s="165">
        <f t="shared" si="21"/>
        <v>11070.6</v>
      </c>
    </row>
    <row r="131" spans="1:13" s="146" customFormat="1" ht="75" customHeight="1">
      <c r="A131" s="150"/>
      <c r="B131" s="195" t="s">
        <v>582</v>
      </c>
      <c r="C131" s="164" t="s">
        <v>3</v>
      </c>
      <c r="D131" s="149" t="s">
        <v>72</v>
      </c>
      <c r="E131" s="149" t="s">
        <v>86</v>
      </c>
      <c r="F131" s="750" t="s">
        <v>88</v>
      </c>
      <c r="G131" s="751" t="s">
        <v>65</v>
      </c>
      <c r="H131" s="751" t="s">
        <v>57</v>
      </c>
      <c r="I131" s="752" t="s">
        <v>82</v>
      </c>
      <c r="J131" s="149"/>
      <c r="K131" s="692">
        <f>K132</f>
        <v>11070.6</v>
      </c>
      <c r="L131" s="165">
        <f>L132</f>
        <v>0</v>
      </c>
      <c r="M131" s="165">
        <f>M132</f>
        <v>11070.6</v>
      </c>
    </row>
    <row r="132" spans="1:13" s="391" customFormat="1" ht="18.75" customHeight="1">
      <c r="A132" s="150"/>
      <c r="B132" s="163" t="s">
        <v>77</v>
      </c>
      <c r="C132" s="164" t="s">
        <v>3</v>
      </c>
      <c r="D132" s="149" t="s">
        <v>72</v>
      </c>
      <c r="E132" s="149" t="s">
        <v>86</v>
      </c>
      <c r="F132" s="750" t="s">
        <v>88</v>
      </c>
      <c r="G132" s="751" t="s">
        <v>65</v>
      </c>
      <c r="H132" s="751" t="s">
        <v>57</v>
      </c>
      <c r="I132" s="752" t="s">
        <v>82</v>
      </c>
      <c r="J132" s="149" t="s">
        <v>78</v>
      </c>
      <c r="K132" s="692">
        <v>11070.6</v>
      </c>
      <c r="L132" s="165">
        <f>M132-K132</f>
        <v>0</v>
      </c>
      <c r="M132" s="165">
        <v>11070.6</v>
      </c>
    </row>
    <row r="133" spans="1:13" s="146" customFormat="1" ht="63.75" customHeight="1">
      <c r="A133" s="150"/>
      <c r="B133" s="163" t="s">
        <v>117</v>
      </c>
      <c r="C133" s="164" t="s">
        <v>3</v>
      </c>
      <c r="D133" s="149" t="s">
        <v>72</v>
      </c>
      <c r="E133" s="149" t="s">
        <v>86</v>
      </c>
      <c r="F133" s="750" t="s">
        <v>88</v>
      </c>
      <c r="G133" s="751" t="s">
        <v>65</v>
      </c>
      <c r="H133" s="751" t="s">
        <v>59</v>
      </c>
      <c r="I133" s="752" t="s">
        <v>64</v>
      </c>
      <c r="J133" s="149"/>
      <c r="K133" s="692">
        <f t="shared" ref="K133:M134" si="22">K134</f>
        <v>187.9</v>
      </c>
      <c r="L133" s="165">
        <f t="shared" si="22"/>
        <v>-3.1999999999999886</v>
      </c>
      <c r="M133" s="165">
        <f t="shared" si="22"/>
        <v>184.70000000000002</v>
      </c>
    </row>
    <row r="134" spans="1:13" s="146" customFormat="1" ht="172.5" customHeight="1">
      <c r="A134" s="150"/>
      <c r="B134" s="163" t="s">
        <v>687</v>
      </c>
      <c r="C134" s="164" t="s">
        <v>3</v>
      </c>
      <c r="D134" s="149" t="s">
        <v>72</v>
      </c>
      <c r="E134" s="149" t="s">
        <v>86</v>
      </c>
      <c r="F134" s="750" t="s">
        <v>88</v>
      </c>
      <c r="G134" s="751" t="s">
        <v>65</v>
      </c>
      <c r="H134" s="751" t="s">
        <v>59</v>
      </c>
      <c r="I134" s="752" t="s">
        <v>118</v>
      </c>
      <c r="J134" s="149"/>
      <c r="K134" s="692">
        <f t="shared" si="22"/>
        <v>187.9</v>
      </c>
      <c r="L134" s="165">
        <f t="shared" si="22"/>
        <v>-3.1999999999999886</v>
      </c>
      <c r="M134" s="165">
        <f t="shared" si="22"/>
        <v>184.70000000000002</v>
      </c>
    </row>
    <row r="135" spans="1:13" s="391" customFormat="1" ht="56.25" customHeight="1">
      <c r="A135" s="150"/>
      <c r="B135" s="163" t="s">
        <v>75</v>
      </c>
      <c r="C135" s="164" t="s">
        <v>3</v>
      </c>
      <c r="D135" s="149" t="s">
        <v>72</v>
      </c>
      <c r="E135" s="149" t="s">
        <v>86</v>
      </c>
      <c r="F135" s="750" t="s">
        <v>88</v>
      </c>
      <c r="G135" s="751" t="s">
        <v>65</v>
      </c>
      <c r="H135" s="751" t="s">
        <v>59</v>
      </c>
      <c r="I135" s="752" t="s">
        <v>118</v>
      </c>
      <c r="J135" s="149" t="s">
        <v>76</v>
      </c>
      <c r="K135" s="692">
        <v>187.9</v>
      </c>
      <c r="L135" s="881">
        <f>M135-K135</f>
        <v>-3.1999999999999886</v>
      </c>
      <c r="M135" s="741">
        <f>187.9-3.2</f>
        <v>184.70000000000002</v>
      </c>
    </row>
    <row r="136" spans="1:13" s="146" customFormat="1" ht="18.75" customHeight="1">
      <c r="A136" s="150"/>
      <c r="B136" s="168" t="s">
        <v>119</v>
      </c>
      <c r="C136" s="164" t="s">
        <v>3</v>
      </c>
      <c r="D136" s="149" t="s">
        <v>72</v>
      </c>
      <c r="E136" s="149" t="s">
        <v>100</v>
      </c>
      <c r="F136" s="750"/>
      <c r="G136" s="751"/>
      <c r="H136" s="751"/>
      <c r="I136" s="752"/>
      <c r="J136" s="149"/>
      <c r="K136" s="692">
        <f t="shared" ref="K136:M140" si="23">K137</f>
        <v>9802.3829999999998</v>
      </c>
      <c r="L136" s="165">
        <f t="shared" si="23"/>
        <v>0</v>
      </c>
      <c r="M136" s="165">
        <f t="shared" si="23"/>
        <v>9802.3829999999998</v>
      </c>
    </row>
    <row r="137" spans="1:13" s="391" customFormat="1" ht="56.25" customHeight="1">
      <c r="A137" s="150"/>
      <c r="B137" s="163" t="s">
        <v>120</v>
      </c>
      <c r="C137" s="164" t="s">
        <v>3</v>
      </c>
      <c r="D137" s="149" t="s">
        <v>72</v>
      </c>
      <c r="E137" s="149" t="s">
        <v>100</v>
      </c>
      <c r="F137" s="750" t="s">
        <v>121</v>
      </c>
      <c r="G137" s="751" t="s">
        <v>62</v>
      </c>
      <c r="H137" s="751" t="s">
        <v>63</v>
      </c>
      <c r="I137" s="752" t="s">
        <v>64</v>
      </c>
      <c r="J137" s="149"/>
      <c r="K137" s="692">
        <f t="shared" si="23"/>
        <v>9802.3829999999998</v>
      </c>
      <c r="L137" s="165">
        <f t="shared" si="23"/>
        <v>0</v>
      </c>
      <c r="M137" s="165">
        <f t="shared" si="23"/>
        <v>9802.3829999999998</v>
      </c>
    </row>
    <row r="138" spans="1:13" s="146" customFormat="1" ht="37.5" customHeight="1">
      <c r="A138" s="150"/>
      <c r="B138" s="163" t="s">
        <v>404</v>
      </c>
      <c r="C138" s="164" t="s">
        <v>3</v>
      </c>
      <c r="D138" s="149" t="s">
        <v>72</v>
      </c>
      <c r="E138" s="149" t="s">
        <v>100</v>
      </c>
      <c r="F138" s="750" t="s">
        <v>121</v>
      </c>
      <c r="G138" s="751" t="s">
        <v>65</v>
      </c>
      <c r="H138" s="751" t="s">
        <v>63</v>
      </c>
      <c r="I138" s="752" t="s">
        <v>64</v>
      </c>
      <c r="J138" s="149"/>
      <c r="K138" s="692">
        <f t="shared" si="23"/>
        <v>9802.3829999999998</v>
      </c>
      <c r="L138" s="165">
        <f t="shared" si="23"/>
        <v>0</v>
      </c>
      <c r="M138" s="165">
        <f t="shared" si="23"/>
        <v>9802.3829999999998</v>
      </c>
    </row>
    <row r="139" spans="1:13" s="146" customFormat="1" ht="93.75" customHeight="1">
      <c r="A139" s="150"/>
      <c r="B139" s="163" t="s">
        <v>122</v>
      </c>
      <c r="C139" s="164" t="s">
        <v>3</v>
      </c>
      <c r="D139" s="149" t="s">
        <v>72</v>
      </c>
      <c r="E139" s="149" t="s">
        <v>100</v>
      </c>
      <c r="F139" s="750" t="s">
        <v>121</v>
      </c>
      <c r="G139" s="751" t="s">
        <v>65</v>
      </c>
      <c r="H139" s="751" t="s">
        <v>57</v>
      </c>
      <c r="I139" s="752" t="s">
        <v>64</v>
      </c>
      <c r="J139" s="149"/>
      <c r="K139" s="692">
        <f t="shared" si="23"/>
        <v>9802.3829999999998</v>
      </c>
      <c r="L139" s="165">
        <f t="shared" si="23"/>
        <v>0</v>
      </c>
      <c r="M139" s="165">
        <f t="shared" si="23"/>
        <v>9802.3829999999998</v>
      </c>
    </row>
    <row r="140" spans="1:13" s="146" customFormat="1" ht="75.75" customHeight="1">
      <c r="A140" s="150"/>
      <c r="B140" s="169" t="s">
        <v>123</v>
      </c>
      <c r="C140" s="164" t="s">
        <v>3</v>
      </c>
      <c r="D140" s="149" t="s">
        <v>72</v>
      </c>
      <c r="E140" s="149" t="s">
        <v>100</v>
      </c>
      <c r="F140" s="750" t="s">
        <v>121</v>
      </c>
      <c r="G140" s="751" t="s">
        <v>65</v>
      </c>
      <c r="H140" s="751" t="s">
        <v>57</v>
      </c>
      <c r="I140" s="752" t="s">
        <v>124</v>
      </c>
      <c r="J140" s="149"/>
      <c r="K140" s="692">
        <f t="shared" si="23"/>
        <v>9802.3829999999998</v>
      </c>
      <c r="L140" s="165">
        <f t="shared" si="23"/>
        <v>0</v>
      </c>
      <c r="M140" s="165">
        <f t="shared" si="23"/>
        <v>9802.3829999999998</v>
      </c>
    </row>
    <row r="141" spans="1:13" s="391" customFormat="1" ht="56.25" customHeight="1">
      <c r="A141" s="150"/>
      <c r="B141" s="163" t="s">
        <v>75</v>
      </c>
      <c r="C141" s="164" t="s">
        <v>3</v>
      </c>
      <c r="D141" s="149" t="s">
        <v>72</v>
      </c>
      <c r="E141" s="149" t="s">
        <v>100</v>
      </c>
      <c r="F141" s="750" t="s">
        <v>121</v>
      </c>
      <c r="G141" s="751" t="s">
        <v>65</v>
      </c>
      <c r="H141" s="751" t="s">
        <v>57</v>
      </c>
      <c r="I141" s="752" t="s">
        <v>124</v>
      </c>
      <c r="J141" s="149" t="s">
        <v>76</v>
      </c>
      <c r="K141" s="692">
        <f>5728.2+4074.183</f>
        <v>9802.3829999999998</v>
      </c>
      <c r="L141" s="165">
        <f>M141-K141</f>
        <v>0</v>
      </c>
      <c r="M141" s="165">
        <f>5728.2+4074.183</f>
        <v>9802.3829999999998</v>
      </c>
    </row>
    <row r="142" spans="1:13" s="146" customFormat="1" ht="37.5" customHeight="1">
      <c r="A142" s="150"/>
      <c r="B142" s="168" t="s">
        <v>127</v>
      </c>
      <c r="C142" s="164" t="s">
        <v>3</v>
      </c>
      <c r="D142" s="149" t="s">
        <v>72</v>
      </c>
      <c r="E142" s="149" t="s">
        <v>121</v>
      </c>
      <c r="F142" s="750"/>
      <c r="G142" s="751"/>
      <c r="H142" s="751"/>
      <c r="I142" s="752"/>
      <c r="J142" s="149"/>
      <c r="K142" s="692">
        <f>K143+K152+K159</f>
        <v>8500.6999999999989</v>
      </c>
      <c r="L142" s="165">
        <f>L143+L152+L159</f>
        <v>0</v>
      </c>
      <c r="M142" s="165">
        <f>M143+M152+M159</f>
        <v>8500.6999999999989</v>
      </c>
    </row>
    <row r="143" spans="1:13" s="391" customFormat="1" ht="75" customHeight="1">
      <c r="A143" s="150"/>
      <c r="B143" s="163" t="s">
        <v>128</v>
      </c>
      <c r="C143" s="164" t="s">
        <v>3</v>
      </c>
      <c r="D143" s="149" t="s">
        <v>72</v>
      </c>
      <c r="E143" s="149" t="s">
        <v>121</v>
      </c>
      <c r="F143" s="750" t="s">
        <v>92</v>
      </c>
      <c r="G143" s="751" t="s">
        <v>62</v>
      </c>
      <c r="H143" s="751" t="s">
        <v>63</v>
      </c>
      <c r="I143" s="752" t="s">
        <v>64</v>
      </c>
      <c r="J143" s="149"/>
      <c r="K143" s="692">
        <f>K144+K148</f>
        <v>1025.0999999999999</v>
      </c>
      <c r="L143" s="165">
        <f>L144+L148</f>
        <v>0</v>
      </c>
      <c r="M143" s="165">
        <f>M144+M148</f>
        <v>1025.0999999999999</v>
      </c>
    </row>
    <row r="144" spans="1:13" s="391" customFormat="1" ht="56.25" customHeight="1">
      <c r="A144" s="150"/>
      <c r="B144" s="168" t="s">
        <v>129</v>
      </c>
      <c r="C144" s="164" t="s">
        <v>3</v>
      </c>
      <c r="D144" s="149" t="s">
        <v>72</v>
      </c>
      <c r="E144" s="149" t="s">
        <v>121</v>
      </c>
      <c r="F144" s="750" t="s">
        <v>92</v>
      </c>
      <c r="G144" s="751" t="s">
        <v>65</v>
      </c>
      <c r="H144" s="751" t="s">
        <v>63</v>
      </c>
      <c r="I144" s="752" t="s">
        <v>64</v>
      </c>
      <c r="J144" s="149"/>
      <c r="K144" s="692">
        <f t="shared" ref="K144:M145" si="24">K145</f>
        <v>310</v>
      </c>
      <c r="L144" s="165">
        <f t="shared" si="24"/>
        <v>0</v>
      </c>
      <c r="M144" s="165">
        <f t="shared" si="24"/>
        <v>310</v>
      </c>
    </row>
    <row r="145" spans="1:13" s="146" customFormat="1" ht="37.5" customHeight="1">
      <c r="A145" s="150"/>
      <c r="B145" s="163" t="s">
        <v>130</v>
      </c>
      <c r="C145" s="164" t="s">
        <v>3</v>
      </c>
      <c r="D145" s="149" t="s">
        <v>72</v>
      </c>
      <c r="E145" s="149" t="s">
        <v>121</v>
      </c>
      <c r="F145" s="750" t="s">
        <v>92</v>
      </c>
      <c r="G145" s="751" t="s">
        <v>65</v>
      </c>
      <c r="H145" s="751" t="s">
        <v>57</v>
      </c>
      <c r="I145" s="752" t="s">
        <v>64</v>
      </c>
      <c r="J145" s="149"/>
      <c r="K145" s="692">
        <f t="shared" si="24"/>
        <v>310</v>
      </c>
      <c r="L145" s="165">
        <f t="shared" si="24"/>
        <v>0</v>
      </c>
      <c r="M145" s="165">
        <f t="shared" si="24"/>
        <v>310</v>
      </c>
    </row>
    <row r="146" spans="1:13" s="391" customFormat="1" ht="37.5" customHeight="1">
      <c r="A146" s="150"/>
      <c r="B146" s="168" t="s">
        <v>131</v>
      </c>
      <c r="C146" s="164" t="s">
        <v>3</v>
      </c>
      <c r="D146" s="149" t="s">
        <v>72</v>
      </c>
      <c r="E146" s="149" t="s">
        <v>121</v>
      </c>
      <c r="F146" s="750" t="s">
        <v>92</v>
      </c>
      <c r="G146" s="751" t="s">
        <v>65</v>
      </c>
      <c r="H146" s="751" t="s">
        <v>57</v>
      </c>
      <c r="I146" s="752" t="s">
        <v>132</v>
      </c>
      <c r="J146" s="149"/>
      <c r="K146" s="692">
        <f>K147</f>
        <v>310</v>
      </c>
      <c r="L146" s="165">
        <f>L147</f>
        <v>0</v>
      </c>
      <c r="M146" s="165">
        <f>M147</f>
        <v>310</v>
      </c>
    </row>
    <row r="147" spans="1:13" s="146" customFormat="1" ht="56.25" customHeight="1">
      <c r="A147" s="150"/>
      <c r="B147" s="163" t="s">
        <v>75</v>
      </c>
      <c r="C147" s="164" t="s">
        <v>3</v>
      </c>
      <c r="D147" s="149" t="s">
        <v>72</v>
      </c>
      <c r="E147" s="149" t="s">
        <v>121</v>
      </c>
      <c r="F147" s="750" t="s">
        <v>92</v>
      </c>
      <c r="G147" s="751" t="s">
        <v>65</v>
      </c>
      <c r="H147" s="751" t="s">
        <v>57</v>
      </c>
      <c r="I147" s="752" t="s">
        <v>132</v>
      </c>
      <c r="J147" s="149" t="s">
        <v>76</v>
      </c>
      <c r="K147" s="692">
        <v>310</v>
      </c>
      <c r="L147" s="165">
        <f>M147-K147</f>
        <v>0</v>
      </c>
      <c r="M147" s="165">
        <v>310</v>
      </c>
    </row>
    <row r="148" spans="1:13" s="391" customFormat="1" ht="37.5" customHeight="1">
      <c r="A148" s="150"/>
      <c r="B148" s="168" t="s">
        <v>133</v>
      </c>
      <c r="C148" s="164" t="s">
        <v>3</v>
      </c>
      <c r="D148" s="149" t="s">
        <v>72</v>
      </c>
      <c r="E148" s="149" t="s">
        <v>121</v>
      </c>
      <c r="F148" s="750" t="s">
        <v>92</v>
      </c>
      <c r="G148" s="751" t="s">
        <v>110</v>
      </c>
      <c r="H148" s="751" t="s">
        <v>63</v>
      </c>
      <c r="I148" s="752" t="s">
        <v>64</v>
      </c>
      <c r="J148" s="149"/>
      <c r="K148" s="692">
        <f t="shared" ref="K148:M150" si="25">K149</f>
        <v>715.1</v>
      </c>
      <c r="L148" s="165">
        <f t="shared" si="25"/>
        <v>0</v>
      </c>
      <c r="M148" s="165">
        <f t="shared" si="25"/>
        <v>715.1</v>
      </c>
    </row>
    <row r="149" spans="1:13" s="146" customFormat="1" ht="56.25" customHeight="1">
      <c r="A149" s="150"/>
      <c r="B149" s="168" t="s">
        <v>134</v>
      </c>
      <c r="C149" s="164" t="s">
        <v>3</v>
      </c>
      <c r="D149" s="149" t="s">
        <v>72</v>
      </c>
      <c r="E149" s="149" t="s">
        <v>121</v>
      </c>
      <c r="F149" s="750" t="s">
        <v>92</v>
      </c>
      <c r="G149" s="751" t="s">
        <v>110</v>
      </c>
      <c r="H149" s="751" t="s">
        <v>57</v>
      </c>
      <c r="I149" s="752" t="s">
        <v>64</v>
      </c>
      <c r="J149" s="149"/>
      <c r="K149" s="692">
        <f t="shared" si="25"/>
        <v>715.1</v>
      </c>
      <c r="L149" s="165">
        <f t="shared" si="25"/>
        <v>0</v>
      </c>
      <c r="M149" s="165">
        <f t="shared" si="25"/>
        <v>715.1</v>
      </c>
    </row>
    <row r="150" spans="1:13" s="391" customFormat="1" ht="79.5" customHeight="1">
      <c r="A150" s="150"/>
      <c r="B150" s="168" t="s">
        <v>135</v>
      </c>
      <c r="C150" s="164" t="s">
        <v>3</v>
      </c>
      <c r="D150" s="149" t="s">
        <v>72</v>
      </c>
      <c r="E150" s="149" t="s">
        <v>121</v>
      </c>
      <c r="F150" s="750" t="s">
        <v>92</v>
      </c>
      <c r="G150" s="751" t="s">
        <v>110</v>
      </c>
      <c r="H150" s="751" t="s">
        <v>57</v>
      </c>
      <c r="I150" s="752" t="s">
        <v>136</v>
      </c>
      <c r="J150" s="149"/>
      <c r="K150" s="692">
        <f t="shared" si="25"/>
        <v>715.1</v>
      </c>
      <c r="L150" s="165">
        <f t="shared" si="25"/>
        <v>0</v>
      </c>
      <c r="M150" s="165">
        <f t="shared" si="25"/>
        <v>715.1</v>
      </c>
    </row>
    <row r="151" spans="1:13" s="146" customFormat="1" ht="56.25" customHeight="1">
      <c r="A151" s="150"/>
      <c r="B151" s="163" t="s">
        <v>75</v>
      </c>
      <c r="C151" s="164" t="s">
        <v>3</v>
      </c>
      <c r="D151" s="149" t="s">
        <v>72</v>
      </c>
      <c r="E151" s="149" t="s">
        <v>121</v>
      </c>
      <c r="F151" s="750" t="s">
        <v>92</v>
      </c>
      <c r="G151" s="751" t="s">
        <v>110</v>
      </c>
      <c r="H151" s="751" t="s">
        <v>57</v>
      </c>
      <c r="I151" s="752" t="s">
        <v>136</v>
      </c>
      <c r="J151" s="149" t="s">
        <v>76</v>
      </c>
      <c r="K151" s="692">
        <v>715.1</v>
      </c>
      <c r="L151" s="165">
        <f>M151-K151</f>
        <v>0</v>
      </c>
      <c r="M151" s="165">
        <v>715.1</v>
      </c>
    </row>
    <row r="152" spans="1:13" s="391" customFormat="1" ht="75" customHeight="1">
      <c r="A152" s="150"/>
      <c r="B152" s="163" t="s">
        <v>137</v>
      </c>
      <c r="C152" s="164" t="s">
        <v>3</v>
      </c>
      <c r="D152" s="149" t="s">
        <v>72</v>
      </c>
      <c r="E152" s="149" t="s">
        <v>121</v>
      </c>
      <c r="F152" s="750" t="s">
        <v>109</v>
      </c>
      <c r="G152" s="751" t="s">
        <v>62</v>
      </c>
      <c r="H152" s="751" t="s">
        <v>63</v>
      </c>
      <c r="I152" s="752" t="s">
        <v>64</v>
      </c>
      <c r="J152" s="149"/>
      <c r="K152" s="692">
        <f t="shared" ref="K152:M155" si="26">K153</f>
        <v>891.2</v>
      </c>
      <c r="L152" s="165">
        <f t="shared" si="26"/>
        <v>0</v>
      </c>
      <c r="M152" s="165">
        <f t="shared" si="26"/>
        <v>891.2</v>
      </c>
    </row>
    <row r="153" spans="1:13" s="391" customFormat="1" ht="37.5" customHeight="1">
      <c r="A153" s="150"/>
      <c r="B153" s="163" t="s">
        <v>404</v>
      </c>
      <c r="C153" s="164" t="s">
        <v>3</v>
      </c>
      <c r="D153" s="149" t="s">
        <v>72</v>
      </c>
      <c r="E153" s="149" t="s">
        <v>121</v>
      </c>
      <c r="F153" s="750" t="s">
        <v>109</v>
      </c>
      <c r="G153" s="751" t="s">
        <v>65</v>
      </c>
      <c r="H153" s="751" t="s">
        <v>63</v>
      </c>
      <c r="I153" s="752" t="s">
        <v>64</v>
      </c>
      <c r="J153" s="149"/>
      <c r="K153" s="692">
        <f t="shared" si="26"/>
        <v>891.2</v>
      </c>
      <c r="L153" s="165">
        <f t="shared" si="26"/>
        <v>0</v>
      </c>
      <c r="M153" s="165">
        <f t="shared" si="26"/>
        <v>891.2</v>
      </c>
    </row>
    <row r="154" spans="1:13" s="146" customFormat="1" ht="75" customHeight="1">
      <c r="A154" s="150"/>
      <c r="B154" s="168" t="s">
        <v>360</v>
      </c>
      <c r="C154" s="164" t="s">
        <v>3</v>
      </c>
      <c r="D154" s="149" t="s">
        <v>72</v>
      </c>
      <c r="E154" s="149" t="s">
        <v>121</v>
      </c>
      <c r="F154" s="750" t="s">
        <v>109</v>
      </c>
      <c r="G154" s="751" t="s">
        <v>65</v>
      </c>
      <c r="H154" s="751" t="s">
        <v>57</v>
      </c>
      <c r="I154" s="752" t="s">
        <v>64</v>
      </c>
      <c r="J154" s="149"/>
      <c r="K154" s="692">
        <f>K155+K157</f>
        <v>891.2</v>
      </c>
      <c r="L154" s="165">
        <f>L155+L157</f>
        <v>0</v>
      </c>
      <c r="M154" s="165">
        <f>M155+M157</f>
        <v>891.2</v>
      </c>
    </row>
    <row r="155" spans="1:13" s="391" customFormat="1" ht="56.25" customHeight="1">
      <c r="A155" s="150"/>
      <c r="B155" s="168" t="s">
        <v>138</v>
      </c>
      <c r="C155" s="164" t="s">
        <v>3</v>
      </c>
      <c r="D155" s="149" t="s">
        <v>72</v>
      </c>
      <c r="E155" s="149" t="s">
        <v>121</v>
      </c>
      <c r="F155" s="750" t="s">
        <v>109</v>
      </c>
      <c r="G155" s="751" t="s">
        <v>65</v>
      </c>
      <c r="H155" s="751" t="s">
        <v>57</v>
      </c>
      <c r="I155" s="752" t="s">
        <v>139</v>
      </c>
      <c r="J155" s="149"/>
      <c r="K155" s="692">
        <f t="shared" si="26"/>
        <v>112.2</v>
      </c>
      <c r="L155" s="165">
        <f t="shared" si="26"/>
        <v>0</v>
      </c>
      <c r="M155" s="165">
        <f t="shared" si="26"/>
        <v>112.2</v>
      </c>
    </row>
    <row r="156" spans="1:13" s="146" customFormat="1" ht="56.25" customHeight="1">
      <c r="A156" s="150"/>
      <c r="B156" s="163" t="s">
        <v>75</v>
      </c>
      <c r="C156" s="164" t="s">
        <v>3</v>
      </c>
      <c r="D156" s="149" t="s">
        <v>72</v>
      </c>
      <c r="E156" s="149" t="s">
        <v>121</v>
      </c>
      <c r="F156" s="750" t="s">
        <v>109</v>
      </c>
      <c r="G156" s="751" t="s">
        <v>65</v>
      </c>
      <c r="H156" s="751" t="s">
        <v>57</v>
      </c>
      <c r="I156" s="752" t="s">
        <v>139</v>
      </c>
      <c r="J156" s="149" t="s">
        <v>76</v>
      </c>
      <c r="K156" s="692">
        <v>112.2</v>
      </c>
      <c r="L156" s="165">
        <f>M156-K156</f>
        <v>0</v>
      </c>
      <c r="M156" s="165">
        <v>112.2</v>
      </c>
    </row>
    <row r="157" spans="1:13" s="146" customFormat="1" ht="75" customHeight="1">
      <c r="A157" s="150"/>
      <c r="B157" s="163" t="s">
        <v>497</v>
      </c>
      <c r="C157" s="164" t="s">
        <v>3</v>
      </c>
      <c r="D157" s="149" t="s">
        <v>72</v>
      </c>
      <c r="E157" s="149" t="s">
        <v>121</v>
      </c>
      <c r="F157" s="750" t="s">
        <v>109</v>
      </c>
      <c r="G157" s="751" t="s">
        <v>65</v>
      </c>
      <c r="H157" s="751" t="s">
        <v>57</v>
      </c>
      <c r="I157" s="752" t="s">
        <v>496</v>
      </c>
      <c r="J157" s="149"/>
      <c r="K157" s="692">
        <f t="shared" ref="K157:M157" si="27">K158</f>
        <v>779</v>
      </c>
      <c r="L157" s="165">
        <f t="shared" si="27"/>
        <v>0</v>
      </c>
      <c r="M157" s="165">
        <f t="shared" si="27"/>
        <v>779</v>
      </c>
    </row>
    <row r="158" spans="1:13" s="146" customFormat="1" ht="56.25" customHeight="1">
      <c r="A158" s="150"/>
      <c r="B158" s="163" t="s">
        <v>75</v>
      </c>
      <c r="C158" s="164" t="s">
        <v>3</v>
      </c>
      <c r="D158" s="149" t="s">
        <v>72</v>
      </c>
      <c r="E158" s="149" t="s">
        <v>121</v>
      </c>
      <c r="F158" s="750" t="s">
        <v>109</v>
      </c>
      <c r="G158" s="751" t="s">
        <v>65</v>
      </c>
      <c r="H158" s="751" t="s">
        <v>57</v>
      </c>
      <c r="I158" s="752" t="s">
        <v>496</v>
      </c>
      <c r="J158" s="149" t="s">
        <v>76</v>
      </c>
      <c r="K158" s="692">
        <v>779</v>
      </c>
      <c r="L158" s="165">
        <f>M158-K158</f>
        <v>0</v>
      </c>
      <c r="M158" s="165">
        <v>779</v>
      </c>
    </row>
    <row r="159" spans="1:13" s="146" customFormat="1" ht="57.75" customHeight="1">
      <c r="A159" s="150"/>
      <c r="B159" s="163" t="s">
        <v>60</v>
      </c>
      <c r="C159" s="164" t="s">
        <v>3</v>
      </c>
      <c r="D159" s="149" t="s">
        <v>72</v>
      </c>
      <c r="E159" s="149" t="s">
        <v>121</v>
      </c>
      <c r="F159" s="750" t="s">
        <v>61</v>
      </c>
      <c r="G159" s="751" t="s">
        <v>62</v>
      </c>
      <c r="H159" s="751" t="s">
        <v>63</v>
      </c>
      <c r="I159" s="752" t="s">
        <v>64</v>
      </c>
      <c r="J159" s="149"/>
      <c r="K159" s="692">
        <f t="shared" ref="K159:M160" si="28">K160</f>
        <v>6584.4</v>
      </c>
      <c r="L159" s="165">
        <f t="shared" si="28"/>
        <v>0</v>
      </c>
      <c r="M159" s="165">
        <f t="shared" si="28"/>
        <v>6584.4</v>
      </c>
    </row>
    <row r="160" spans="1:13" s="146" customFormat="1" ht="37.5" customHeight="1">
      <c r="A160" s="150"/>
      <c r="B160" s="163" t="s">
        <v>404</v>
      </c>
      <c r="C160" s="164" t="s">
        <v>3</v>
      </c>
      <c r="D160" s="149" t="s">
        <v>72</v>
      </c>
      <c r="E160" s="149" t="s">
        <v>121</v>
      </c>
      <c r="F160" s="750" t="s">
        <v>61</v>
      </c>
      <c r="G160" s="751" t="s">
        <v>65</v>
      </c>
      <c r="H160" s="751" t="s">
        <v>63</v>
      </c>
      <c r="I160" s="752" t="s">
        <v>64</v>
      </c>
      <c r="J160" s="149"/>
      <c r="K160" s="692">
        <f t="shared" si="28"/>
        <v>6584.4</v>
      </c>
      <c r="L160" s="165">
        <f t="shared" si="28"/>
        <v>0</v>
      </c>
      <c r="M160" s="165">
        <f t="shared" si="28"/>
        <v>6584.4</v>
      </c>
    </row>
    <row r="161" spans="1:13" s="146" customFormat="1" ht="56.25" customHeight="1">
      <c r="A161" s="150"/>
      <c r="B161" s="163" t="s">
        <v>396</v>
      </c>
      <c r="C161" s="164" t="s">
        <v>3</v>
      </c>
      <c r="D161" s="149" t="s">
        <v>72</v>
      </c>
      <c r="E161" s="149" t="s">
        <v>121</v>
      </c>
      <c r="F161" s="750" t="s">
        <v>61</v>
      </c>
      <c r="G161" s="751" t="s">
        <v>65</v>
      </c>
      <c r="H161" s="751" t="s">
        <v>109</v>
      </c>
      <c r="I161" s="752" t="s">
        <v>64</v>
      </c>
      <c r="J161" s="149"/>
      <c r="K161" s="692">
        <f>K162+K165</f>
        <v>6584.4</v>
      </c>
      <c r="L161" s="165">
        <f>L162+L165</f>
        <v>0</v>
      </c>
      <c r="M161" s="165">
        <f>M162+M165</f>
        <v>6584.4</v>
      </c>
    </row>
    <row r="162" spans="1:13" s="146" customFormat="1" ht="36.75" customHeight="1">
      <c r="A162" s="150"/>
      <c r="B162" s="166" t="s">
        <v>795</v>
      </c>
      <c r="C162" s="164" t="s">
        <v>3</v>
      </c>
      <c r="D162" s="149" t="s">
        <v>72</v>
      </c>
      <c r="E162" s="149" t="s">
        <v>121</v>
      </c>
      <c r="F162" s="750" t="s">
        <v>61</v>
      </c>
      <c r="G162" s="751" t="s">
        <v>65</v>
      </c>
      <c r="H162" s="751" t="s">
        <v>109</v>
      </c>
      <c r="I162" s="752" t="s">
        <v>112</v>
      </c>
      <c r="J162" s="149"/>
      <c r="K162" s="692">
        <f>K163+K164</f>
        <v>4604.3999999999996</v>
      </c>
      <c r="L162" s="165">
        <f>L163+L164</f>
        <v>0</v>
      </c>
      <c r="M162" s="165">
        <f>M163+M164</f>
        <v>4604.3999999999996</v>
      </c>
    </row>
    <row r="163" spans="1:13" s="146" customFormat="1" ht="112.5" customHeight="1">
      <c r="A163" s="150"/>
      <c r="B163" s="163" t="s">
        <v>69</v>
      </c>
      <c r="C163" s="164" t="s">
        <v>3</v>
      </c>
      <c r="D163" s="149" t="s">
        <v>72</v>
      </c>
      <c r="E163" s="149" t="s">
        <v>121</v>
      </c>
      <c r="F163" s="750" t="s">
        <v>61</v>
      </c>
      <c r="G163" s="751" t="s">
        <v>65</v>
      </c>
      <c r="H163" s="751" t="s">
        <v>109</v>
      </c>
      <c r="I163" s="752" t="s">
        <v>112</v>
      </c>
      <c r="J163" s="149" t="s">
        <v>70</v>
      </c>
      <c r="K163" s="692">
        <v>4360.3999999999996</v>
      </c>
      <c r="L163" s="165">
        <f>M163-K163</f>
        <v>0</v>
      </c>
      <c r="M163" s="165">
        <v>4360.3999999999996</v>
      </c>
    </row>
    <row r="164" spans="1:13" s="146" customFormat="1" ht="56.25" customHeight="1">
      <c r="A164" s="150"/>
      <c r="B164" s="163" t="s">
        <v>75</v>
      </c>
      <c r="C164" s="164" t="s">
        <v>3</v>
      </c>
      <c r="D164" s="149" t="s">
        <v>72</v>
      </c>
      <c r="E164" s="149" t="s">
        <v>121</v>
      </c>
      <c r="F164" s="750" t="s">
        <v>61</v>
      </c>
      <c r="G164" s="751" t="s">
        <v>65</v>
      </c>
      <c r="H164" s="751" t="s">
        <v>109</v>
      </c>
      <c r="I164" s="752" t="s">
        <v>112</v>
      </c>
      <c r="J164" s="149" t="s">
        <v>76</v>
      </c>
      <c r="K164" s="692">
        <v>244</v>
      </c>
      <c r="L164" s="165">
        <f>M164-K164</f>
        <v>0</v>
      </c>
      <c r="M164" s="165">
        <v>244</v>
      </c>
    </row>
    <row r="165" spans="1:13" s="146" customFormat="1" ht="56.25" customHeight="1">
      <c r="A165" s="150"/>
      <c r="B165" s="163" t="s">
        <v>906</v>
      </c>
      <c r="C165" s="164" t="s">
        <v>3</v>
      </c>
      <c r="D165" s="149" t="s">
        <v>72</v>
      </c>
      <c r="E165" s="149" t="s">
        <v>121</v>
      </c>
      <c r="F165" s="750" t="s">
        <v>61</v>
      </c>
      <c r="G165" s="751" t="s">
        <v>65</v>
      </c>
      <c r="H165" s="751" t="s">
        <v>109</v>
      </c>
      <c r="I165" s="752" t="s">
        <v>905</v>
      </c>
      <c r="J165" s="149"/>
      <c r="K165" s="692">
        <f>K166</f>
        <v>1980</v>
      </c>
      <c r="L165" s="165">
        <f>L166</f>
        <v>0</v>
      </c>
      <c r="M165" s="165">
        <f>M166</f>
        <v>1980</v>
      </c>
    </row>
    <row r="166" spans="1:13" s="146" customFormat="1" ht="56.25" customHeight="1">
      <c r="A166" s="150"/>
      <c r="B166" s="163" t="s">
        <v>75</v>
      </c>
      <c r="C166" s="164" t="s">
        <v>3</v>
      </c>
      <c r="D166" s="149" t="s">
        <v>72</v>
      </c>
      <c r="E166" s="149" t="s">
        <v>121</v>
      </c>
      <c r="F166" s="750" t="s">
        <v>61</v>
      </c>
      <c r="G166" s="751" t="s">
        <v>65</v>
      </c>
      <c r="H166" s="751" t="s">
        <v>109</v>
      </c>
      <c r="I166" s="752" t="s">
        <v>905</v>
      </c>
      <c r="J166" s="149" t="s">
        <v>76</v>
      </c>
      <c r="K166" s="692">
        <v>1980</v>
      </c>
      <c r="L166" s="165">
        <f>M166-K166</f>
        <v>0</v>
      </c>
      <c r="M166" s="165">
        <v>1980</v>
      </c>
    </row>
    <row r="167" spans="1:13" s="146" customFormat="1" ht="18.75" customHeight="1">
      <c r="A167" s="150"/>
      <c r="B167" s="163" t="s">
        <v>199</v>
      </c>
      <c r="C167" s="164" t="s">
        <v>3</v>
      </c>
      <c r="D167" s="149" t="s">
        <v>86</v>
      </c>
      <c r="E167" s="149"/>
      <c r="F167" s="750"/>
      <c r="G167" s="751"/>
      <c r="H167" s="751"/>
      <c r="I167" s="752"/>
      <c r="J167" s="149"/>
      <c r="K167" s="838">
        <f t="shared" ref="K167:M172" si="29">K168</f>
        <v>1163.5999999999999</v>
      </c>
      <c r="L167" s="165">
        <f>L168</f>
        <v>0</v>
      </c>
      <c r="M167" s="712">
        <f t="shared" si="29"/>
        <v>1163.5999999999999</v>
      </c>
    </row>
    <row r="168" spans="1:13" s="146" customFormat="1" ht="18.75" customHeight="1">
      <c r="A168" s="150"/>
      <c r="B168" s="163" t="s">
        <v>974</v>
      </c>
      <c r="C168" s="164" t="s">
        <v>3</v>
      </c>
      <c r="D168" s="149" t="s">
        <v>86</v>
      </c>
      <c r="E168" s="149" t="s">
        <v>84</v>
      </c>
      <c r="F168" s="750"/>
      <c r="G168" s="751"/>
      <c r="H168" s="751"/>
      <c r="I168" s="752"/>
      <c r="J168" s="149"/>
      <c r="K168" s="838">
        <f t="shared" si="29"/>
        <v>1163.5999999999999</v>
      </c>
      <c r="L168" s="165">
        <f t="shared" si="29"/>
        <v>0</v>
      </c>
      <c r="M168" s="712">
        <f t="shared" si="29"/>
        <v>1163.5999999999999</v>
      </c>
    </row>
    <row r="169" spans="1:13" s="146" customFormat="1" ht="93.75" customHeight="1">
      <c r="A169" s="150"/>
      <c r="B169" s="163" t="s">
        <v>975</v>
      </c>
      <c r="C169" s="164" t="s">
        <v>3</v>
      </c>
      <c r="D169" s="149" t="s">
        <v>86</v>
      </c>
      <c r="E169" s="149" t="s">
        <v>84</v>
      </c>
      <c r="F169" s="750" t="s">
        <v>125</v>
      </c>
      <c r="G169" s="751" t="s">
        <v>62</v>
      </c>
      <c r="H169" s="751" t="s">
        <v>63</v>
      </c>
      <c r="I169" s="752" t="s">
        <v>64</v>
      </c>
      <c r="J169" s="149"/>
      <c r="K169" s="838">
        <f t="shared" si="29"/>
        <v>1163.5999999999999</v>
      </c>
      <c r="L169" s="165">
        <f t="shared" si="29"/>
        <v>0</v>
      </c>
      <c r="M169" s="712">
        <f t="shared" si="29"/>
        <v>1163.5999999999999</v>
      </c>
    </row>
    <row r="170" spans="1:13" s="146" customFormat="1" ht="56.25" customHeight="1">
      <c r="A170" s="150"/>
      <c r="B170" s="163" t="s">
        <v>976</v>
      </c>
      <c r="C170" s="164" t="s">
        <v>3</v>
      </c>
      <c r="D170" s="149" t="s">
        <v>86</v>
      </c>
      <c r="E170" s="149" t="s">
        <v>84</v>
      </c>
      <c r="F170" s="750" t="s">
        <v>125</v>
      </c>
      <c r="G170" s="751" t="s">
        <v>54</v>
      </c>
      <c r="H170" s="751" t="s">
        <v>63</v>
      </c>
      <c r="I170" s="752" t="s">
        <v>64</v>
      </c>
      <c r="J170" s="149"/>
      <c r="K170" s="838">
        <f t="shared" si="29"/>
        <v>1163.5999999999999</v>
      </c>
      <c r="L170" s="165">
        <f t="shared" si="29"/>
        <v>0</v>
      </c>
      <c r="M170" s="712">
        <f t="shared" si="29"/>
        <v>1163.5999999999999</v>
      </c>
    </row>
    <row r="171" spans="1:13" s="146" customFormat="1" ht="56.25" customHeight="1">
      <c r="A171" s="150"/>
      <c r="B171" s="163" t="s">
        <v>977</v>
      </c>
      <c r="C171" s="164" t="s">
        <v>3</v>
      </c>
      <c r="D171" s="149" t="s">
        <v>86</v>
      </c>
      <c r="E171" s="149" t="s">
        <v>84</v>
      </c>
      <c r="F171" s="750" t="s">
        <v>125</v>
      </c>
      <c r="G171" s="751" t="s">
        <v>54</v>
      </c>
      <c r="H171" s="751" t="s">
        <v>57</v>
      </c>
      <c r="I171" s="752" t="s">
        <v>64</v>
      </c>
      <c r="J171" s="149"/>
      <c r="K171" s="838">
        <f t="shared" si="29"/>
        <v>1163.5999999999999</v>
      </c>
      <c r="L171" s="165">
        <f t="shared" si="29"/>
        <v>0</v>
      </c>
      <c r="M171" s="712">
        <f t="shared" si="29"/>
        <v>1163.5999999999999</v>
      </c>
    </row>
    <row r="172" spans="1:13" s="146" customFormat="1" ht="56.25">
      <c r="A172" s="150"/>
      <c r="B172" s="163" t="s">
        <v>978</v>
      </c>
      <c r="C172" s="164" t="s">
        <v>3</v>
      </c>
      <c r="D172" s="149" t="s">
        <v>86</v>
      </c>
      <c r="E172" s="149" t="s">
        <v>84</v>
      </c>
      <c r="F172" s="750" t="s">
        <v>125</v>
      </c>
      <c r="G172" s="751" t="s">
        <v>54</v>
      </c>
      <c r="H172" s="751" t="s">
        <v>57</v>
      </c>
      <c r="I172" s="752" t="s">
        <v>979</v>
      </c>
      <c r="J172" s="149"/>
      <c r="K172" s="838">
        <f t="shared" si="29"/>
        <v>1163.5999999999999</v>
      </c>
      <c r="L172" s="165">
        <f t="shared" si="29"/>
        <v>0</v>
      </c>
      <c r="M172" s="712">
        <f t="shared" si="29"/>
        <v>1163.5999999999999</v>
      </c>
    </row>
    <row r="173" spans="1:13" s="146" customFormat="1" ht="56.25" customHeight="1">
      <c r="A173" s="150"/>
      <c r="B173" s="163" t="s">
        <v>75</v>
      </c>
      <c r="C173" s="164" t="s">
        <v>3</v>
      </c>
      <c r="D173" s="149" t="s">
        <v>86</v>
      </c>
      <c r="E173" s="149" t="s">
        <v>84</v>
      </c>
      <c r="F173" s="750" t="s">
        <v>125</v>
      </c>
      <c r="G173" s="751" t="s">
        <v>54</v>
      </c>
      <c r="H173" s="751" t="s">
        <v>57</v>
      </c>
      <c r="I173" s="752" t="s">
        <v>979</v>
      </c>
      <c r="J173" s="149" t="s">
        <v>76</v>
      </c>
      <c r="K173" s="692">
        <v>1163.5999999999999</v>
      </c>
      <c r="L173" s="165">
        <f>M173-K173</f>
        <v>0</v>
      </c>
      <c r="M173" s="165">
        <v>1163.5999999999999</v>
      </c>
    </row>
    <row r="174" spans="1:13" s="391" customFormat="1" ht="18.75" customHeight="1">
      <c r="A174" s="150"/>
      <c r="B174" s="163" t="s">
        <v>140</v>
      </c>
      <c r="C174" s="164" t="s">
        <v>3</v>
      </c>
      <c r="D174" s="149" t="s">
        <v>125</v>
      </c>
      <c r="E174" s="149"/>
      <c r="F174" s="750"/>
      <c r="G174" s="751"/>
      <c r="H174" s="751"/>
      <c r="I174" s="752"/>
      <c r="J174" s="149"/>
      <c r="K174" s="692" t="e">
        <f>K175+K181+K190</f>
        <v>#REF!</v>
      </c>
      <c r="L174" s="165">
        <f>L175+L181+L190</f>
        <v>0</v>
      </c>
      <c r="M174" s="165">
        <f>M175+M181+M190</f>
        <v>2540.6999999999998</v>
      </c>
    </row>
    <row r="175" spans="1:13" s="391" customFormat="1" ht="18.75" customHeight="1">
      <c r="A175" s="150"/>
      <c r="B175" s="163" t="s">
        <v>432</v>
      </c>
      <c r="C175" s="164" t="s">
        <v>3</v>
      </c>
      <c r="D175" s="149" t="s">
        <v>125</v>
      </c>
      <c r="E175" s="149" t="s">
        <v>57</v>
      </c>
      <c r="F175" s="750"/>
      <c r="G175" s="751"/>
      <c r="H175" s="751"/>
      <c r="I175" s="752"/>
      <c r="J175" s="149"/>
      <c r="K175" s="692">
        <f t="shared" ref="K175:M179" si="30">K176</f>
        <v>552</v>
      </c>
      <c r="L175" s="165">
        <f t="shared" si="30"/>
        <v>0</v>
      </c>
      <c r="M175" s="165">
        <f t="shared" si="30"/>
        <v>552</v>
      </c>
    </row>
    <row r="176" spans="1:13" s="391" customFormat="1" ht="56.25" customHeight="1">
      <c r="A176" s="150"/>
      <c r="B176" s="170" t="s">
        <v>339</v>
      </c>
      <c r="C176" s="164" t="s">
        <v>3</v>
      </c>
      <c r="D176" s="149" t="s">
        <v>125</v>
      </c>
      <c r="E176" s="149" t="s">
        <v>57</v>
      </c>
      <c r="F176" s="750" t="s">
        <v>100</v>
      </c>
      <c r="G176" s="751" t="s">
        <v>62</v>
      </c>
      <c r="H176" s="751" t="s">
        <v>63</v>
      </c>
      <c r="I176" s="752" t="s">
        <v>64</v>
      </c>
      <c r="J176" s="149"/>
      <c r="K176" s="692">
        <f t="shared" si="30"/>
        <v>552</v>
      </c>
      <c r="L176" s="165">
        <f t="shared" si="30"/>
        <v>0</v>
      </c>
      <c r="M176" s="165">
        <f t="shared" si="30"/>
        <v>552</v>
      </c>
    </row>
    <row r="177" spans="1:13" s="391" customFormat="1" ht="37.5" customHeight="1">
      <c r="A177" s="150"/>
      <c r="B177" s="163" t="s">
        <v>404</v>
      </c>
      <c r="C177" s="164" t="s">
        <v>3</v>
      </c>
      <c r="D177" s="149" t="s">
        <v>125</v>
      </c>
      <c r="E177" s="149" t="s">
        <v>57</v>
      </c>
      <c r="F177" s="750" t="s">
        <v>100</v>
      </c>
      <c r="G177" s="751" t="s">
        <v>65</v>
      </c>
      <c r="H177" s="751" t="s">
        <v>63</v>
      </c>
      <c r="I177" s="752" t="s">
        <v>64</v>
      </c>
      <c r="J177" s="149"/>
      <c r="K177" s="692">
        <f t="shared" si="30"/>
        <v>552</v>
      </c>
      <c r="L177" s="165">
        <f t="shared" si="30"/>
        <v>0</v>
      </c>
      <c r="M177" s="165">
        <f t="shared" si="30"/>
        <v>552</v>
      </c>
    </row>
    <row r="178" spans="1:13" s="391" customFormat="1" ht="93.75" customHeight="1">
      <c r="A178" s="150"/>
      <c r="B178" s="166" t="s">
        <v>753</v>
      </c>
      <c r="C178" s="164" t="s">
        <v>3</v>
      </c>
      <c r="D178" s="149" t="s">
        <v>125</v>
      </c>
      <c r="E178" s="149" t="s">
        <v>57</v>
      </c>
      <c r="F178" s="750" t="s">
        <v>100</v>
      </c>
      <c r="G178" s="751" t="s">
        <v>65</v>
      </c>
      <c r="H178" s="751" t="s">
        <v>72</v>
      </c>
      <c r="I178" s="752" t="s">
        <v>64</v>
      </c>
      <c r="J178" s="149"/>
      <c r="K178" s="692">
        <f t="shared" si="30"/>
        <v>552</v>
      </c>
      <c r="L178" s="165">
        <f t="shared" si="30"/>
        <v>0</v>
      </c>
      <c r="M178" s="165">
        <f t="shared" si="30"/>
        <v>552</v>
      </c>
    </row>
    <row r="179" spans="1:13" s="391" customFormat="1" ht="75">
      <c r="A179" s="150"/>
      <c r="B179" s="166" t="s">
        <v>746</v>
      </c>
      <c r="C179" s="164" t="s">
        <v>3</v>
      </c>
      <c r="D179" s="149" t="s">
        <v>125</v>
      </c>
      <c r="E179" s="149" t="s">
        <v>57</v>
      </c>
      <c r="F179" s="750" t="s">
        <v>100</v>
      </c>
      <c r="G179" s="751" t="s">
        <v>65</v>
      </c>
      <c r="H179" s="751" t="s">
        <v>72</v>
      </c>
      <c r="I179" s="752" t="s">
        <v>433</v>
      </c>
      <c r="J179" s="149"/>
      <c r="K179" s="692">
        <f t="shared" si="30"/>
        <v>552</v>
      </c>
      <c r="L179" s="165">
        <f t="shared" si="30"/>
        <v>0</v>
      </c>
      <c r="M179" s="165">
        <f t="shared" si="30"/>
        <v>552</v>
      </c>
    </row>
    <row r="180" spans="1:13" s="391" customFormat="1" ht="37.5" customHeight="1">
      <c r="A180" s="150"/>
      <c r="B180" s="167" t="s">
        <v>141</v>
      </c>
      <c r="C180" s="164" t="s">
        <v>3</v>
      </c>
      <c r="D180" s="149" t="s">
        <v>125</v>
      </c>
      <c r="E180" s="149" t="s">
        <v>57</v>
      </c>
      <c r="F180" s="750" t="s">
        <v>100</v>
      </c>
      <c r="G180" s="751" t="s">
        <v>65</v>
      </c>
      <c r="H180" s="751" t="s">
        <v>72</v>
      </c>
      <c r="I180" s="752" t="s">
        <v>433</v>
      </c>
      <c r="J180" s="149" t="s">
        <v>142</v>
      </c>
      <c r="K180" s="692">
        <v>552</v>
      </c>
      <c r="L180" s="165">
        <f>M180-K180</f>
        <v>0</v>
      </c>
      <c r="M180" s="165">
        <v>552</v>
      </c>
    </row>
    <row r="181" spans="1:13" s="391" customFormat="1" ht="18.75" customHeight="1">
      <c r="A181" s="150"/>
      <c r="B181" s="167" t="s">
        <v>984</v>
      </c>
      <c r="C181" s="164" t="s">
        <v>3</v>
      </c>
      <c r="D181" s="149" t="s">
        <v>125</v>
      </c>
      <c r="E181" s="149" t="s">
        <v>84</v>
      </c>
      <c r="F181" s="750"/>
      <c r="G181" s="751"/>
      <c r="H181" s="751"/>
      <c r="I181" s="752"/>
      <c r="J181" s="149"/>
      <c r="K181" s="838" t="e">
        <f t="shared" ref="K181:M182" si="31">K182</f>
        <v>#REF!</v>
      </c>
      <c r="L181" s="712">
        <f t="shared" si="31"/>
        <v>0</v>
      </c>
      <c r="M181" s="712">
        <f t="shared" si="31"/>
        <v>1060</v>
      </c>
    </row>
    <row r="182" spans="1:13" s="391" customFormat="1" ht="112.5" customHeight="1">
      <c r="A182" s="150"/>
      <c r="B182" s="167" t="s">
        <v>985</v>
      </c>
      <c r="C182" s="164" t="s">
        <v>3</v>
      </c>
      <c r="D182" s="149" t="s">
        <v>125</v>
      </c>
      <c r="E182" s="149" t="s">
        <v>84</v>
      </c>
      <c r="F182" s="750" t="s">
        <v>922</v>
      </c>
      <c r="G182" s="751" t="s">
        <v>62</v>
      </c>
      <c r="H182" s="751" t="s">
        <v>63</v>
      </c>
      <c r="I182" s="752" t="s">
        <v>64</v>
      </c>
      <c r="J182" s="149"/>
      <c r="K182" s="838" t="e">
        <f t="shared" si="31"/>
        <v>#REF!</v>
      </c>
      <c r="L182" s="712">
        <f t="shared" si="31"/>
        <v>0</v>
      </c>
      <c r="M182" s="712">
        <f t="shared" si="31"/>
        <v>1060</v>
      </c>
    </row>
    <row r="183" spans="1:13" s="391" customFormat="1" ht="112.5" customHeight="1">
      <c r="A183" s="150"/>
      <c r="B183" s="167" t="s">
        <v>986</v>
      </c>
      <c r="C183" s="164" t="s">
        <v>3</v>
      </c>
      <c r="D183" s="149" t="s">
        <v>125</v>
      </c>
      <c r="E183" s="149" t="s">
        <v>84</v>
      </c>
      <c r="F183" s="750" t="s">
        <v>922</v>
      </c>
      <c r="G183" s="751" t="s">
        <v>65</v>
      </c>
      <c r="H183" s="751" t="s">
        <v>63</v>
      </c>
      <c r="I183" s="752" t="s">
        <v>64</v>
      </c>
      <c r="J183" s="149"/>
      <c r="K183" s="838" t="e">
        <f>K184+K187</f>
        <v>#REF!</v>
      </c>
      <c r="L183" s="721">
        <f>L184+L187</f>
        <v>0</v>
      </c>
      <c r="M183" s="721">
        <f>M184+M187</f>
        <v>1060</v>
      </c>
    </row>
    <row r="184" spans="1:13" s="391" customFormat="1" ht="56.25" customHeight="1">
      <c r="A184" s="150"/>
      <c r="B184" s="167" t="s">
        <v>987</v>
      </c>
      <c r="C184" s="164" t="s">
        <v>3</v>
      </c>
      <c r="D184" s="149" t="s">
        <v>125</v>
      </c>
      <c r="E184" s="149" t="s">
        <v>84</v>
      </c>
      <c r="F184" s="750" t="s">
        <v>922</v>
      </c>
      <c r="G184" s="751" t="s">
        <v>65</v>
      </c>
      <c r="H184" s="751" t="s">
        <v>57</v>
      </c>
      <c r="I184" s="752" t="s">
        <v>64</v>
      </c>
      <c r="J184" s="149"/>
      <c r="K184" s="838" t="e">
        <f>#REF!+K185</f>
        <v>#REF!</v>
      </c>
      <c r="L184" s="721">
        <f>L185</f>
        <v>0</v>
      </c>
      <c r="M184" s="721">
        <f>M185</f>
        <v>210</v>
      </c>
    </row>
    <row r="185" spans="1:13" s="391" customFormat="1" ht="37.5" customHeight="1">
      <c r="A185" s="150"/>
      <c r="B185" s="167" t="s">
        <v>997</v>
      </c>
      <c r="C185" s="164" t="s">
        <v>3</v>
      </c>
      <c r="D185" s="149" t="s">
        <v>125</v>
      </c>
      <c r="E185" s="149" t="s">
        <v>84</v>
      </c>
      <c r="F185" s="750" t="s">
        <v>922</v>
      </c>
      <c r="G185" s="751" t="s">
        <v>65</v>
      </c>
      <c r="H185" s="751" t="s">
        <v>57</v>
      </c>
      <c r="I185" s="752" t="s">
        <v>998</v>
      </c>
      <c r="J185" s="149"/>
      <c r="K185" s="692">
        <f>K186</f>
        <v>210</v>
      </c>
      <c r="L185" s="165">
        <f t="shared" ref="L185:L186" si="32">M185-K185</f>
        <v>0</v>
      </c>
      <c r="M185" s="165">
        <f>M186</f>
        <v>210</v>
      </c>
    </row>
    <row r="186" spans="1:13" s="391" customFormat="1" ht="37.5" customHeight="1">
      <c r="A186" s="150"/>
      <c r="B186" s="167" t="s">
        <v>141</v>
      </c>
      <c r="C186" s="164" t="s">
        <v>3</v>
      </c>
      <c r="D186" s="149" t="s">
        <v>125</v>
      </c>
      <c r="E186" s="149" t="s">
        <v>84</v>
      </c>
      <c r="F186" s="750" t="s">
        <v>922</v>
      </c>
      <c r="G186" s="751" t="s">
        <v>65</v>
      </c>
      <c r="H186" s="751" t="s">
        <v>57</v>
      </c>
      <c r="I186" s="752" t="s">
        <v>998</v>
      </c>
      <c r="J186" s="149" t="s">
        <v>142</v>
      </c>
      <c r="K186" s="692">
        <v>210</v>
      </c>
      <c r="L186" s="165">
        <f t="shared" si="32"/>
        <v>0</v>
      </c>
      <c r="M186" s="165">
        <v>210</v>
      </c>
    </row>
    <row r="187" spans="1:13" s="391" customFormat="1" ht="75">
      <c r="A187" s="150"/>
      <c r="B187" s="167" t="s">
        <v>988</v>
      </c>
      <c r="C187" s="164" t="s">
        <v>3</v>
      </c>
      <c r="D187" s="149" t="s">
        <v>125</v>
      </c>
      <c r="E187" s="149" t="s">
        <v>84</v>
      </c>
      <c r="F187" s="750" t="s">
        <v>922</v>
      </c>
      <c r="G187" s="751" t="s">
        <v>65</v>
      </c>
      <c r="H187" s="751" t="s">
        <v>59</v>
      </c>
      <c r="I187" s="752" t="s">
        <v>64</v>
      </c>
      <c r="J187" s="149"/>
      <c r="K187" s="692" t="e">
        <f>#REF!+K189</f>
        <v>#REF!</v>
      </c>
      <c r="L187" s="165">
        <f>L189</f>
        <v>0</v>
      </c>
      <c r="M187" s="165">
        <f>M189</f>
        <v>850</v>
      </c>
    </row>
    <row r="188" spans="1:13" s="391" customFormat="1" ht="37.5" customHeight="1">
      <c r="A188" s="150"/>
      <c r="B188" s="167" t="s">
        <v>997</v>
      </c>
      <c r="C188" s="164" t="s">
        <v>3</v>
      </c>
      <c r="D188" s="149" t="s">
        <v>125</v>
      </c>
      <c r="E188" s="149" t="s">
        <v>84</v>
      </c>
      <c r="F188" s="750" t="s">
        <v>922</v>
      </c>
      <c r="G188" s="751" t="s">
        <v>65</v>
      </c>
      <c r="H188" s="751" t="s">
        <v>59</v>
      </c>
      <c r="I188" s="752" t="s">
        <v>998</v>
      </c>
      <c r="J188" s="149"/>
      <c r="K188" s="692">
        <f>K189</f>
        <v>850</v>
      </c>
      <c r="L188" s="165">
        <f t="shared" ref="L188:L189" si="33">M188-K188</f>
        <v>0</v>
      </c>
      <c r="M188" s="165">
        <f>M189</f>
        <v>850</v>
      </c>
    </row>
    <row r="189" spans="1:13" s="391" customFormat="1" ht="37.5" customHeight="1">
      <c r="A189" s="150"/>
      <c r="B189" s="167" t="s">
        <v>141</v>
      </c>
      <c r="C189" s="164" t="s">
        <v>3</v>
      </c>
      <c r="D189" s="149" t="s">
        <v>125</v>
      </c>
      <c r="E189" s="149" t="s">
        <v>84</v>
      </c>
      <c r="F189" s="750" t="s">
        <v>922</v>
      </c>
      <c r="G189" s="751" t="s">
        <v>65</v>
      </c>
      <c r="H189" s="751" t="s">
        <v>59</v>
      </c>
      <c r="I189" s="752" t="s">
        <v>998</v>
      </c>
      <c r="J189" s="149" t="s">
        <v>142</v>
      </c>
      <c r="K189" s="692">
        <v>850</v>
      </c>
      <c r="L189" s="165">
        <f t="shared" si="33"/>
        <v>0</v>
      </c>
      <c r="M189" s="165">
        <v>850</v>
      </c>
    </row>
    <row r="190" spans="1:13" s="391" customFormat="1" ht="37.5" customHeight="1">
      <c r="A190" s="150"/>
      <c r="B190" s="163" t="s">
        <v>143</v>
      </c>
      <c r="C190" s="164" t="s">
        <v>3</v>
      </c>
      <c r="D190" s="149" t="s">
        <v>125</v>
      </c>
      <c r="E190" s="149" t="s">
        <v>102</v>
      </c>
      <c r="F190" s="750"/>
      <c r="G190" s="751"/>
      <c r="H190" s="751"/>
      <c r="I190" s="752"/>
      <c r="J190" s="149"/>
      <c r="K190" s="692">
        <f>K191</f>
        <v>928.7</v>
      </c>
      <c r="L190" s="165">
        <f>L191</f>
        <v>0</v>
      </c>
      <c r="M190" s="165">
        <f>M191</f>
        <v>928.7</v>
      </c>
    </row>
    <row r="191" spans="1:13" s="391" customFormat="1" ht="78" customHeight="1">
      <c r="A191" s="150"/>
      <c r="B191" s="163" t="s">
        <v>93</v>
      </c>
      <c r="C191" s="164" t="s">
        <v>3</v>
      </c>
      <c r="D191" s="149" t="s">
        <v>125</v>
      </c>
      <c r="E191" s="149" t="s">
        <v>102</v>
      </c>
      <c r="F191" s="750" t="s">
        <v>94</v>
      </c>
      <c r="G191" s="751" t="s">
        <v>62</v>
      </c>
      <c r="H191" s="751" t="s">
        <v>63</v>
      </c>
      <c r="I191" s="752" t="s">
        <v>64</v>
      </c>
      <c r="J191" s="149"/>
      <c r="K191" s="692">
        <f t="shared" ref="K191:M194" si="34">K192</f>
        <v>928.7</v>
      </c>
      <c r="L191" s="165">
        <f t="shared" si="34"/>
        <v>0</v>
      </c>
      <c r="M191" s="165">
        <f t="shared" si="34"/>
        <v>928.7</v>
      </c>
    </row>
    <row r="192" spans="1:13" s="391" customFormat="1" ht="37.5" customHeight="1">
      <c r="A192" s="150"/>
      <c r="B192" s="163" t="s">
        <v>404</v>
      </c>
      <c r="C192" s="164" t="s">
        <v>3</v>
      </c>
      <c r="D192" s="149" t="s">
        <v>125</v>
      </c>
      <c r="E192" s="149" t="s">
        <v>102</v>
      </c>
      <c r="F192" s="750" t="s">
        <v>94</v>
      </c>
      <c r="G192" s="751" t="s">
        <v>65</v>
      </c>
      <c r="H192" s="751" t="s">
        <v>63</v>
      </c>
      <c r="I192" s="752" t="s">
        <v>64</v>
      </c>
      <c r="J192" s="149"/>
      <c r="K192" s="692">
        <f t="shared" si="34"/>
        <v>928.7</v>
      </c>
      <c r="L192" s="165">
        <f t="shared" si="34"/>
        <v>0</v>
      </c>
      <c r="M192" s="165">
        <f t="shared" si="34"/>
        <v>928.7</v>
      </c>
    </row>
    <row r="193" spans="1:13" s="391" customFormat="1" ht="56.25" customHeight="1">
      <c r="A193" s="150"/>
      <c r="B193" s="166" t="s">
        <v>306</v>
      </c>
      <c r="C193" s="164" t="s">
        <v>3</v>
      </c>
      <c r="D193" s="149" t="s">
        <v>125</v>
      </c>
      <c r="E193" s="149" t="s">
        <v>102</v>
      </c>
      <c r="F193" s="750" t="s">
        <v>94</v>
      </c>
      <c r="G193" s="751" t="s">
        <v>65</v>
      </c>
      <c r="H193" s="751" t="s">
        <v>57</v>
      </c>
      <c r="I193" s="752" t="s">
        <v>64</v>
      </c>
      <c r="J193" s="149"/>
      <c r="K193" s="692">
        <f t="shared" si="34"/>
        <v>928.7</v>
      </c>
      <c r="L193" s="165">
        <f t="shared" si="34"/>
        <v>0</v>
      </c>
      <c r="M193" s="165">
        <f t="shared" si="34"/>
        <v>928.7</v>
      </c>
    </row>
    <row r="194" spans="1:13" s="391" customFormat="1" ht="38.25" customHeight="1">
      <c r="A194" s="150"/>
      <c r="B194" s="166" t="s">
        <v>95</v>
      </c>
      <c r="C194" s="164" t="s">
        <v>3</v>
      </c>
      <c r="D194" s="149" t="s">
        <v>125</v>
      </c>
      <c r="E194" s="149" t="s">
        <v>102</v>
      </c>
      <c r="F194" s="750" t="s">
        <v>94</v>
      </c>
      <c r="G194" s="751" t="s">
        <v>65</v>
      </c>
      <c r="H194" s="751" t="s">
        <v>57</v>
      </c>
      <c r="I194" s="752" t="s">
        <v>96</v>
      </c>
      <c r="J194" s="149"/>
      <c r="K194" s="692">
        <f t="shared" si="34"/>
        <v>928.7</v>
      </c>
      <c r="L194" s="165">
        <f t="shared" si="34"/>
        <v>0</v>
      </c>
      <c r="M194" s="165">
        <f t="shared" si="34"/>
        <v>928.7</v>
      </c>
    </row>
    <row r="195" spans="1:13" s="391" customFormat="1" ht="56.25" customHeight="1">
      <c r="A195" s="150"/>
      <c r="B195" s="167" t="s">
        <v>97</v>
      </c>
      <c r="C195" s="164" t="s">
        <v>3</v>
      </c>
      <c r="D195" s="149" t="s">
        <v>125</v>
      </c>
      <c r="E195" s="149" t="s">
        <v>102</v>
      </c>
      <c r="F195" s="750" t="s">
        <v>94</v>
      </c>
      <c r="G195" s="751" t="s">
        <v>65</v>
      </c>
      <c r="H195" s="751" t="s">
        <v>57</v>
      </c>
      <c r="I195" s="752" t="s">
        <v>96</v>
      </c>
      <c r="J195" s="149" t="s">
        <v>98</v>
      </c>
      <c r="K195" s="692">
        <v>928.7</v>
      </c>
      <c r="L195" s="165">
        <f>M195-K195</f>
        <v>0</v>
      </c>
      <c r="M195" s="165">
        <v>928.7</v>
      </c>
    </row>
    <row r="196" spans="1:13" s="391" customFormat="1" ht="37.5" customHeight="1">
      <c r="A196" s="150"/>
      <c r="B196" s="663" t="s">
        <v>475</v>
      </c>
      <c r="C196" s="164" t="s">
        <v>3</v>
      </c>
      <c r="D196" s="149" t="s">
        <v>92</v>
      </c>
      <c r="E196" s="149"/>
      <c r="F196" s="750"/>
      <c r="G196" s="751"/>
      <c r="H196" s="751"/>
      <c r="I196" s="752"/>
      <c r="J196" s="149"/>
      <c r="K196" s="692">
        <f t="shared" ref="K196:M201" si="35">K197</f>
        <v>16.5</v>
      </c>
      <c r="L196" s="165">
        <f t="shared" si="35"/>
        <v>0</v>
      </c>
      <c r="M196" s="165">
        <f t="shared" si="35"/>
        <v>16.5</v>
      </c>
    </row>
    <row r="197" spans="1:13" s="391" customFormat="1" ht="37.5" customHeight="1">
      <c r="A197" s="150"/>
      <c r="B197" s="647" t="s">
        <v>769</v>
      </c>
      <c r="C197" s="164" t="s">
        <v>3</v>
      </c>
      <c r="D197" s="149" t="s">
        <v>92</v>
      </c>
      <c r="E197" s="149" t="s">
        <v>57</v>
      </c>
      <c r="F197" s="750"/>
      <c r="G197" s="751"/>
      <c r="H197" s="751"/>
      <c r="I197" s="752"/>
      <c r="J197" s="149"/>
      <c r="K197" s="692">
        <f t="shared" si="35"/>
        <v>16.5</v>
      </c>
      <c r="L197" s="165">
        <f t="shared" si="35"/>
        <v>0</v>
      </c>
      <c r="M197" s="165">
        <f t="shared" si="35"/>
        <v>16.5</v>
      </c>
    </row>
    <row r="198" spans="1:13" s="391" customFormat="1" ht="61.5" customHeight="1">
      <c r="A198" s="150"/>
      <c r="B198" s="163" t="s">
        <v>60</v>
      </c>
      <c r="C198" s="164" t="s">
        <v>3</v>
      </c>
      <c r="D198" s="149" t="s">
        <v>92</v>
      </c>
      <c r="E198" s="149" t="s">
        <v>57</v>
      </c>
      <c r="F198" s="750" t="s">
        <v>61</v>
      </c>
      <c r="G198" s="751" t="s">
        <v>62</v>
      </c>
      <c r="H198" s="751" t="s">
        <v>63</v>
      </c>
      <c r="I198" s="752" t="s">
        <v>64</v>
      </c>
      <c r="J198" s="149"/>
      <c r="K198" s="692">
        <f t="shared" si="35"/>
        <v>16.5</v>
      </c>
      <c r="L198" s="165">
        <f t="shared" si="35"/>
        <v>0</v>
      </c>
      <c r="M198" s="165">
        <f t="shared" si="35"/>
        <v>16.5</v>
      </c>
    </row>
    <row r="199" spans="1:13" s="391" customFormat="1" ht="37.5" customHeight="1">
      <c r="A199" s="150"/>
      <c r="B199" s="163" t="s">
        <v>404</v>
      </c>
      <c r="C199" s="164" t="s">
        <v>3</v>
      </c>
      <c r="D199" s="149" t="s">
        <v>92</v>
      </c>
      <c r="E199" s="149" t="s">
        <v>57</v>
      </c>
      <c r="F199" s="750" t="s">
        <v>61</v>
      </c>
      <c r="G199" s="751" t="s">
        <v>65</v>
      </c>
      <c r="H199" s="751" t="s">
        <v>63</v>
      </c>
      <c r="I199" s="752" t="s">
        <v>64</v>
      </c>
      <c r="J199" s="149"/>
      <c r="K199" s="692">
        <f t="shared" si="35"/>
        <v>16.5</v>
      </c>
      <c r="L199" s="165">
        <f t="shared" si="35"/>
        <v>0</v>
      </c>
      <c r="M199" s="165">
        <f t="shared" si="35"/>
        <v>16.5</v>
      </c>
    </row>
    <row r="200" spans="1:13" s="391" customFormat="1" ht="56.25" customHeight="1">
      <c r="A200" s="150"/>
      <c r="B200" s="167" t="s">
        <v>472</v>
      </c>
      <c r="C200" s="164" t="s">
        <v>3</v>
      </c>
      <c r="D200" s="149" t="s">
        <v>92</v>
      </c>
      <c r="E200" s="149" t="s">
        <v>57</v>
      </c>
      <c r="F200" s="750" t="s">
        <v>61</v>
      </c>
      <c r="G200" s="751" t="s">
        <v>65</v>
      </c>
      <c r="H200" s="751" t="s">
        <v>100</v>
      </c>
      <c r="I200" s="752" t="s">
        <v>64</v>
      </c>
      <c r="J200" s="149"/>
      <c r="K200" s="692">
        <f t="shared" si="35"/>
        <v>16.5</v>
      </c>
      <c r="L200" s="165">
        <f t="shared" si="35"/>
        <v>0</v>
      </c>
      <c r="M200" s="165">
        <f t="shared" si="35"/>
        <v>16.5</v>
      </c>
    </row>
    <row r="201" spans="1:13" s="391" customFormat="1" ht="37.5" customHeight="1">
      <c r="A201" s="150"/>
      <c r="B201" s="167" t="s">
        <v>473</v>
      </c>
      <c r="C201" s="164" t="s">
        <v>3</v>
      </c>
      <c r="D201" s="149" t="s">
        <v>92</v>
      </c>
      <c r="E201" s="149" t="s">
        <v>57</v>
      </c>
      <c r="F201" s="750" t="s">
        <v>61</v>
      </c>
      <c r="G201" s="751" t="s">
        <v>65</v>
      </c>
      <c r="H201" s="751" t="s">
        <v>100</v>
      </c>
      <c r="I201" s="752" t="s">
        <v>474</v>
      </c>
      <c r="J201" s="149"/>
      <c r="K201" s="692">
        <f t="shared" si="35"/>
        <v>16.5</v>
      </c>
      <c r="L201" s="165">
        <f t="shared" si="35"/>
        <v>0</v>
      </c>
      <c r="M201" s="165">
        <f t="shared" si="35"/>
        <v>16.5</v>
      </c>
    </row>
    <row r="202" spans="1:13" s="391" customFormat="1" ht="37.5" customHeight="1">
      <c r="A202" s="150"/>
      <c r="B202" s="167" t="s">
        <v>475</v>
      </c>
      <c r="C202" s="164" t="s">
        <v>3</v>
      </c>
      <c r="D202" s="149" t="s">
        <v>92</v>
      </c>
      <c r="E202" s="149" t="s">
        <v>57</v>
      </c>
      <c r="F202" s="750" t="s">
        <v>61</v>
      </c>
      <c r="G202" s="751" t="s">
        <v>65</v>
      </c>
      <c r="H202" s="751" t="s">
        <v>100</v>
      </c>
      <c r="I202" s="752" t="s">
        <v>474</v>
      </c>
      <c r="J202" s="149" t="s">
        <v>476</v>
      </c>
      <c r="K202" s="692">
        <v>16.5</v>
      </c>
      <c r="L202" s="165">
        <f>M202-K202</f>
        <v>0</v>
      </c>
      <c r="M202" s="165">
        <v>16.5</v>
      </c>
    </row>
    <row r="203" spans="1:13" s="391" customFormat="1" ht="56.25" customHeight="1">
      <c r="A203" s="150"/>
      <c r="B203" s="163" t="s">
        <v>222</v>
      </c>
      <c r="C203" s="164" t="s">
        <v>3</v>
      </c>
      <c r="D203" s="149" t="s">
        <v>109</v>
      </c>
      <c r="E203" s="149"/>
      <c r="F203" s="750"/>
      <c r="G203" s="751"/>
      <c r="H203" s="751"/>
      <c r="I203" s="752"/>
      <c r="J203" s="149"/>
      <c r="K203" s="838">
        <f t="shared" ref="K203" si="36">K204</f>
        <v>3327.1120000000001</v>
      </c>
      <c r="L203" s="165">
        <f t="shared" ref="L203:L209" si="37">M203-K203</f>
        <v>2720.0659999999998</v>
      </c>
      <c r="M203" s="712">
        <f>M204</f>
        <v>6047.1779999999999</v>
      </c>
    </row>
    <row r="204" spans="1:13" s="391" customFormat="1" ht="37.5" customHeight="1">
      <c r="A204" s="150"/>
      <c r="B204" s="167" t="s">
        <v>921</v>
      </c>
      <c r="C204" s="164" t="s">
        <v>3</v>
      </c>
      <c r="D204" s="149" t="s">
        <v>109</v>
      </c>
      <c r="E204" s="149" t="s">
        <v>84</v>
      </c>
      <c r="F204" s="750"/>
      <c r="G204" s="751"/>
      <c r="H204" s="751"/>
      <c r="I204" s="752"/>
      <c r="J204" s="149"/>
      <c r="K204" s="838">
        <f>K205</f>
        <v>3327.1120000000001</v>
      </c>
      <c r="L204" s="165">
        <f t="shared" si="37"/>
        <v>2720.0659999999998</v>
      </c>
      <c r="M204" s="712">
        <f>M205</f>
        <v>6047.1779999999999</v>
      </c>
    </row>
    <row r="205" spans="1:13" s="391" customFormat="1" ht="112.5">
      <c r="A205" s="150"/>
      <c r="B205" s="163" t="s">
        <v>926</v>
      </c>
      <c r="C205" s="164" t="s">
        <v>3</v>
      </c>
      <c r="D205" s="149" t="s">
        <v>109</v>
      </c>
      <c r="E205" s="149" t="s">
        <v>84</v>
      </c>
      <c r="F205" s="750" t="s">
        <v>922</v>
      </c>
      <c r="G205" s="751" t="s">
        <v>62</v>
      </c>
      <c r="H205" s="751" t="s">
        <v>63</v>
      </c>
      <c r="I205" s="752" t="s">
        <v>64</v>
      </c>
      <c r="J205" s="149"/>
      <c r="K205" s="838">
        <f>K206</f>
        <v>3327.1120000000001</v>
      </c>
      <c r="L205" s="165">
        <f t="shared" si="37"/>
        <v>2720.0659999999998</v>
      </c>
      <c r="M205" s="712">
        <f>M206</f>
        <v>6047.1779999999999</v>
      </c>
    </row>
    <row r="206" spans="1:13" s="391" customFormat="1" ht="112.5" customHeight="1">
      <c r="A206" s="150"/>
      <c r="B206" s="163" t="s">
        <v>923</v>
      </c>
      <c r="C206" s="164" t="s">
        <v>3</v>
      </c>
      <c r="D206" s="149" t="s">
        <v>109</v>
      </c>
      <c r="E206" s="149" t="s">
        <v>84</v>
      </c>
      <c r="F206" s="750" t="s">
        <v>922</v>
      </c>
      <c r="G206" s="751" t="s">
        <v>110</v>
      </c>
      <c r="H206" s="751" t="s">
        <v>63</v>
      </c>
      <c r="I206" s="752" t="s">
        <v>64</v>
      </c>
      <c r="J206" s="149"/>
      <c r="K206" s="838">
        <f>K207+K210+K213+K216+K219+K222+K225</f>
        <v>3327.1120000000001</v>
      </c>
      <c r="L206" s="712">
        <f t="shared" ref="L206:M206" si="38">L207+L210+L213+L216+L219+L222+L225</f>
        <v>2720.0659999999998</v>
      </c>
      <c r="M206" s="712">
        <f t="shared" si="38"/>
        <v>6047.1779999999999</v>
      </c>
    </row>
    <row r="207" spans="1:13" s="391" customFormat="1" ht="93.75">
      <c r="A207" s="150"/>
      <c r="B207" s="167" t="s">
        <v>924</v>
      </c>
      <c r="C207" s="164" t="s">
        <v>3</v>
      </c>
      <c r="D207" s="149" t="s">
        <v>109</v>
      </c>
      <c r="E207" s="149" t="s">
        <v>84</v>
      </c>
      <c r="F207" s="750" t="s">
        <v>922</v>
      </c>
      <c r="G207" s="751" t="s">
        <v>110</v>
      </c>
      <c r="H207" s="751" t="s">
        <v>57</v>
      </c>
      <c r="I207" s="752" t="s">
        <v>64</v>
      </c>
      <c r="J207" s="149"/>
      <c r="K207" s="838">
        <f t="shared" ref="K207:M208" si="39">K208</f>
        <v>1747.2239999999999</v>
      </c>
      <c r="L207" s="165">
        <f t="shared" si="37"/>
        <v>150.06799999999998</v>
      </c>
      <c r="M207" s="712">
        <f t="shared" si="39"/>
        <v>1897.2919999999999</v>
      </c>
    </row>
    <row r="208" spans="1:13" s="391" customFormat="1" ht="93.75">
      <c r="A208" s="150"/>
      <c r="B208" s="167" t="s">
        <v>925</v>
      </c>
      <c r="C208" s="164" t="s">
        <v>3</v>
      </c>
      <c r="D208" s="149" t="s">
        <v>109</v>
      </c>
      <c r="E208" s="149" t="s">
        <v>84</v>
      </c>
      <c r="F208" s="750" t="s">
        <v>922</v>
      </c>
      <c r="G208" s="751" t="s">
        <v>110</v>
      </c>
      <c r="H208" s="751" t="s">
        <v>57</v>
      </c>
      <c r="I208" s="752" t="s">
        <v>927</v>
      </c>
      <c r="J208" s="149"/>
      <c r="K208" s="838">
        <f t="shared" si="39"/>
        <v>1747.2239999999999</v>
      </c>
      <c r="L208" s="165">
        <f t="shared" si="37"/>
        <v>150.06799999999998</v>
      </c>
      <c r="M208" s="712">
        <f t="shared" si="39"/>
        <v>1897.2919999999999</v>
      </c>
    </row>
    <row r="209" spans="1:13" s="391" customFormat="1" ht="18.75">
      <c r="A209" s="150"/>
      <c r="B209" s="163" t="s">
        <v>144</v>
      </c>
      <c r="C209" s="164" t="s">
        <v>3</v>
      </c>
      <c r="D209" s="149" t="s">
        <v>109</v>
      </c>
      <c r="E209" s="149" t="s">
        <v>84</v>
      </c>
      <c r="F209" s="750" t="s">
        <v>922</v>
      </c>
      <c r="G209" s="751" t="s">
        <v>110</v>
      </c>
      <c r="H209" s="751" t="s">
        <v>57</v>
      </c>
      <c r="I209" s="752" t="s">
        <v>927</v>
      </c>
      <c r="J209" s="149" t="s">
        <v>145</v>
      </c>
      <c r="K209" s="692">
        <v>1747.2239999999999</v>
      </c>
      <c r="L209" s="881">
        <f t="shared" si="37"/>
        <v>150.06799999999998</v>
      </c>
      <c r="M209" s="741">
        <f>1747.224+150.068</f>
        <v>1897.2919999999999</v>
      </c>
    </row>
    <row r="210" spans="1:13" s="391" customFormat="1" ht="75">
      <c r="A210" s="150"/>
      <c r="B210" s="163" t="s">
        <v>982</v>
      </c>
      <c r="C210" s="164" t="s">
        <v>3</v>
      </c>
      <c r="D210" s="149" t="s">
        <v>109</v>
      </c>
      <c r="E210" s="149" t="s">
        <v>84</v>
      </c>
      <c r="F210" s="750" t="s">
        <v>922</v>
      </c>
      <c r="G210" s="751" t="s">
        <v>110</v>
      </c>
      <c r="H210" s="751" t="s">
        <v>59</v>
      </c>
      <c r="I210" s="752" t="s">
        <v>64</v>
      </c>
      <c r="J210" s="149"/>
      <c r="K210" s="692">
        <f t="shared" ref="K210:M211" si="40">K211</f>
        <v>1078.8879999999999</v>
      </c>
      <c r="L210" s="165">
        <f t="shared" si="40"/>
        <v>0</v>
      </c>
      <c r="M210" s="165">
        <f t="shared" si="40"/>
        <v>1078.8879999999999</v>
      </c>
    </row>
    <row r="211" spans="1:13" s="391" customFormat="1" ht="93.75">
      <c r="A211" s="150"/>
      <c r="B211" s="163" t="s">
        <v>925</v>
      </c>
      <c r="C211" s="164" t="s">
        <v>3</v>
      </c>
      <c r="D211" s="149" t="s">
        <v>109</v>
      </c>
      <c r="E211" s="149" t="s">
        <v>84</v>
      </c>
      <c r="F211" s="750" t="s">
        <v>922</v>
      </c>
      <c r="G211" s="751" t="s">
        <v>110</v>
      </c>
      <c r="H211" s="751" t="s">
        <v>59</v>
      </c>
      <c r="I211" s="752" t="s">
        <v>927</v>
      </c>
      <c r="J211" s="149"/>
      <c r="K211" s="692">
        <f t="shared" si="40"/>
        <v>1078.8879999999999</v>
      </c>
      <c r="L211" s="165">
        <f>L212</f>
        <v>0</v>
      </c>
      <c r="M211" s="165">
        <f t="shared" si="40"/>
        <v>1078.8879999999999</v>
      </c>
    </row>
    <row r="212" spans="1:13" s="391" customFormat="1" ht="25.9" customHeight="1">
      <c r="A212" s="150"/>
      <c r="B212" s="163" t="s">
        <v>144</v>
      </c>
      <c r="C212" s="164" t="s">
        <v>3</v>
      </c>
      <c r="D212" s="149" t="s">
        <v>109</v>
      </c>
      <c r="E212" s="149" t="s">
        <v>84</v>
      </c>
      <c r="F212" s="750" t="s">
        <v>922</v>
      </c>
      <c r="G212" s="751" t="s">
        <v>110</v>
      </c>
      <c r="H212" s="751" t="s">
        <v>59</v>
      </c>
      <c r="I212" s="752" t="s">
        <v>927</v>
      </c>
      <c r="J212" s="149" t="s">
        <v>145</v>
      </c>
      <c r="K212" s="692">
        <v>1078.8879999999999</v>
      </c>
      <c r="L212" s="165">
        <f t="shared" ref="L212" si="41">M212-K212</f>
        <v>0</v>
      </c>
      <c r="M212" s="165">
        <v>1078.8879999999999</v>
      </c>
    </row>
    <row r="213" spans="1:13" s="391" customFormat="1" ht="131.25" customHeight="1">
      <c r="A213" s="150"/>
      <c r="B213" s="163" t="s">
        <v>994</v>
      </c>
      <c r="C213" s="164" t="s">
        <v>3</v>
      </c>
      <c r="D213" s="149" t="s">
        <v>109</v>
      </c>
      <c r="E213" s="149" t="s">
        <v>84</v>
      </c>
      <c r="F213" s="750" t="s">
        <v>922</v>
      </c>
      <c r="G213" s="751" t="s">
        <v>110</v>
      </c>
      <c r="H213" s="751" t="s">
        <v>84</v>
      </c>
      <c r="I213" s="752" t="s">
        <v>64</v>
      </c>
      <c r="J213" s="149"/>
      <c r="K213" s="692">
        <f t="shared" ref="K213:M214" si="42">K214</f>
        <v>63</v>
      </c>
      <c r="L213" s="165">
        <f t="shared" si="42"/>
        <v>0</v>
      </c>
      <c r="M213" s="165">
        <f t="shared" si="42"/>
        <v>63</v>
      </c>
    </row>
    <row r="214" spans="1:13" s="391" customFormat="1" ht="93.75" customHeight="1">
      <c r="A214" s="150"/>
      <c r="B214" s="163" t="s">
        <v>925</v>
      </c>
      <c r="C214" s="164" t="s">
        <v>3</v>
      </c>
      <c r="D214" s="149" t="s">
        <v>109</v>
      </c>
      <c r="E214" s="149" t="s">
        <v>84</v>
      </c>
      <c r="F214" s="750" t="s">
        <v>922</v>
      </c>
      <c r="G214" s="751" t="s">
        <v>110</v>
      </c>
      <c r="H214" s="751" t="s">
        <v>84</v>
      </c>
      <c r="I214" s="752" t="s">
        <v>927</v>
      </c>
      <c r="J214" s="149"/>
      <c r="K214" s="692">
        <f t="shared" si="42"/>
        <v>63</v>
      </c>
      <c r="L214" s="165">
        <f t="shared" si="42"/>
        <v>0</v>
      </c>
      <c r="M214" s="165">
        <f t="shared" si="42"/>
        <v>63</v>
      </c>
    </row>
    <row r="215" spans="1:13" s="391" customFormat="1" ht="18.75">
      <c r="A215" s="150"/>
      <c r="B215" s="163" t="s">
        <v>144</v>
      </c>
      <c r="C215" s="164" t="s">
        <v>3</v>
      </c>
      <c r="D215" s="149" t="s">
        <v>109</v>
      </c>
      <c r="E215" s="149" t="s">
        <v>84</v>
      </c>
      <c r="F215" s="750" t="s">
        <v>922</v>
      </c>
      <c r="G215" s="751" t="s">
        <v>110</v>
      </c>
      <c r="H215" s="751" t="s">
        <v>84</v>
      </c>
      <c r="I215" s="752" t="s">
        <v>927</v>
      </c>
      <c r="J215" s="149" t="s">
        <v>145</v>
      </c>
      <c r="K215" s="692">
        <v>63</v>
      </c>
      <c r="L215" s="165">
        <f t="shared" ref="L215" si="43">M215-K215</f>
        <v>0</v>
      </c>
      <c r="M215" s="165">
        <v>63</v>
      </c>
    </row>
    <row r="216" spans="1:13" s="391" customFormat="1" ht="112.5">
      <c r="A216" s="150"/>
      <c r="B216" s="163" t="s">
        <v>995</v>
      </c>
      <c r="C216" s="164" t="s">
        <v>3</v>
      </c>
      <c r="D216" s="149" t="s">
        <v>109</v>
      </c>
      <c r="E216" s="149" t="s">
        <v>84</v>
      </c>
      <c r="F216" s="750" t="s">
        <v>922</v>
      </c>
      <c r="G216" s="751" t="s">
        <v>110</v>
      </c>
      <c r="H216" s="751" t="s">
        <v>72</v>
      </c>
      <c r="I216" s="752" t="s">
        <v>64</v>
      </c>
      <c r="J216" s="149"/>
      <c r="K216" s="692">
        <f t="shared" ref="K216:M217" si="44">K217</f>
        <v>202</v>
      </c>
      <c r="L216" s="165">
        <f t="shared" si="44"/>
        <v>0</v>
      </c>
      <c r="M216" s="165">
        <f t="shared" si="44"/>
        <v>202</v>
      </c>
    </row>
    <row r="217" spans="1:13" s="391" customFormat="1" ht="93.75">
      <c r="A217" s="150"/>
      <c r="B217" s="163" t="s">
        <v>925</v>
      </c>
      <c r="C217" s="164" t="s">
        <v>3</v>
      </c>
      <c r="D217" s="149" t="s">
        <v>109</v>
      </c>
      <c r="E217" s="149" t="s">
        <v>84</v>
      </c>
      <c r="F217" s="750" t="s">
        <v>922</v>
      </c>
      <c r="G217" s="751" t="s">
        <v>110</v>
      </c>
      <c r="H217" s="751" t="s">
        <v>72</v>
      </c>
      <c r="I217" s="752" t="s">
        <v>927</v>
      </c>
      <c r="J217" s="149"/>
      <c r="K217" s="692">
        <f t="shared" si="44"/>
        <v>202</v>
      </c>
      <c r="L217" s="165">
        <f t="shared" si="44"/>
        <v>0</v>
      </c>
      <c r="M217" s="165">
        <f t="shared" si="44"/>
        <v>202</v>
      </c>
    </row>
    <row r="218" spans="1:13" s="391" customFormat="1" ht="18.75">
      <c r="A218" s="150"/>
      <c r="B218" s="163" t="s">
        <v>144</v>
      </c>
      <c r="C218" s="164" t="s">
        <v>3</v>
      </c>
      <c r="D218" s="149" t="s">
        <v>109</v>
      </c>
      <c r="E218" s="149" t="s">
        <v>84</v>
      </c>
      <c r="F218" s="750" t="s">
        <v>922</v>
      </c>
      <c r="G218" s="751" t="s">
        <v>110</v>
      </c>
      <c r="H218" s="751" t="s">
        <v>72</v>
      </c>
      <c r="I218" s="752" t="s">
        <v>927</v>
      </c>
      <c r="J218" s="149" t="s">
        <v>145</v>
      </c>
      <c r="K218" s="692">
        <v>202</v>
      </c>
      <c r="L218" s="165">
        <f t="shared" ref="L218:L224" si="45">M218-K218</f>
        <v>0</v>
      </c>
      <c r="M218" s="165">
        <v>202</v>
      </c>
    </row>
    <row r="219" spans="1:13" s="391" customFormat="1" ht="112.5" customHeight="1">
      <c r="A219" s="150"/>
      <c r="B219" s="163" t="s">
        <v>1004</v>
      </c>
      <c r="C219" s="164" t="s">
        <v>3</v>
      </c>
      <c r="D219" s="149" t="s">
        <v>109</v>
      </c>
      <c r="E219" s="149" t="s">
        <v>84</v>
      </c>
      <c r="F219" s="750" t="s">
        <v>922</v>
      </c>
      <c r="G219" s="751" t="s">
        <v>110</v>
      </c>
      <c r="H219" s="751" t="s">
        <v>86</v>
      </c>
      <c r="I219" s="752" t="s">
        <v>64</v>
      </c>
      <c r="J219" s="149"/>
      <c r="K219" s="692">
        <f t="shared" ref="K219:M220" si="46">K220</f>
        <v>200</v>
      </c>
      <c r="L219" s="165">
        <f t="shared" si="46"/>
        <v>-50</v>
      </c>
      <c r="M219" s="165">
        <f t="shared" si="46"/>
        <v>150</v>
      </c>
    </row>
    <row r="220" spans="1:13" s="391" customFormat="1" ht="93.75">
      <c r="A220" s="150"/>
      <c r="B220" s="163" t="s">
        <v>925</v>
      </c>
      <c r="C220" s="164" t="s">
        <v>3</v>
      </c>
      <c r="D220" s="149" t="s">
        <v>109</v>
      </c>
      <c r="E220" s="149" t="s">
        <v>84</v>
      </c>
      <c r="F220" s="750" t="s">
        <v>922</v>
      </c>
      <c r="G220" s="751" t="s">
        <v>110</v>
      </c>
      <c r="H220" s="751" t="s">
        <v>86</v>
      </c>
      <c r="I220" s="752" t="s">
        <v>927</v>
      </c>
      <c r="J220" s="149"/>
      <c r="K220" s="692">
        <f t="shared" si="46"/>
        <v>200</v>
      </c>
      <c r="L220" s="165">
        <f t="shared" si="46"/>
        <v>-50</v>
      </c>
      <c r="M220" s="165">
        <f t="shared" si="46"/>
        <v>150</v>
      </c>
    </row>
    <row r="221" spans="1:13" s="391" customFormat="1" ht="18.75">
      <c r="A221" s="150"/>
      <c r="B221" s="163" t="s">
        <v>144</v>
      </c>
      <c r="C221" s="164" t="s">
        <v>3</v>
      </c>
      <c r="D221" s="149" t="s">
        <v>109</v>
      </c>
      <c r="E221" s="149" t="s">
        <v>84</v>
      </c>
      <c r="F221" s="750" t="s">
        <v>922</v>
      </c>
      <c r="G221" s="751" t="s">
        <v>110</v>
      </c>
      <c r="H221" s="751" t="s">
        <v>86</v>
      </c>
      <c r="I221" s="752" t="s">
        <v>927</v>
      </c>
      <c r="J221" s="149" t="s">
        <v>145</v>
      </c>
      <c r="K221" s="692">
        <v>200</v>
      </c>
      <c r="L221" s="881">
        <f t="shared" si="45"/>
        <v>-50</v>
      </c>
      <c r="M221" s="741">
        <f>200-50+50-50</f>
        <v>150</v>
      </c>
    </row>
    <row r="222" spans="1:13" s="391" customFormat="1" ht="168.75" customHeight="1">
      <c r="A222" s="150"/>
      <c r="B222" s="163" t="s">
        <v>1005</v>
      </c>
      <c r="C222" s="164" t="s">
        <v>3</v>
      </c>
      <c r="D222" s="149" t="s">
        <v>109</v>
      </c>
      <c r="E222" s="149" t="s">
        <v>84</v>
      </c>
      <c r="F222" s="750" t="s">
        <v>922</v>
      </c>
      <c r="G222" s="751" t="s">
        <v>110</v>
      </c>
      <c r="H222" s="751" t="s">
        <v>102</v>
      </c>
      <c r="I222" s="752" t="s">
        <v>64</v>
      </c>
      <c r="J222" s="149"/>
      <c r="K222" s="692">
        <f t="shared" ref="K222:M226" si="47">K223</f>
        <v>36</v>
      </c>
      <c r="L222" s="165">
        <f t="shared" si="47"/>
        <v>50</v>
      </c>
      <c r="M222" s="165">
        <f t="shared" si="47"/>
        <v>86</v>
      </c>
    </row>
    <row r="223" spans="1:13" s="391" customFormat="1" ht="93.75" customHeight="1">
      <c r="A223" s="150"/>
      <c r="B223" s="163" t="s">
        <v>1006</v>
      </c>
      <c r="C223" s="164" t="s">
        <v>3</v>
      </c>
      <c r="D223" s="149" t="s">
        <v>109</v>
      </c>
      <c r="E223" s="149" t="s">
        <v>84</v>
      </c>
      <c r="F223" s="750" t="s">
        <v>922</v>
      </c>
      <c r="G223" s="751" t="s">
        <v>110</v>
      </c>
      <c r="H223" s="751" t="s">
        <v>102</v>
      </c>
      <c r="I223" s="752" t="s">
        <v>927</v>
      </c>
      <c r="J223" s="149"/>
      <c r="K223" s="692">
        <f t="shared" si="47"/>
        <v>36</v>
      </c>
      <c r="L223" s="165">
        <f t="shared" si="47"/>
        <v>50</v>
      </c>
      <c r="M223" s="165">
        <f t="shared" si="47"/>
        <v>86</v>
      </c>
    </row>
    <row r="224" spans="1:13" s="391" customFormat="1" ht="25.9" customHeight="1">
      <c r="A224" s="150"/>
      <c r="B224" s="163" t="s">
        <v>144</v>
      </c>
      <c r="C224" s="164" t="s">
        <v>3</v>
      </c>
      <c r="D224" s="149" t="s">
        <v>109</v>
      </c>
      <c r="E224" s="149" t="s">
        <v>84</v>
      </c>
      <c r="F224" s="750" t="s">
        <v>922</v>
      </c>
      <c r="G224" s="751" t="s">
        <v>110</v>
      </c>
      <c r="H224" s="751" t="s">
        <v>102</v>
      </c>
      <c r="I224" s="752" t="s">
        <v>927</v>
      </c>
      <c r="J224" s="149" t="s">
        <v>145</v>
      </c>
      <c r="K224" s="692">
        <v>36</v>
      </c>
      <c r="L224" s="881">
        <f t="shared" si="45"/>
        <v>50</v>
      </c>
      <c r="M224" s="165">
        <f>36+50</f>
        <v>86</v>
      </c>
    </row>
    <row r="225" spans="1:13" s="391" customFormat="1" ht="112.5" customHeight="1">
      <c r="A225" s="150"/>
      <c r="B225" s="163" t="s">
        <v>1019</v>
      </c>
      <c r="C225" s="164" t="s">
        <v>3</v>
      </c>
      <c r="D225" s="149" t="s">
        <v>109</v>
      </c>
      <c r="E225" s="149" t="s">
        <v>84</v>
      </c>
      <c r="F225" s="777" t="s">
        <v>922</v>
      </c>
      <c r="G225" s="778" t="s">
        <v>110</v>
      </c>
      <c r="H225" s="778" t="s">
        <v>246</v>
      </c>
      <c r="I225" s="779" t="s">
        <v>64</v>
      </c>
      <c r="J225" s="149"/>
      <c r="K225" s="692">
        <f t="shared" si="47"/>
        <v>0</v>
      </c>
      <c r="L225" s="165">
        <f t="shared" si="47"/>
        <v>2569.998</v>
      </c>
      <c r="M225" s="165">
        <f t="shared" si="47"/>
        <v>2569.998</v>
      </c>
    </row>
    <row r="226" spans="1:13" s="391" customFormat="1" ht="93.75" customHeight="1">
      <c r="A226" s="150"/>
      <c r="B226" s="163" t="s">
        <v>1006</v>
      </c>
      <c r="C226" s="164" t="s">
        <v>3</v>
      </c>
      <c r="D226" s="149" t="s">
        <v>109</v>
      </c>
      <c r="E226" s="149" t="s">
        <v>84</v>
      </c>
      <c r="F226" s="777" t="s">
        <v>922</v>
      </c>
      <c r="G226" s="778" t="s">
        <v>110</v>
      </c>
      <c r="H226" s="778" t="s">
        <v>246</v>
      </c>
      <c r="I226" s="779" t="s">
        <v>927</v>
      </c>
      <c r="J226" s="149"/>
      <c r="K226" s="692">
        <f t="shared" si="47"/>
        <v>0</v>
      </c>
      <c r="L226" s="165">
        <f t="shared" si="47"/>
        <v>2569.998</v>
      </c>
      <c r="M226" s="165">
        <f t="shared" si="47"/>
        <v>2569.998</v>
      </c>
    </row>
    <row r="227" spans="1:13" s="391" customFormat="1" ht="18.75" customHeight="1">
      <c r="A227" s="150"/>
      <c r="B227" s="163" t="s">
        <v>144</v>
      </c>
      <c r="C227" s="164" t="s">
        <v>3</v>
      </c>
      <c r="D227" s="149" t="s">
        <v>109</v>
      </c>
      <c r="E227" s="149" t="s">
        <v>84</v>
      </c>
      <c r="F227" s="777" t="s">
        <v>922</v>
      </c>
      <c r="G227" s="778" t="s">
        <v>110</v>
      </c>
      <c r="H227" s="778" t="s">
        <v>246</v>
      </c>
      <c r="I227" s="779" t="s">
        <v>927</v>
      </c>
      <c r="J227" s="149" t="s">
        <v>145</v>
      </c>
      <c r="K227" s="692"/>
      <c r="L227" s="881">
        <f t="shared" ref="L227" si="48">M227-K227</f>
        <v>2569.998</v>
      </c>
      <c r="M227" s="165">
        <v>2569.998</v>
      </c>
    </row>
    <row r="228" spans="1:13" ht="18.75" customHeight="1">
      <c r="A228" s="150"/>
      <c r="B228" s="163"/>
      <c r="C228" s="164"/>
      <c r="D228" s="149"/>
      <c r="E228" s="149"/>
      <c r="F228" s="750"/>
      <c r="G228" s="751"/>
      <c r="H228" s="751"/>
      <c r="I228" s="752"/>
      <c r="J228" s="149"/>
      <c r="K228" s="692"/>
      <c r="L228" s="713"/>
      <c r="M228" s="165"/>
    </row>
    <row r="229" spans="1:13" ht="56.25" customHeight="1">
      <c r="A229" s="390">
        <v>2</v>
      </c>
      <c r="B229" s="151" t="s">
        <v>10</v>
      </c>
      <c r="C229" s="158" t="s">
        <v>354</v>
      </c>
      <c r="D229" s="159"/>
      <c r="E229" s="159"/>
      <c r="F229" s="160"/>
      <c r="G229" s="161"/>
      <c r="H229" s="161"/>
      <c r="I229" s="162"/>
      <c r="J229" s="159"/>
      <c r="K229" s="691">
        <f>K230+K251</f>
        <v>61741.815999999999</v>
      </c>
      <c r="L229" s="188">
        <f>L230+L251</f>
        <v>-19473.5</v>
      </c>
      <c r="M229" s="188">
        <f>M230+M251</f>
        <v>42268.315999999992</v>
      </c>
    </row>
    <row r="230" spans="1:13" s="395" customFormat="1" ht="18.75" customHeight="1">
      <c r="A230" s="150"/>
      <c r="B230" s="163" t="s">
        <v>56</v>
      </c>
      <c r="C230" s="164" t="s">
        <v>354</v>
      </c>
      <c r="D230" s="149" t="s">
        <v>57</v>
      </c>
      <c r="E230" s="149"/>
      <c r="F230" s="750"/>
      <c r="G230" s="751"/>
      <c r="H230" s="751"/>
      <c r="I230" s="752"/>
      <c r="J230" s="149"/>
      <c r="K230" s="692">
        <f>K231+K242</f>
        <v>28122.515999999996</v>
      </c>
      <c r="L230" s="165">
        <f>L231+L242</f>
        <v>193</v>
      </c>
      <c r="M230" s="165">
        <f>M231+M242</f>
        <v>28315.515999999996</v>
      </c>
    </row>
    <row r="231" spans="1:13" s="396" customFormat="1" ht="57.75" customHeight="1">
      <c r="A231" s="150"/>
      <c r="B231" s="163" t="s">
        <v>151</v>
      </c>
      <c r="C231" s="164" t="s">
        <v>354</v>
      </c>
      <c r="D231" s="149" t="s">
        <v>57</v>
      </c>
      <c r="E231" s="149" t="s">
        <v>102</v>
      </c>
      <c r="F231" s="750"/>
      <c r="G231" s="751"/>
      <c r="H231" s="751"/>
      <c r="I231" s="752"/>
      <c r="J231" s="149"/>
      <c r="K231" s="692">
        <f t="shared" ref="K231:M234" si="49">K232</f>
        <v>25048.015999999996</v>
      </c>
      <c r="L231" s="165">
        <f t="shared" si="49"/>
        <v>0</v>
      </c>
      <c r="M231" s="165">
        <f t="shared" si="49"/>
        <v>25048.015999999996</v>
      </c>
    </row>
    <row r="232" spans="1:13" s="391" customFormat="1" ht="59.25" customHeight="1">
      <c r="A232" s="150"/>
      <c r="B232" s="163" t="s">
        <v>245</v>
      </c>
      <c r="C232" s="164" t="s">
        <v>354</v>
      </c>
      <c r="D232" s="149" t="s">
        <v>57</v>
      </c>
      <c r="E232" s="149" t="s">
        <v>102</v>
      </c>
      <c r="F232" s="750" t="s">
        <v>246</v>
      </c>
      <c r="G232" s="751" t="s">
        <v>62</v>
      </c>
      <c r="H232" s="751" t="s">
        <v>63</v>
      </c>
      <c r="I232" s="752" t="s">
        <v>64</v>
      </c>
      <c r="J232" s="149"/>
      <c r="K232" s="692">
        <f t="shared" si="49"/>
        <v>25048.015999999996</v>
      </c>
      <c r="L232" s="165">
        <f t="shared" si="49"/>
        <v>0</v>
      </c>
      <c r="M232" s="165">
        <f t="shared" si="49"/>
        <v>25048.015999999996</v>
      </c>
    </row>
    <row r="233" spans="1:13" s="391" customFormat="1" ht="37.5" customHeight="1">
      <c r="A233" s="150"/>
      <c r="B233" s="163" t="s">
        <v>404</v>
      </c>
      <c r="C233" s="164" t="s">
        <v>354</v>
      </c>
      <c r="D233" s="149" t="s">
        <v>57</v>
      </c>
      <c r="E233" s="149" t="s">
        <v>102</v>
      </c>
      <c r="F233" s="171" t="s">
        <v>246</v>
      </c>
      <c r="G233" s="172" t="s">
        <v>65</v>
      </c>
      <c r="H233" s="751" t="s">
        <v>63</v>
      </c>
      <c r="I233" s="752" t="s">
        <v>64</v>
      </c>
      <c r="J233" s="149"/>
      <c r="K233" s="692">
        <f t="shared" ref="K233:M233" si="50">K234+K239</f>
        <v>25048.015999999996</v>
      </c>
      <c r="L233" s="165">
        <f t="shared" ref="L233" si="51">L234+L239</f>
        <v>0</v>
      </c>
      <c r="M233" s="165">
        <f t="shared" si="50"/>
        <v>25048.015999999996</v>
      </c>
    </row>
    <row r="234" spans="1:13" s="391" customFormat="1" ht="56.25" customHeight="1">
      <c r="A234" s="150"/>
      <c r="B234" s="163" t="s">
        <v>355</v>
      </c>
      <c r="C234" s="164" t="s">
        <v>354</v>
      </c>
      <c r="D234" s="149" t="s">
        <v>57</v>
      </c>
      <c r="E234" s="149" t="s">
        <v>102</v>
      </c>
      <c r="F234" s="171" t="s">
        <v>246</v>
      </c>
      <c r="G234" s="172" t="s">
        <v>65</v>
      </c>
      <c r="H234" s="751" t="s">
        <v>57</v>
      </c>
      <c r="I234" s="752" t="s">
        <v>64</v>
      </c>
      <c r="J234" s="149"/>
      <c r="K234" s="692">
        <f t="shared" si="49"/>
        <v>24340.715999999997</v>
      </c>
      <c r="L234" s="165">
        <f t="shared" si="49"/>
        <v>0</v>
      </c>
      <c r="M234" s="165">
        <f t="shared" si="49"/>
        <v>24340.715999999997</v>
      </c>
    </row>
    <row r="235" spans="1:13" s="391" customFormat="1" ht="37.5" customHeight="1">
      <c r="A235" s="150"/>
      <c r="B235" s="163" t="s">
        <v>67</v>
      </c>
      <c r="C235" s="164" t="s">
        <v>354</v>
      </c>
      <c r="D235" s="149" t="s">
        <v>57</v>
      </c>
      <c r="E235" s="149" t="s">
        <v>102</v>
      </c>
      <c r="F235" s="171" t="s">
        <v>246</v>
      </c>
      <c r="G235" s="172" t="s">
        <v>65</v>
      </c>
      <c r="H235" s="751" t="s">
        <v>57</v>
      </c>
      <c r="I235" s="752" t="s">
        <v>68</v>
      </c>
      <c r="J235" s="149"/>
      <c r="K235" s="692">
        <f>SUM(K236:K238)</f>
        <v>24340.715999999997</v>
      </c>
      <c r="L235" s="165">
        <f>SUM(L236:L238)</f>
        <v>0</v>
      </c>
      <c r="M235" s="165">
        <f>SUM(M236:M238)</f>
        <v>24340.715999999997</v>
      </c>
    </row>
    <row r="236" spans="1:13" s="391" customFormat="1" ht="112.5" customHeight="1">
      <c r="A236" s="150"/>
      <c r="B236" s="163" t="s">
        <v>69</v>
      </c>
      <c r="C236" s="164" t="s">
        <v>354</v>
      </c>
      <c r="D236" s="149" t="s">
        <v>57</v>
      </c>
      <c r="E236" s="149" t="s">
        <v>102</v>
      </c>
      <c r="F236" s="171" t="s">
        <v>246</v>
      </c>
      <c r="G236" s="172" t="s">
        <v>65</v>
      </c>
      <c r="H236" s="751" t="s">
        <v>57</v>
      </c>
      <c r="I236" s="752" t="s">
        <v>68</v>
      </c>
      <c r="J236" s="149" t="s">
        <v>70</v>
      </c>
      <c r="K236" s="692">
        <f>22851.3+707.3</f>
        <v>23558.6</v>
      </c>
      <c r="L236" s="165">
        <f>M236-K236</f>
        <v>0</v>
      </c>
      <c r="M236" s="165">
        <f>22851.3+707.3</f>
        <v>23558.6</v>
      </c>
    </row>
    <row r="237" spans="1:13" s="391" customFormat="1" ht="56.25" customHeight="1">
      <c r="A237" s="150"/>
      <c r="B237" s="163" t="s">
        <v>75</v>
      </c>
      <c r="C237" s="164" t="s">
        <v>354</v>
      </c>
      <c r="D237" s="149" t="s">
        <v>57</v>
      </c>
      <c r="E237" s="149" t="s">
        <v>102</v>
      </c>
      <c r="F237" s="171" t="s">
        <v>246</v>
      </c>
      <c r="G237" s="172" t="s">
        <v>65</v>
      </c>
      <c r="H237" s="751" t="s">
        <v>57</v>
      </c>
      <c r="I237" s="752" t="s">
        <v>68</v>
      </c>
      <c r="J237" s="149" t="s">
        <v>76</v>
      </c>
      <c r="K237" s="692">
        <f>766.8+3.016+7.5</f>
        <v>777.31599999999992</v>
      </c>
      <c r="L237" s="165">
        <f>M237-K237</f>
        <v>0</v>
      </c>
      <c r="M237" s="165">
        <f>766.8+3.016+7.5</f>
        <v>777.31599999999992</v>
      </c>
    </row>
    <row r="238" spans="1:13" s="396" customFormat="1" ht="18.75" customHeight="1">
      <c r="A238" s="150"/>
      <c r="B238" s="163" t="s">
        <v>77</v>
      </c>
      <c r="C238" s="164" t="s">
        <v>354</v>
      </c>
      <c r="D238" s="149" t="s">
        <v>57</v>
      </c>
      <c r="E238" s="149" t="s">
        <v>102</v>
      </c>
      <c r="F238" s="171" t="s">
        <v>246</v>
      </c>
      <c r="G238" s="172" t="s">
        <v>65</v>
      </c>
      <c r="H238" s="751" t="s">
        <v>57</v>
      </c>
      <c r="I238" s="752" t="s">
        <v>68</v>
      </c>
      <c r="J238" s="149" t="s">
        <v>78</v>
      </c>
      <c r="K238" s="692">
        <v>4.8</v>
      </c>
      <c r="L238" s="165">
        <f>M238-K238</f>
        <v>0</v>
      </c>
      <c r="M238" s="165">
        <v>4.8</v>
      </c>
    </row>
    <row r="239" spans="1:13" s="396" customFormat="1" ht="58.5" customHeight="1">
      <c r="A239" s="150"/>
      <c r="B239" s="163" t="s">
        <v>387</v>
      </c>
      <c r="C239" s="164" t="s">
        <v>354</v>
      </c>
      <c r="D239" s="149" t="s">
        <v>57</v>
      </c>
      <c r="E239" s="149" t="s">
        <v>102</v>
      </c>
      <c r="F239" s="171" t="s">
        <v>246</v>
      </c>
      <c r="G239" s="172" t="s">
        <v>65</v>
      </c>
      <c r="H239" s="751" t="s">
        <v>72</v>
      </c>
      <c r="I239" s="752" t="s">
        <v>64</v>
      </c>
      <c r="J239" s="149"/>
      <c r="K239" s="692">
        <f t="shared" ref="K239:M240" si="52">K240</f>
        <v>707.3</v>
      </c>
      <c r="L239" s="165">
        <f t="shared" si="52"/>
        <v>0</v>
      </c>
      <c r="M239" s="165">
        <f t="shared" si="52"/>
        <v>707.3</v>
      </c>
    </row>
    <row r="240" spans="1:13" s="146" customFormat="1" ht="37.5" customHeight="1">
      <c r="A240" s="150"/>
      <c r="B240" s="163" t="s">
        <v>463</v>
      </c>
      <c r="C240" s="164" t="s">
        <v>354</v>
      </c>
      <c r="D240" s="149" t="s">
        <v>57</v>
      </c>
      <c r="E240" s="149" t="s">
        <v>102</v>
      </c>
      <c r="F240" s="171" t="s">
        <v>246</v>
      </c>
      <c r="G240" s="172" t="s">
        <v>65</v>
      </c>
      <c r="H240" s="751" t="s">
        <v>72</v>
      </c>
      <c r="I240" s="752" t="s">
        <v>462</v>
      </c>
      <c r="J240" s="149"/>
      <c r="K240" s="692">
        <f t="shared" si="52"/>
        <v>707.3</v>
      </c>
      <c r="L240" s="165">
        <f t="shared" si="52"/>
        <v>0</v>
      </c>
      <c r="M240" s="165">
        <f t="shared" si="52"/>
        <v>707.3</v>
      </c>
    </row>
    <row r="241" spans="1:13" s="146" customFormat="1" ht="113.25" customHeight="1">
      <c r="A241" s="150"/>
      <c r="B241" s="163" t="s">
        <v>69</v>
      </c>
      <c r="C241" s="164" t="s">
        <v>354</v>
      </c>
      <c r="D241" s="149" t="s">
        <v>57</v>
      </c>
      <c r="E241" s="149" t="s">
        <v>102</v>
      </c>
      <c r="F241" s="171" t="s">
        <v>246</v>
      </c>
      <c r="G241" s="172" t="s">
        <v>65</v>
      </c>
      <c r="H241" s="751" t="s">
        <v>72</v>
      </c>
      <c r="I241" s="752" t="s">
        <v>462</v>
      </c>
      <c r="J241" s="149" t="s">
        <v>70</v>
      </c>
      <c r="K241" s="692">
        <v>707.3</v>
      </c>
      <c r="L241" s="165">
        <f>M241-K241</f>
        <v>0</v>
      </c>
      <c r="M241" s="165">
        <v>707.3</v>
      </c>
    </row>
    <row r="242" spans="1:13" s="391" customFormat="1" ht="18.75" customHeight="1">
      <c r="A242" s="150"/>
      <c r="B242" s="163" t="s">
        <v>91</v>
      </c>
      <c r="C242" s="164" t="s">
        <v>354</v>
      </c>
      <c r="D242" s="149" t="s">
        <v>57</v>
      </c>
      <c r="E242" s="149" t="s">
        <v>92</v>
      </c>
      <c r="F242" s="171"/>
      <c r="G242" s="172"/>
      <c r="H242" s="751"/>
      <c r="I242" s="752"/>
      <c r="J242" s="149"/>
      <c r="K242" s="692">
        <f t="shared" ref="K242:M246" si="53">K243</f>
        <v>3074.5</v>
      </c>
      <c r="L242" s="165">
        <f t="shared" si="53"/>
        <v>193</v>
      </c>
      <c r="M242" s="165">
        <f t="shared" si="53"/>
        <v>3267.5</v>
      </c>
    </row>
    <row r="243" spans="1:13" s="391" customFormat="1" ht="60.75" customHeight="1">
      <c r="A243" s="150"/>
      <c r="B243" s="163" t="s">
        <v>245</v>
      </c>
      <c r="C243" s="164" t="s">
        <v>354</v>
      </c>
      <c r="D243" s="149" t="s">
        <v>57</v>
      </c>
      <c r="E243" s="149" t="s">
        <v>92</v>
      </c>
      <c r="F243" s="171" t="s">
        <v>246</v>
      </c>
      <c r="G243" s="172" t="s">
        <v>62</v>
      </c>
      <c r="H243" s="751" t="s">
        <v>63</v>
      </c>
      <c r="I243" s="752" t="s">
        <v>64</v>
      </c>
      <c r="J243" s="149"/>
      <c r="K243" s="692">
        <f t="shared" si="53"/>
        <v>3074.5</v>
      </c>
      <c r="L243" s="165">
        <f t="shared" si="53"/>
        <v>193</v>
      </c>
      <c r="M243" s="165">
        <f t="shared" si="53"/>
        <v>3267.5</v>
      </c>
    </row>
    <row r="244" spans="1:13" s="146" customFormat="1" ht="37.5" customHeight="1">
      <c r="A244" s="150"/>
      <c r="B244" s="163" t="s">
        <v>404</v>
      </c>
      <c r="C244" s="164" t="s">
        <v>354</v>
      </c>
      <c r="D244" s="149" t="s">
        <v>57</v>
      </c>
      <c r="E244" s="149" t="s">
        <v>92</v>
      </c>
      <c r="F244" s="171" t="s">
        <v>246</v>
      </c>
      <c r="G244" s="172" t="s">
        <v>65</v>
      </c>
      <c r="H244" s="751" t="s">
        <v>63</v>
      </c>
      <c r="I244" s="752" t="s">
        <v>64</v>
      </c>
      <c r="J244" s="149"/>
      <c r="K244" s="692">
        <f>K245+K248</f>
        <v>3074.5</v>
      </c>
      <c r="L244" s="165">
        <f>L245+L248</f>
        <v>193</v>
      </c>
      <c r="M244" s="165">
        <f>M245+M248</f>
        <v>3267.5</v>
      </c>
    </row>
    <row r="245" spans="1:13" s="391" customFormat="1" ht="37.5" customHeight="1">
      <c r="A245" s="150"/>
      <c r="B245" s="163" t="s">
        <v>428</v>
      </c>
      <c r="C245" s="164" t="s">
        <v>354</v>
      </c>
      <c r="D245" s="149" t="s">
        <v>57</v>
      </c>
      <c r="E245" s="149" t="s">
        <v>92</v>
      </c>
      <c r="F245" s="171" t="s">
        <v>246</v>
      </c>
      <c r="G245" s="172" t="s">
        <v>65</v>
      </c>
      <c r="H245" s="751" t="s">
        <v>84</v>
      </c>
      <c r="I245" s="752" t="s">
        <v>64</v>
      </c>
      <c r="J245" s="149"/>
      <c r="K245" s="692">
        <f>K246</f>
        <v>3056.5</v>
      </c>
      <c r="L245" s="165">
        <f>L246</f>
        <v>193</v>
      </c>
      <c r="M245" s="165">
        <f>M246</f>
        <v>3249.5</v>
      </c>
    </row>
    <row r="246" spans="1:13" s="396" customFormat="1" ht="60" customHeight="1">
      <c r="A246" s="150"/>
      <c r="B246" s="163" t="s">
        <v>429</v>
      </c>
      <c r="C246" s="164" t="s">
        <v>354</v>
      </c>
      <c r="D246" s="149" t="s">
        <v>57</v>
      </c>
      <c r="E246" s="149" t="s">
        <v>92</v>
      </c>
      <c r="F246" s="171" t="s">
        <v>246</v>
      </c>
      <c r="G246" s="172" t="s">
        <v>65</v>
      </c>
      <c r="H246" s="751" t="s">
        <v>84</v>
      </c>
      <c r="I246" s="752" t="s">
        <v>126</v>
      </c>
      <c r="J246" s="149"/>
      <c r="K246" s="692">
        <f t="shared" si="53"/>
        <v>3056.5</v>
      </c>
      <c r="L246" s="165">
        <f t="shared" si="53"/>
        <v>193</v>
      </c>
      <c r="M246" s="165">
        <f t="shared" si="53"/>
        <v>3249.5</v>
      </c>
    </row>
    <row r="247" spans="1:13" s="396" customFormat="1" ht="56.25" customHeight="1">
      <c r="A247" s="150"/>
      <c r="B247" s="163" t="s">
        <v>75</v>
      </c>
      <c r="C247" s="164" t="s">
        <v>354</v>
      </c>
      <c r="D247" s="149" t="s">
        <v>57</v>
      </c>
      <c r="E247" s="149" t="s">
        <v>92</v>
      </c>
      <c r="F247" s="171" t="s">
        <v>246</v>
      </c>
      <c r="G247" s="172" t="s">
        <v>65</v>
      </c>
      <c r="H247" s="751" t="s">
        <v>84</v>
      </c>
      <c r="I247" s="752" t="s">
        <v>126</v>
      </c>
      <c r="J247" s="149" t="s">
        <v>76</v>
      </c>
      <c r="K247" s="692">
        <f>2843.2+213.3</f>
        <v>3056.5</v>
      </c>
      <c r="L247" s="165">
        <f>M247-K247</f>
        <v>193</v>
      </c>
      <c r="M247" s="165">
        <f>2843.2+213.3+193</f>
        <v>3249.5</v>
      </c>
    </row>
    <row r="248" spans="1:13" s="396" customFormat="1" ht="33.75" customHeight="1">
      <c r="A248" s="150"/>
      <c r="B248" s="163" t="s">
        <v>799</v>
      </c>
      <c r="C248" s="164" t="s">
        <v>354</v>
      </c>
      <c r="D248" s="149" t="s">
        <v>57</v>
      </c>
      <c r="E248" s="149" t="s">
        <v>92</v>
      </c>
      <c r="F248" s="171" t="s">
        <v>246</v>
      </c>
      <c r="G248" s="172" t="s">
        <v>65</v>
      </c>
      <c r="H248" s="751" t="s">
        <v>86</v>
      </c>
      <c r="I248" s="752" t="s">
        <v>64</v>
      </c>
      <c r="J248" s="149"/>
      <c r="K248" s="692">
        <f t="shared" ref="K248:M249" si="54">K249</f>
        <v>18</v>
      </c>
      <c r="L248" s="165">
        <f t="shared" si="54"/>
        <v>0</v>
      </c>
      <c r="M248" s="165">
        <f t="shared" si="54"/>
        <v>18</v>
      </c>
    </row>
    <row r="249" spans="1:13" s="396" customFormat="1" ht="27" customHeight="1">
      <c r="A249" s="150"/>
      <c r="B249" s="163" t="s">
        <v>797</v>
      </c>
      <c r="C249" s="164" t="s">
        <v>354</v>
      </c>
      <c r="D249" s="149" t="s">
        <v>57</v>
      </c>
      <c r="E249" s="149" t="s">
        <v>92</v>
      </c>
      <c r="F249" s="171" t="s">
        <v>246</v>
      </c>
      <c r="G249" s="172" t="s">
        <v>65</v>
      </c>
      <c r="H249" s="751" t="s">
        <v>86</v>
      </c>
      <c r="I249" s="752" t="s">
        <v>798</v>
      </c>
      <c r="J249" s="149"/>
      <c r="K249" s="692">
        <f t="shared" si="54"/>
        <v>18</v>
      </c>
      <c r="L249" s="165">
        <f t="shared" si="54"/>
        <v>0</v>
      </c>
      <c r="M249" s="165">
        <f t="shared" si="54"/>
        <v>18</v>
      </c>
    </row>
    <row r="250" spans="1:13" s="396" customFormat="1" ht="56.25" customHeight="1">
      <c r="A250" s="150"/>
      <c r="B250" s="163" t="s">
        <v>75</v>
      </c>
      <c r="C250" s="164" t="s">
        <v>354</v>
      </c>
      <c r="D250" s="149" t="s">
        <v>57</v>
      </c>
      <c r="E250" s="149" t="s">
        <v>92</v>
      </c>
      <c r="F250" s="171" t="s">
        <v>246</v>
      </c>
      <c r="G250" s="172" t="s">
        <v>65</v>
      </c>
      <c r="H250" s="751" t="s">
        <v>86</v>
      </c>
      <c r="I250" s="752" t="s">
        <v>798</v>
      </c>
      <c r="J250" s="149" t="s">
        <v>76</v>
      </c>
      <c r="K250" s="692">
        <v>18</v>
      </c>
      <c r="L250" s="165">
        <f>M250-K250</f>
        <v>0</v>
      </c>
      <c r="M250" s="165">
        <v>18</v>
      </c>
    </row>
    <row r="251" spans="1:13" s="396" customFormat="1" ht="56.25" customHeight="1">
      <c r="A251" s="150"/>
      <c r="B251" s="163" t="s">
        <v>222</v>
      </c>
      <c r="C251" s="164" t="s">
        <v>354</v>
      </c>
      <c r="D251" s="149" t="s">
        <v>109</v>
      </c>
      <c r="E251" s="149"/>
      <c r="F251" s="171"/>
      <c r="G251" s="172"/>
      <c r="H251" s="751"/>
      <c r="I251" s="752"/>
      <c r="J251" s="149"/>
      <c r="K251" s="692">
        <f>K252+K258</f>
        <v>33619.300000000003</v>
      </c>
      <c r="L251" s="165">
        <f>L252+L258</f>
        <v>-19666.5</v>
      </c>
      <c r="M251" s="165">
        <f>M252+M258</f>
        <v>13952.8</v>
      </c>
    </row>
    <row r="252" spans="1:13" s="396" customFormat="1" ht="56.25" customHeight="1">
      <c r="A252" s="150"/>
      <c r="B252" s="169" t="s">
        <v>223</v>
      </c>
      <c r="C252" s="164" t="s">
        <v>354</v>
      </c>
      <c r="D252" s="149" t="s">
        <v>109</v>
      </c>
      <c r="E252" s="149" t="s">
        <v>57</v>
      </c>
      <c r="F252" s="171"/>
      <c r="G252" s="172"/>
      <c r="H252" s="751"/>
      <c r="I252" s="752"/>
      <c r="J252" s="149"/>
      <c r="K252" s="692">
        <f t="shared" ref="K252:M254" si="55">K253</f>
        <v>5500</v>
      </c>
      <c r="L252" s="165">
        <f t="shared" si="55"/>
        <v>0</v>
      </c>
      <c r="M252" s="165">
        <f t="shared" si="55"/>
        <v>5500</v>
      </c>
    </row>
    <row r="253" spans="1:13" s="396" customFormat="1" ht="60.75" customHeight="1">
      <c r="A253" s="150"/>
      <c r="B253" s="163" t="s">
        <v>245</v>
      </c>
      <c r="C253" s="164" t="s">
        <v>354</v>
      </c>
      <c r="D253" s="149" t="s">
        <v>109</v>
      </c>
      <c r="E253" s="149" t="s">
        <v>57</v>
      </c>
      <c r="F253" s="171" t="s">
        <v>246</v>
      </c>
      <c r="G253" s="172" t="s">
        <v>62</v>
      </c>
      <c r="H253" s="751" t="s">
        <v>63</v>
      </c>
      <c r="I253" s="752" t="s">
        <v>64</v>
      </c>
      <c r="J253" s="149"/>
      <c r="K253" s="692">
        <f t="shared" si="55"/>
        <v>5500</v>
      </c>
      <c r="L253" s="165">
        <f t="shared" si="55"/>
        <v>0</v>
      </c>
      <c r="M253" s="165">
        <f t="shared" si="55"/>
        <v>5500</v>
      </c>
    </row>
    <row r="254" spans="1:13" s="396" customFormat="1" ht="37.5" customHeight="1">
      <c r="A254" s="150"/>
      <c r="B254" s="163" t="s">
        <v>404</v>
      </c>
      <c r="C254" s="164" t="s">
        <v>354</v>
      </c>
      <c r="D254" s="149" t="s">
        <v>109</v>
      </c>
      <c r="E254" s="149" t="s">
        <v>57</v>
      </c>
      <c r="F254" s="171" t="s">
        <v>246</v>
      </c>
      <c r="G254" s="172" t="s">
        <v>65</v>
      </c>
      <c r="H254" s="751" t="s">
        <v>63</v>
      </c>
      <c r="I254" s="752" t="s">
        <v>64</v>
      </c>
      <c r="J254" s="149"/>
      <c r="K254" s="692">
        <f t="shared" si="55"/>
        <v>5500</v>
      </c>
      <c r="L254" s="165">
        <f t="shared" si="55"/>
        <v>0</v>
      </c>
      <c r="M254" s="165">
        <f t="shared" si="55"/>
        <v>5500</v>
      </c>
    </row>
    <row r="255" spans="1:13" s="396" customFormat="1" ht="37.5" customHeight="1">
      <c r="A255" s="150"/>
      <c r="B255" s="163" t="s">
        <v>356</v>
      </c>
      <c r="C255" s="164" t="s">
        <v>354</v>
      </c>
      <c r="D255" s="149" t="s">
        <v>109</v>
      </c>
      <c r="E255" s="149" t="s">
        <v>57</v>
      </c>
      <c r="F255" s="171" t="s">
        <v>246</v>
      </c>
      <c r="G255" s="172" t="s">
        <v>65</v>
      </c>
      <c r="H255" s="751" t="s">
        <v>59</v>
      </c>
      <c r="I255" s="752" t="s">
        <v>64</v>
      </c>
      <c r="J255" s="149"/>
      <c r="K255" s="692">
        <f>K256</f>
        <v>5500</v>
      </c>
      <c r="L255" s="165">
        <f>L256</f>
        <v>0</v>
      </c>
      <c r="M255" s="165">
        <f>M256</f>
        <v>5500</v>
      </c>
    </row>
    <row r="256" spans="1:13" s="396" customFormat="1" ht="37.5" customHeight="1">
      <c r="A256" s="150"/>
      <c r="B256" s="163" t="s">
        <v>298</v>
      </c>
      <c r="C256" s="164" t="s">
        <v>354</v>
      </c>
      <c r="D256" s="149" t="s">
        <v>109</v>
      </c>
      <c r="E256" s="149" t="s">
        <v>57</v>
      </c>
      <c r="F256" s="171" t="s">
        <v>246</v>
      </c>
      <c r="G256" s="172" t="s">
        <v>65</v>
      </c>
      <c r="H256" s="751" t="s">
        <v>59</v>
      </c>
      <c r="I256" s="752" t="s">
        <v>578</v>
      </c>
      <c r="J256" s="149"/>
      <c r="K256" s="692">
        <f t="shared" ref="K256:M256" si="56">K257</f>
        <v>5500</v>
      </c>
      <c r="L256" s="165">
        <f t="shared" si="56"/>
        <v>0</v>
      </c>
      <c r="M256" s="165">
        <f t="shared" si="56"/>
        <v>5500</v>
      </c>
    </row>
    <row r="257" spans="1:13" s="396" customFormat="1" ht="18.75" customHeight="1">
      <c r="A257" s="150"/>
      <c r="B257" s="163" t="s">
        <v>144</v>
      </c>
      <c r="C257" s="164" t="s">
        <v>354</v>
      </c>
      <c r="D257" s="149" t="s">
        <v>109</v>
      </c>
      <c r="E257" s="149" t="s">
        <v>57</v>
      </c>
      <c r="F257" s="171" t="s">
        <v>246</v>
      </c>
      <c r="G257" s="172" t="s">
        <v>65</v>
      </c>
      <c r="H257" s="751" t="s">
        <v>59</v>
      </c>
      <c r="I257" s="752" t="s">
        <v>578</v>
      </c>
      <c r="J257" s="149" t="s">
        <v>145</v>
      </c>
      <c r="K257" s="692">
        <v>5500</v>
      </c>
      <c r="L257" s="165">
        <f>M257-K257</f>
        <v>0</v>
      </c>
      <c r="M257" s="165">
        <v>5500</v>
      </c>
    </row>
    <row r="258" spans="1:13" s="396" customFormat="1" ht="37.5" customHeight="1">
      <c r="A258" s="150"/>
      <c r="B258" s="163" t="s">
        <v>921</v>
      </c>
      <c r="C258" s="164" t="s">
        <v>354</v>
      </c>
      <c r="D258" s="149" t="s">
        <v>109</v>
      </c>
      <c r="E258" s="149" t="s">
        <v>84</v>
      </c>
      <c r="F258" s="171"/>
      <c r="G258" s="172"/>
      <c r="H258" s="751"/>
      <c r="I258" s="752"/>
      <c r="J258" s="149"/>
      <c r="K258" s="692">
        <f t="shared" ref="K258:M262" si="57">K259</f>
        <v>28119.3</v>
      </c>
      <c r="L258" s="165">
        <f t="shared" si="57"/>
        <v>-19666.5</v>
      </c>
      <c r="M258" s="165">
        <f t="shared" si="57"/>
        <v>8452.7999999999993</v>
      </c>
    </row>
    <row r="259" spans="1:13" s="396" customFormat="1" ht="60" customHeight="1">
      <c r="A259" s="150"/>
      <c r="B259" s="163" t="s">
        <v>245</v>
      </c>
      <c r="C259" s="164" t="s">
        <v>354</v>
      </c>
      <c r="D259" s="149" t="s">
        <v>109</v>
      </c>
      <c r="E259" s="149" t="s">
        <v>84</v>
      </c>
      <c r="F259" s="171" t="s">
        <v>246</v>
      </c>
      <c r="G259" s="172" t="s">
        <v>62</v>
      </c>
      <c r="H259" s="751" t="s">
        <v>63</v>
      </c>
      <c r="I259" s="752" t="s">
        <v>64</v>
      </c>
      <c r="J259" s="149"/>
      <c r="K259" s="692">
        <f t="shared" si="57"/>
        <v>28119.3</v>
      </c>
      <c r="L259" s="165">
        <f t="shared" si="57"/>
        <v>-19666.5</v>
      </c>
      <c r="M259" s="165">
        <f t="shared" si="57"/>
        <v>8452.7999999999993</v>
      </c>
    </row>
    <row r="260" spans="1:13" s="396" customFormat="1" ht="37.5" customHeight="1">
      <c r="A260" s="150"/>
      <c r="B260" s="163" t="s">
        <v>404</v>
      </c>
      <c r="C260" s="164" t="s">
        <v>354</v>
      </c>
      <c r="D260" s="149" t="s">
        <v>109</v>
      </c>
      <c r="E260" s="149" t="s">
        <v>84</v>
      </c>
      <c r="F260" s="171" t="s">
        <v>246</v>
      </c>
      <c r="G260" s="172" t="s">
        <v>65</v>
      </c>
      <c r="H260" s="751" t="s">
        <v>63</v>
      </c>
      <c r="I260" s="752" t="s">
        <v>64</v>
      </c>
      <c r="J260" s="149"/>
      <c r="K260" s="692">
        <f t="shared" si="57"/>
        <v>28119.3</v>
      </c>
      <c r="L260" s="165">
        <f t="shared" si="57"/>
        <v>-19666.5</v>
      </c>
      <c r="M260" s="165">
        <f t="shared" si="57"/>
        <v>8452.7999999999993</v>
      </c>
    </row>
    <row r="261" spans="1:13" s="396" customFormat="1" ht="37.5" customHeight="1">
      <c r="A261" s="150"/>
      <c r="B261" s="163" t="s">
        <v>356</v>
      </c>
      <c r="C261" s="164" t="s">
        <v>354</v>
      </c>
      <c r="D261" s="149" t="s">
        <v>109</v>
      </c>
      <c r="E261" s="149" t="s">
        <v>84</v>
      </c>
      <c r="F261" s="171" t="s">
        <v>246</v>
      </c>
      <c r="G261" s="172" t="s">
        <v>65</v>
      </c>
      <c r="H261" s="751" t="s">
        <v>59</v>
      </c>
      <c r="I261" s="752" t="s">
        <v>64</v>
      </c>
      <c r="J261" s="149"/>
      <c r="K261" s="692">
        <f t="shared" si="57"/>
        <v>28119.3</v>
      </c>
      <c r="L261" s="165">
        <f t="shared" si="57"/>
        <v>-19666.5</v>
      </c>
      <c r="M261" s="165">
        <f t="shared" si="57"/>
        <v>8452.7999999999993</v>
      </c>
    </row>
    <row r="262" spans="1:13" s="396" customFormat="1" ht="37.5" customHeight="1">
      <c r="A262" s="150"/>
      <c r="B262" s="163" t="s">
        <v>804</v>
      </c>
      <c r="C262" s="164" t="s">
        <v>354</v>
      </c>
      <c r="D262" s="149" t="s">
        <v>109</v>
      </c>
      <c r="E262" s="149" t="s">
        <v>84</v>
      </c>
      <c r="F262" s="171" t="s">
        <v>246</v>
      </c>
      <c r="G262" s="172" t="s">
        <v>65</v>
      </c>
      <c r="H262" s="751" t="s">
        <v>59</v>
      </c>
      <c r="I262" s="752" t="s">
        <v>805</v>
      </c>
      <c r="J262" s="149"/>
      <c r="K262" s="692">
        <f t="shared" si="57"/>
        <v>28119.3</v>
      </c>
      <c r="L262" s="165">
        <f t="shared" si="57"/>
        <v>-19666.5</v>
      </c>
      <c r="M262" s="165">
        <f t="shared" si="57"/>
        <v>8452.7999999999993</v>
      </c>
    </row>
    <row r="263" spans="1:13" s="396" customFormat="1" ht="18.75" customHeight="1">
      <c r="A263" s="150"/>
      <c r="B263" s="163" t="s">
        <v>144</v>
      </c>
      <c r="C263" s="164" t="s">
        <v>354</v>
      </c>
      <c r="D263" s="149" t="s">
        <v>109</v>
      </c>
      <c r="E263" s="149" t="s">
        <v>84</v>
      </c>
      <c r="F263" s="171" t="s">
        <v>246</v>
      </c>
      <c r="G263" s="172" t="s">
        <v>65</v>
      </c>
      <c r="H263" s="751" t="s">
        <v>59</v>
      </c>
      <c r="I263" s="752" t="s">
        <v>805</v>
      </c>
      <c r="J263" s="149" t="s">
        <v>145</v>
      </c>
      <c r="K263" s="692">
        <f>39766.8-707.3-10364.4-220.8-55-300</f>
        <v>28119.3</v>
      </c>
      <c r="L263" s="165">
        <f>M263-K263</f>
        <v>-19666.5</v>
      </c>
      <c r="M263" s="165">
        <f>39766.8-707.3-10364.4-220.8-55-300-193-17565+200.1-135.5-353-1620.1</f>
        <v>8452.7999999999993</v>
      </c>
    </row>
    <row r="264" spans="1:13" s="396" customFormat="1" ht="18.75" customHeight="1">
      <c r="A264" s="150"/>
      <c r="B264" s="163"/>
      <c r="C264" s="164"/>
      <c r="D264" s="149"/>
      <c r="E264" s="149"/>
      <c r="F264" s="171"/>
      <c r="G264" s="172"/>
      <c r="H264" s="751"/>
      <c r="I264" s="752"/>
      <c r="J264" s="149"/>
      <c r="K264" s="692"/>
      <c r="L264" s="713"/>
      <c r="M264" s="165"/>
    </row>
    <row r="265" spans="1:13" s="397" customFormat="1" ht="56.25" customHeight="1">
      <c r="A265" s="390">
        <v>3</v>
      </c>
      <c r="B265" s="157" t="s">
        <v>55</v>
      </c>
      <c r="C265" s="158" t="s">
        <v>150</v>
      </c>
      <c r="D265" s="159"/>
      <c r="E265" s="159"/>
      <c r="F265" s="160"/>
      <c r="G265" s="161"/>
      <c r="H265" s="161"/>
      <c r="I265" s="162"/>
      <c r="J265" s="159"/>
      <c r="K265" s="691">
        <f t="shared" ref="K265:M268" si="58">K266</f>
        <v>4258.2</v>
      </c>
      <c r="L265" s="188">
        <f t="shared" si="58"/>
        <v>0</v>
      </c>
      <c r="M265" s="188">
        <f t="shared" si="58"/>
        <v>4258.2</v>
      </c>
    </row>
    <row r="266" spans="1:13" s="397" customFormat="1" ht="18.75" customHeight="1">
      <c r="A266" s="150"/>
      <c r="B266" s="163" t="s">
        <v>56</v>
      </c>
      <c r="C266" s="164" t="s">
        <v>150</v>
      </c>
      <c r="D266" s="149" t="s">
        <v>57</v>
      </c>
      <c r="E266" s="149"/>
      <c r="F266" s="750"/>
      <c r="G266" s="751"/>
      <c r="H266" s="751"/>
      <c r="I266" s="752"/>
      <c r="J266" s="149"/>
      <c r="K266" s="692">
        <f t="shared" si="58"/>
        <v>4258.2</v>
      </c>
      <c r="L266" s="165">
        <f t="shared" si="58"/>
        <v>0</v>
      </c>
      <c r="M266" s="165">
        <f t="shared" si="58"/>
        <v>4258.2</v>
      </c>
    </row>
    <row r="267" spans="1:13" s="397" customFormat="1" ht="75" customHeight="1">
      <c r="A267" s="150"/>
      <c r="B267" s="163" t="s">
        <v>151</v>
      </c>
      <c r="C267" s="164" t="s">
        <v>150</v>
      </c>
      <c r="D267" s="149" t="s">
        <v>57</v>
      </c>
      <c r="E267" s="149" t="s">
        <v>102</v>
      </c>
      <c r="F267" s="750"/>
      <c r="G267" s="751"/>
      <c r="H267" s="751"/>
      <c r="I267" s="752"/>
      <c r="J267" s="149"/>
      <c r="K267" s="692">
        <f t="shared" si="58"/>
        <v>4258.2</v>
      </c>
      <c r="L267" s="165">
        <f t="shared" si="58"/>
        <v>0</v>
      </c>
      <c r="M267" s="165">
        <f t="shared" si="58"/>
        <v>4258.2</v>
      </c>
    </row>
    <row r="268" spans="1:13" s="397" customFormat="1" ht="39" customHeight="1">
      <c r="A268" s="150"/>
      <c r="B268" s="166" t="s">
        <v>152</v>
      </c>
      <c r="C268" s="164" t="s">
        <v>150</v>
      </c>
      <c r="D268" s="149" t="s">
        <v>57</v>
      </c>
      <c r="E268" s="149" t="s">
        <v>102</v>
      </c>
      <c r="F268" s="750" t="s">
        <v>153</v>
      </c>
      <c r="G268" s="751" t="s">
        <v>62</v>
      </c>
      <c r="H268" s="751" t="s">
        <v>63</v>
      </c>
      <c r="I268" s="752" t="s">
        <v>64</v>
      </c>
      <c r="J268" s="149"/>
      <c r="K268" s="692">
        <f t="shared" si="58"/>
        <v>4258.2</v>
      </c>
      <c r="L268" s="165">
        <f t="shared" si="58"/>
        <v>0</v>
      </c>
      <c r="M268" s="165">
        <f t="shared" si="58"/>
        <v>4258.2</v>
      </c>
    </row>
    <row r="269" spans="1:13" s="397" customFormat="1" ht="41.25" customHeight="1">
      <c r="A269" s="150"/>
      <c r="B269" s="166" t="s">
        <v>154</v>
      </c>
      <c r="C269" s="164" t="s">
        <v>150</v>
      </c>
      <c r="D269" s="149" t="s">
        <v>57</v>
      </c>
      <c r="E269" s="149" t="s">
        <v>102</v>
      </c>
      <c r="F269" s="750" t="s">
        <v>153</v>
      </c>
      <c r="G269" s="751" t="s">
        <v>65</v>
      </c>
      <c r="H269" s="751" t="s">
        <v>63</v>
      </c>
      <c r="I269" s="752" t="s">
        <v>64</v>
      </c>
      <c r="J269" s="149"/>
      <c r="K269" s="692">
        <f>K270+K274</f>
        <v>4258.2</v>
      </c>
      <c r="L269" s="165">
        <f>L270+L274</f>
        <v>0</v>
      </c>
      <c r="M269" s="165">
        <f>M270+M274</f>
        <v>4258.2</v>
      </c>
    </row>
    <row r="270" spans="1:13" s="397" customFormat="1" ht="37.5" customHeight="1">
      <c r="A270" s="150"/>
      <c r="B270" s="163" t="s">
        <v>67</v>
      </c>
      <c r="C270" s="164" t="s">
        <v>150</v>
      </c>
      <c r="D270" s="149" t="s">
        <v>57</v>
      </c>
      <c r="E270" s="149" t="s">
        <v>102</v>
      </c>
      <c r="F270" s="750" t="s">
        <v>153</v>
      </c>
      <c r="G270" s="751" t="s">
        <v>65</v>
      </c>
      <c r="H270" s="751" t="s">
        <v>63</v>
      </c>
      <c r="I270" s="752" t="s">
        <v>68</v>
      </c>
      <c r="J270" s="149"/>
      <c r="K270" s="692">
        <f>K271+K272+K273</f>
        <v>3343.9</v>
      </c>
      <c r="L270" s="165">
        <f>L271+L272+L273</f>
        <v>0</v>
      </c>
      <c r="M270" s="165">
        <f>M271+M272+M273</f>
        <v>3343.9</v>
      </c>
    </row>
    <row r="271" spans="1:13" s="397" customFormat="1" ht="112.5" customHeight="1">
      <c r="A271" s="150"/>
      <c r="B271" s="166" t="s">
        <v>69</v>
      </c>
      <c r="C271" s="164" t="s">
        <v>150</v>
      </c>
      <c r="D271" s="149" t="s">
        <v>57</v>
      </c>
      <c r="E271" s="149" t="s">
        <v>102</v>
      </c>
      <c r="F271" s="750" t="s">
        <v>153</v>
      </c>
      <c r="G271" s="751" t="s">
        <v>65</v>
      </c>
      <c r="H271" s="751" t="s">
        <v>63</v>
      </c>
      <c r="I271" s="752" t="s">
        <v>68</v>
      </c>
      <c r="J271" s="149" t="s">
        <v>70</v>
      </c>
      <c r="K271" s="692">
        <v>3098.4</v>
      </c>
      <c r="L271" s="165">
        <f>M271-K271</f>
        <v>0</v>
      </c>
      <c r="M271" s="165">
        <v>3098.4</v>
      </c>
    </row>
    <row r="272" spans="1:13" s="397" customFormat="1" ht="56.25" customHeight="1">
      <c r="A272" s="150"/>
      <c r="B272" s="163" t="s">
        <v>75</v>
      </c>
      <c r="C272" s="164" t="s">
        <v>150</v>
      </c>
      <c r="D272" s="149" t="s">
        <v>57</v>
      </c>
      <c r="E272" s="149" t="s">
        <v>102</v>
      </c>
      <c r="F272" s="750" t="s">
        <v>153</v>
      </c>
      <c r="G272" s="751" t="s">
        <v>65</v>
      </c>
      <c r="H272" s="751" t="s">
        <v>63</v>
      </c>
      <c r="I272" s="752" t="s">
        <v>68</v>
      </c>
      <c r="J272" s="149" t="s">
        <v>76</v>
      </c>
      <c r="K272" s="692">
        <v>235.5</v>
      </c>
      <c r="L272" s="165">
        <f>M272-K272</f>
        <v>0</v>
      </c>
      <c r="M272" s="165">
        <v>235.5</v>
      </c>
    </row>
    <row r="273" spans="1:13" s="397" customFormat="1" ht="18.75" customHeight="1">
      <c r="A273" s="150"/>
      <c r="B273" s="163" t="s">
        <v>77</v>
      </c>
      <c r="C273" s="164" t="s">
        <v>150</v>
      </c>
      <c r="D273" s="149" t="s">
        <v>57</v>
      </c>
      <c r="E273" s="149" t="s">
        <v>102</v>
      </c>
      <c r="F273" s="750" t="s">
        <v>153</v>
      </c>
      <c r="G273" s="751" t="s">
        <v>65</v>
      </c>
      <c r="H273" s="751" t="s">
        <v>63</v>
      </c>
      <c r="I273" s="752" t="s">
        <v>68</v>
      </c>
      <c r="J273" s="149" t="s">
        <v>78</v>
      </c>
      <c r="K273" s="692">
        <v>10</v>
      </c>
      <c r="L273" s="165">
        <f>M273-K273</f>
        <v>0</v>
      </c>
      <c r="M273" s="165">
        <v>10</v>
      </c>
    </row>
    <row r="274" spans="1:13" s="397" customFormat="1" ht="37.5" customHeight="1">
      <c r="A274" s="150"/>
      <c r="B274" s="163" t="s">
        <v>258</v>
      </c>
      <c r="C274" s="164" t="s">
        <v>150</v>
      </c>
      <c r="D274" s="149" t="s">
        <v>57</v>
      </c>
      <c r="E274" s="149" t="s">
        <v>102</v>
      </c>
      <c r="F274" s="750" t="s">
        <v>153</v>
      </c>
      <c r="G274" s="751" t="s">
        <v>65</v>
      </c>
      <c r="H274" s="751" t="s">
        <v>63</v>
      </c>
      <c r="I274" s="752" t="s">
        <v>155</v>
      </c>
      <c r="J274" s="149"/>
      <c r="K274" s="692">
        <f t="shared" ref="K274:M274" si="59">K275</f>
        <v>914.3</v>
      </c>
      <c r="L274" s="165">
        <f t="shared" si="59"/>
        <v>0</v>
      </c>
      <c r="M274" s="165">
        <f t="shared" si="59"/>
        <v>914.3</v>
      </c>
    </row>
    <row r="275" spans="1:13" s="397" customFormat="1" ht="112.5" customHeight="1">
      <c r="A275" s="445"/>
      <c r="B275" s="446" t="s">
        <v>69</v>
      </c>
      <c r="C275" s="447" t="s">
        <v>150</v>
      </c>
      <c r="D275" s="448" t="s">
        <v>57</v>
      </c>
      <c r="E275" s="448" t="s">
        <v>102</v>
      </c>
      <c r="F275" s="364" t="s">
        <v>153</v>
      </c>
      <c r="G275" s="365" t="s">
        <v>65</v>
      </c>
      <c r="H275" s="365" t="s">
        <v>63</v>
      </c>
      <c r="I275" s="366" t="s">
        <v>155</v>
      </c>
      <c r="J275" s="448" t="s">
        <v>70</v>
      </c>
      <c r="K275" s="840">
        <v>914.3</v>
      </c>
      <c r="L275" s="165">
        <f>M275-K275</f>
        <v>0</v>
      </c>
      <c r="M275" s="714">
        <v>914.3</v>
      </c>
    </row>
    <row r="276" spans="1:13" s="412" customFormat="1" ht="18.75" customHeight="1">
      <c r="A276" s="407"/>
      <c r="B276" s="362"/>
      <c r="C276" s="449"/>
      <c r="D276" s="450"/>
      <c r="E276" s="450"/>
      <c r="F276" s="451"/>
      <c r="G276" s="452"/>
      <c r="H276" s="452"/>
      <c r="I276" s="453"/>
      <c r="J276" s="450"/>
      <c r="K276" s="693"/>
      <c r="L276" s="715"/>
      <c r="M276" s="411"/>
    </row>
    <row r="277" spans="1:13" s="406" customFormat="1" ht="56.25" customHeight="1">
      <c r="A277" s="398">
        <v>4</v>
      </c>
      <c r="B277" s="399" t="s">
        <v>17</v>
      </c>
      <c r="C277" s="400" t="s">
        <v>588</v>
      </c>
      <c r="D277" s="401"/>
      <c r="E277" s="401"/>
      <c r="F277" s="402"/>
      <c r="G277" s="403"/>
      <c r="H277" s="403"/>
      <c r="I277" s="404"/>
      <c r="J277" s="401"/>
      <c r="K277" s="694" t="e">
        <f>K278+K331+K346+K324+K361</f>
        <v>#REF!</v>
      </c>
      <c r="L277" s="405">
        <f>L278+L331+L346+L324+L361</f>
        <v>38749.799999999996</v>
      </c>
      <c r="M277" s="405">
        <f>M278+M331+M346+M324+M361</f>
        <v>151743.69999999998</v>
      </c>
    </row>
    <row r="278" spans="1:13" s="412" customFormat="1" ht="18.75" customHeight="1">
      <c r="A278" s="407"/>
      <c r="B278" s="362" t="s">
        <v>56</v>
      </c>
      <c r="C278" s="408" t="s">
        <v>588</v>
      </c>
      <c r="D278" s="409" t="s">
        <v>57</v>
      </c>
      <c r="E278" s="310"/>
      <c r="F278" s="410"/>
      <c r="G278" s="308"/>
      <c r="H278" s="308"/>
      <c r="I278" s="309"/>
      <c r="J278" s="310"/>
      <c r="K278" s="693">
        <f>K279</f>
        <v>38665.199999999997</v>
      </c>
      <c r="L278" s="411">
        <f>L279</f>
        <v>9066.6979999999985</v>
      </c>
      <c r="M278" s="411">
        <f>M279</f>
        <v>47731.898000000001</v>
      </c>
    </row>
    <row r="279" spans="1:13" s="406" customFormat="1" ht="18.75" customHeight="1">
      <c r="A279" s="407"/>
      <c r="B279" s="362" t="s">
        <v>91</v>
      </c>
      <c r="C279" s="408" t="s">
        <v>588</v>
      </c>
      <c r="D279" s="409" t="s">
        <v>57</v>
      </c>
      <c r="E279" s="409" t="s">
        <v>92</v>
      </c>
      <c r="F279" s="410"/>
      <c r="G279" s="308"/>
      <c r="H279" s="308"/>
      <c r="I279" s="309"/>
      <c r="J279" s="310"/>
      <c r="K279" s="693">
        <f>K280+K312+K319</f>
        <v>38665.199999999997</v>
      </c>
      <c r="L279" s="411">
        <f t="shared" ref="L279:M279" si="60">L280+L312+L319</f>
        <v>9066.6979999999985</v>
      </c>
      <c r="M279" s="411">
        <f t="shared" si="60"/>
        <v>47731.898000000001</v>
      </c>
    </row>
    <row r="280" spans="1:13" s="412" customFormat="1" ht="57" customHeight="1">
      <c r="A280" s="407"/>
      <c r="B280" s="362" t="s">
        <v>247</v>
      </c>
      <c r="C280" s="408" t="s">
        <v>588</v>
      </c>
      <c r="D280" s="409" t="s">
        <v>57</v>
      </c>
      <c r="E280" s="409" t="s">
        <v>92</v>
      </c>
      <c r="F280" s="338" t="s">
        <v>248</v>
      </c>
      <c r="G280" s="308" t="s">
        <v>62</v>
      </c>
      <c r="H280" s="308" t="s">
        <v>63</v>
      </c>
      <c r="I280" s="309" t="s">
        <v>64</v>
      </c>
      <c r="J280" s="310"/>
      <c r="K280" s="693">
        <f>K281+K289+K307</f>
        <v>33588.299999999996</v>
      </c>
      <c r="L280" s="411">
        <f>L281+L289+L307</f>
        <v>6312.6979999999985</v>
      </c>
      <c r="M280" s="411">
        <f>M281+M289+M307</f>
        <v>39900.998</v>
      </c>
    </row>
    <row r="281" spans="1:13" s="412" customFormat="1" ht="42.75" customHeight="1">
      <c r="A281" s="407"/>
      <c r="B281" s="362" t="s">
        <v>249</v>
      </c>
      <c r="C281" s="408" t="s">
        <v>588</v>
      </c>
      <c r="D281" s="409" t="s">
        <v>57</v>
      </c>
      <c r="E281" s="409" t="s">
        <v>92</v>
      </c>
      <c r="F281" s="413" t="s">
        <v>248</v>
      </c>
      <c r="G281" s="414" t="s">
        <v>65</v>
      </c>
      <c r="H281" s="414" t="s">
        <v>63</v>
      </c>
      <c r="I281" s="415" t="s">
        <v>64</v>
      </c>
      <c r="J281" s="310"/>
      <c r="K281" s="693">
        <f>K282+K285</f>
        <v>10465.200000000001</v>
      </c>
      <c r="L281" s="411">
        <f>L282+L285</f>
        <v>6190.7999999999993</v>
      </c>
      <c r="M281" s="411">
        <f>M282+M285</f>
        <v>16656</v>
      </c>
    </row>
    <row r="282" spans="1:13" s="412" customFormat="1" ht="100.5" customHeight="1">
      <c r="A282" s="407"/>
      <c r="B282" s="362" t="s">
        <v>349</v>
      </c>
      <c r="C282" s="408" t="s">
        <v>588</v>
      </c>
      <c r="D282" s="409" t="s">
        <v>57</v>
      </c>
      <c r="E282" s="409" t="s">
        <v>92</v>
      </c>
      <c r="F282" s="307" t="s">
        <v>248</v>
      </c>
      <c r="G282" s="308" t="s">
        <v>65</v>
      </c>
      <c r="H282" s="308" t="s">
        <v>57</v>
      </c>
      <c r="I282" s="309" t="s">
        <v>64</v>
      </c>
      <c r="J282" s="310"/>
      <c r="K282" s="693">
        <f t="shared" ref="K282:M283" si="61">K283</f>
        <v>333.4</v>
      </c>
      <c r="L282" s="411">
        <f t="shared" si="61"/>
        <v>0</v>
      </c>
      <c r="M282" s="411">
        <f t="shared" si="61"/>
        <v>333.4</v>
      </c>
    </row>
    <row r="283" spans="1:13" s="412" customFormat="1" ht="56.25" customHeight="1">
      <c r="A283" s="407"/>
      <c r="B283" s="362" t="s">
        <v>250</v>
      </c>
      <c r="C283" s="408" t="s">
        <v>588</v>
      </c>
      <c r="D283" s="409" t="s">
        <v>57</v>
      </c>
      <c r="E283" s="409" t="s">
        <v>92</v>
      </c>
      <c r="F283" s="307" t="s">
        <v>248</v>
      </c>
      <c r="G283" s="308" t="s">
        <v>65</v>
      </c>
      <c r="H283" s="308" t="s">
        <v>57</v>
      </c>
      <c r="I283" s="309" t="s">
        <v>350</v>
      </c>
      <c r="J283" s="310"/>
      <c r="K283" s="693">
        <f t="shared" si="61"/>
        <v>333.4</v>
      </c>
      <c r="L283" s="411">
        <f t="shared" si="61"/>
        <v>0</v>
      </c>
      <c r="M283" s="411">
        <f t="shared" si="61"/>
        <v>333.4</v>
      </c>
    </row>
    <row r="284" spans="1:13" s="406" customFormat="1" ht="56.25" customHeight="1">
      <c r="A284" s="407"/>
      <c r="B284" s="357" t="s">
        <v>75</v>
      </c>
      <c r="C284" s="408" t="s">
        <v>588</v>
      </c>
      <c r="D284" s="409" t="s">
        <v>57</v>
      </c>
      <c r="E284" s="409" t="s">
        <v>92</v>
      </c>
      <c r="F284" s="307" t="s">
        <v>248</v>
      </c>
      <c r="G284" s="308" t="s">
        <v>65</v>
      </c>
      <c r="H284" s="308" t="s">
        <v>57</v>
      </c>
      <c r="I284" s="309" t="s">
        <v>350</v>
      </c>
      <c r="J284" s="310" t="s">
        <v>76</v>
      </c>
      <c r="K284" s="693">
        <v>333.4</v>
      </c>
      <c r="L284" s="165">
        <f>M284-K284</f>
        <v>0</v>
      </c>
      <c r="M284" s="759">
        <f>333.4-110.4+110.4</f>
        <v>333.4</v>
      </c>
    </row>
    <row r="285" spans="1:13" s="406" customFormat="1" ht="37.5" customHeight="1">
      <c r="A285" s="407"/>
      <c r="B285" s="357" t="s">
        <v>403</v>
      </c>
      <c r="C285" s="408" t="s">
        <v>588</v>
      </c>
      <c r="D285" s="409" t="s">
        <v>57</v>
      </c>
      <c r="E285" s="409" t="s">
        <v>92</v>
      </c>
      <c r="F285" s="307" t="s">
        <v>248</v>
      </c>
      <c r="G285" s="308" t="s">
        <v>65</v>
      </c>
      <c r="H285" s="308" t="s">
        <v>59</v>
      </c>
      <c r="I285" s="309" t="s">
        <v>64</v>
      </c>
      <c r="J285" s="310"/>
      <c r="K285" s="693">
        <f>K286</f>
        <v>10131.800000000001</v>
      </c>
      <c r="L285" s="411">
        <f>L286</f>
        <v>6190.7999999999993</v>
      </c>
      <c r="M285" s="411">
        <f>M286</f>
        <v>16322.6</v>
      </c>
    </row>
    <row r="286" spans="1:13" s="406" customFormat="1" ht="37.5" customHeight="1">
      <c r="A286" s="407"/>
      <c r="B286" s="357" t="s">
        <v>402</v>
      </c>
      <c r="C286" s="408" t="s">
        <v>588</v>
      </c>
      <c r="D286" s="409" t="s">
        <v>57</v>
      </c>
      <c r="E286" s="409" t="s">
        <v>92</v>
      </c>
      <c r="F286" s="307" t="s">
        <v>248</v>
      </c>
      <c r="G286" s="308" t="s">
        <v>65</v>
      </c>
      <c r="H286" s="308" t="s">
        <v>59</v>
      </c>
      <c r="I286" s="309" t="s">
        <v>401</v>
      </c>
      <c r="J286" s="310"/>
      <c r="K286" s="693">
        <f>SUM(K287:K288)</f>
        <v>10131.800000000001</v>
      </c>
      <c r="L286" s="411">
        <f>SUM(L287:L288)</f>
        <v>6190.7999999999993</v>
      </c>
      <c r="M286" s="411">
        <f>SUM(M287:M288)</f>
        <v>16322.6</v>
      </c>
    </row>
    <row r="287" spans="1:13" s="406" customFormat="1" ht="56.25" customHeight="1">
      <c r="A287" s="407"/>
      <c r="B287" s="357" t="s">
        <v>75</v>
      </c>
      <c r="C287" s="408" t="s">
        <v>588</v>
      </c>
      <c r="D287" s="409" t="s">
        <v>57</v>
      </c>
      <c r="E287" s="409" t="s">
        <v>92</v>
      </c>
      <c r="F287" s="307" t="s">
        <v>248</v>
      </c>
      <c r="G287" s="308" t="s">
        <v>65</v>
      </c>
      <c r="H287" s="308" t="s">
        <v>59</v>
      </c>
      <c r="I287" s="309" t="s">
        <v>401</v>
      </c>
      <c r="J287" s="310" t="s">
        <v>76</v>
      </c>
      <c r="K287" s="693">
        <f>3368.3+47.4</f>
        <v>3415.7000000000003</v>
      </c>
      <c r="L287" s="165">
        <f>M287-K287</f>
        <v>6190.7999999999993</v>
      </c>
      <c r="M287" s="759">
        <f>3368.3+47.4+60.4+2918+35+11.2+26.9+21.6+3117.7</f>
        <v>9606.5</v>
      </c>
    </row>
    <row r="288" spans="1:13" s="406" customFormat="1" ht="56.25" customHeight="1">
      <c r="A288" s="407"/>
      <c r="B288" s="163" t="s">
        <v>225</v>
      </c>
      <c r="C288" s="408" t="s">
        <v>588</v>
      </c>
      <c r="D288" s="409" t="s">
        <v>57</v>
      </c>
      <c r="E288" s="409" t="s">
        <v>92</v>
      </c>
      <c r="F288" s="307" t="s">
        <v>248</v>
      </c>
      <c r="G288" s="308" t="s">
        <v>65</v>
      </c>
      <c r="H288" s="308" t="s">
        <v>59</v>
      </c>
      <c r="I288" s="309" t="s">
        <v>401</v>
      </c>
      <c r="J288" s="310" t="s">
        <v>226</v>
      </c>
      <c r="K288" s="693">
        <f>3090+3626.1</f>
        <v>6716.1</v>
      </c>
      <c r="L288" s="165">
        <f>M288-K288</f>
        <v>0</v>
      </c>
      <c r="M288" s="411">
        <f>3090+3626.1</f>
        <v>6716.1</v>
      </c>
    </row>
    <row r="289" spans="1:14" s="406" customFormat="1" ht="37.5" customHeight="1">
      <c r="A289" s="407"/>
      <c r="B289" s="362" t="s">
        <v>251</v>
      </c>
      <c r="C289" s="408" t="s">
        <v>588</v>
      </c>
      <c r="D289" s="409" t="s">
        <v>57</v>
      </c>
      <c r="E289" s="409" t="s">
        <v>92</v>
      </c>
      <c r="F289" s="338" t="s">
        <v>248</v>
      </c>
      <c r="G289" s="308" t="s">
        <v>110</v>
      </c>
      <c r="H289" s="308" t="s">
        <v>63</v>
      </c>
      <c r="I289" s="309" t="s">
        <v>64</v>
      </c>
      <c r="J289" s="310"/>
      <c r="K289" s="693">
        <f>K290+K301+K304</f>
        <v>22598.099999999995</v>
      </c>
      <c r="L289" s="411">
        <f>L290+L301+L304</f>
        <v>57.49799999999999</v>
      </c>
      <c r="M289" s="411">
        <f>M290+M301+M304</f>
        <v>22655.597999999994</v>
      </c>
    </row>
    <row r="290" spans="1:14" s="412" customFormat="1" ht="79.5" customHeight="1">
      <c r="A290" s="407"/>
      <c r="B290" s="362" t="s">
        <v>353</v>
      </c>
      <c r="C290" s="408" t="s">
        <v>588</v>
      </c>
      <c r="D290" s="409" t="s">
        <v>57</v>
      </c>
      <c r="E290" s="409" t="s">
        <v>92</v>
      </c>
      <c r="F290" s="338" t="s">
        <v>248</v>
      </c>
      <c r="G290" s="308" t="s">
        <v>110</v>
      </c>
      <c r="H290" s="308" t="s">
        <v>57</v>
      </c>
      <c r="I290" s="309" t="s">
        <v>64</v>
      </c>
      <c r="J290" s="310"/>
      <c r="K290" s="693">
        <f>K291+K295+K299</f>
        <v>21818.799999999996</v>
      </c>
      <c r="L290" s="411">
        <f>L291+L295+L299</f>
        <v>0</v>
      </c>
      <c r="M290" s="411">
        <f>M291+M295+M299</f>
        <v>21818.799999999996</v>
      </c>
    </row>
    <row r="291" spans="1:14" s="406" customFormat="1" ht="37.5" customHeight="1">
      <c r="A291" s="407"/>
      <c r="B291" s="362" t="s">
        <v>67</v>
      </c>
      <c r="C291" s="408" t="s">
        <v>588</v>
      </c>
      <c r="D291" s="409" t="s">
        <v>57</v>
      </c>
      <c r="E291" s="409" t="s">
        <v>92</v>
      </c>
      <c r="F291" s="416" t="s">
        <v>248</v>
      </c>
      <c r="G291" s="414" t="s">
        <v>110</v>
      </c>
      <c r="H291" s="414" t="s">
        <v>57</v>
      </c>
      <c r="I291" s="415" t="s">
        <v>68</v>
      </c>
      <c r="J291" s="310"/>
      <c r="K291" s="693">
        <f>K292+K293+K294</f>
        <v>12882.399999999998</v>
      </c>
      <c r="L291" s="411">
        <f>L292+L293+L294</f>
        <v>0</v>
      </c>
      <c r="M291" s="411">
        <f>M292+M293+M294</f>
        <v>12882.399999999998</v>
      </c>
    </row>
    <row r="292" spans="1:14" s="412" customFormat="1" ht="112.5" customHeight="1">
      <c r="A292" s="407"/>
      <c r="B292" s="362" t="s">
        <v>69</v>
      </c>
      <c r="C292" s="408" t="s">
        <v>588</v>
      </c>
      <c r="D292" s="409" t="s">
        <v>57</v>
      </c>
      <c r="E292" s="409" t="s">
        <v>92</v>
      </c>
      <c r="F292" s="338" t="s">
        <v>248</v>
      </c>
      <c r="G292" s="308" t="s">
        <v>110</v>
      </c>
      <c r="H292" s="308" t="s">
        <v>57</v>
      </c>
      <c r="I292" s="309" t="s">
        <v>68</v>
      </c>
      <c r="J292" s="310" t="s">
        <v>70</v>
      </c>
      <c r="K292" s="693">
        <v>12567.3</v>
      </c>
      <c r="L292" s="165">
        <f>M292-K292</f>
        <v>0</v>
      </c>
      <c r="M292" s="411">
        <v>12567.3</v>
      </c>
    </row>
    <row r="293" spans="1:14" s="412" customFormat="1" ht="56.25" customHeight="1">
      <c r="A293" s="407"/>
      <c r="B293" s="357" t="s">
        <v>75</v>
      </c>
      <c r="C293" s="408" t="s">
        <v>588</v>
      </c>
      <c r="D293" s="409" t="s">
        <v>57</v>
      </c>
      <c r="E293" s="409" t="s">
        <v>92</v>
      </c>
      <c r="F293" s="338" t="s">
        <v>248</v>
      </c>
      <c r="G293" s="308" t="s">
        <v>110</v>
      </c>
      <c r="H293" s="308" t="s">
        <v>57</v>
      </c>
      <c r="I293" s="309" t="s">
        <v>68</v>
      </c>
      <c r="J293" s="310" t="s">
        <v>76</v>
      </c>
      <c r="K293" s="693">
        <v>313.8</v>
      </c>
      <c r="L293" s="165">
        <f>M293-K293</f>
        <v>0</v>
      </c>
      <c r="M293" s="411">
        <v>313.8</v>
      </c>
      <c r="N293" s="454"/>
    </row>
    <row r="294" spans="1:14" s="412" customFormat="1" ht="18.75" customHeight="1">
      <c r="A294" s="407"/>
      <c r="B294" s="362" t="s">
        <v>77</v>
      </c>
      <c r="C294" s="408" t="s">
        <v>588</v>
      </c>
      <c r="D294" s="409" t="s">
        <v>57</v>
      </c>
      <c r="E294" s="409" t="s">
        <v>92</v>
      </c>
      <c r="F294" s="338" t="s">
        <v>248</v>
      </c>
      <c r="G294" s="308" t="s">
        <v>110</v>
      </c>
      <c r="H294" s="308" t="s">
        <v>57</v>
      </c>
      <c r="I294" s="309" t="s">
        <v>68</v>
      </c>
      <c r="J294" s="310" t="s">
        <v>78</v>
      </c>
      <c r="K294" s="693">
        <v>1.3</v>
      </c>
      <c r="L294" s="165">
        <f>M294-K294</f>
        <v>0</v>
      </c>
      <c r="M294" s="411">
        <v>1.3</v>
      </c>
    </row>
    <row r="295" spans="1:14" s="412" customFormat="1" ht="36" customHeight="1">
      <c r="A295" s="407"/>
      <c r="B295" s="166" t="s">
        <v>795</v>
      </c>
      <c r="C295" s="408" t="s">
        <v>588</v>
      </c>
      <c r="D295" s="409" t="s">
        <v>57</v>
      </c>
      <c r="E295" s="409" t="s">
        <v>92</v>
      </c>
      <c r="F295" s="338" t="s">
        <v>248</v>
      </c>
      <c r="G295" s="308" t="s">
        <v>110</v>
      </c>
      <c r="H295" s="308" t="s">
        <v>57</v>
      </c>
      <c r="I295" s="309" t="s">
        <v>112</v>
      </c>
      <c r="J295" s="310"/>
      <c r="K295" s="693">
        <f>K296+K297+K298</f>
        <v>8901.9</v>
      </c>
      <c r="L295" s="411">
        <f>L296+L297+L298</f>
        <v>0</v>
      </c>
      <c r="M295" s="411">
        <f>M296+M297+M298</f>
        <v>8901.9</v>
      </c>
      <c r="N295" s="454"/>
    </row>
    <row r="296" spans="1:14" s="412" customFormat="1" ht="112.5" customHeight="1">
      <c r="A296" s="407"/>
      <c r="B296" s="362" t="s">
        <v>69</v>
      </c>
      <c r="C296" s="408" t="s">
        <v>588</v>
      </c>
      <c r="D296" s="409" t="s">
        <v>57</v>
      </c>
      <c r="E296" s="409" t="s">
        <v>92</v>
      </c>
      <c r="F296" s="338" t="s">
        <v>248</v>
      </c>
      <c r="G296" s="308" t="s">
        <v>110</v>
      </c>
      <c r="H296" s="308" t="s">
        <v>57</v>
      </c>
      <c r="I296" s="309" t="s">
        <v>112</v>
      </c>
      <c r="J296" s="310" t="s">
        <v>70</v>
      </c>
      <c r="K296" s="693">
        <f>5359.6+1455</f>
        <v>6814.6</v>
      </c>
      <c r="L296" s="165">
        <f>M296-K296</f>
        <v>0</v>
      </c>
      <c r="M296" s="411">
        <f>5359.6+1455</f>
        <v>6814.6</v>
      </c>
      <c r="N296" s="454"/>
    </row>
    <row r="297" spans="1:14" s="412" customFormat="1" ht="56.25" customHeight="1">
      <c r="A297" s="407"/>
      <c r="B297" s="357" t="s">
        <v>75</v>
      </c>
      <c r="C297" s="408" t="s">
        <v>588</v>
      </c>
      <c r="D297" s="409" t="s">
        <v>57</v>
      </c>
      <c r="E297" s="409" t="s">
        <v>92</v>
      </c>
      <c r="F297" s="416" t="s">
        <v>248</v>
      </c>
      <c r="G297" s="414" t="s">
        <v>110</v>
      </c>
      <c r="H297" s="414" t="s">
        <v>57</v>
      </c>
      <c r="I297" s="415" t="s">
        <v>112</v>
      </c>
      <c r="J297" s="310" t="s">
        <v>76</v>
      </c>
      <c r="K297" s="693">
        <f>344.2+1718.5</f>
        <v>2062.6999999999998</v>
      </c>
      <c r="L297" s="165">
        <f t="shared" ref="L297:L298" si="62">M297-K297</f>
        <v>0</v>
      </c>
      <c r="M297" s="411">
        <f>344.2+1718.5</f>
        <v>2062.6999999999998</v>
      </c>
    </row>
    <row r="298" spans="1:14" s="412" customFormat="1" ht="18.75" customHeight="1">
      <c r="A298" s="407"/>
      <c r="B298" s="362" t="s">
        <v>77</v>
      </c>
      <c r="C298" s="408" t="s">
        <v>588</v>
      </c>
      <c r="D298" s="409" t="s">
        <v>57</v>
      </c>
      <c r="E298" s="409" t="s">
        <v>92</v>
      </c>
      <c r="F298" s="338" t="s">
        <v>248</v>
      </c>
      <c r="G298" s="308" t="s">
        <v>110</v>
      </c>
      <c r="H298" s="308" t="s">
        <v>57</v>
      </c>
      <c r="I298" s="309" t="s">
        <v>112</v>
      </c>
      <c r="J298" s="310" t="s">
        <v>78</v>
      </c>
      <c r="K298" s="693">
        <v>24.6</v>
      </c>
      <c r="L298" s="165">
        <f t="shared" si="62"/>
        <v>0</v>
      </c>
      <c r="M298" s="411">
        <v>24.6</v>
      </c>
      <c r="N298" s="454"/>
    </row>
    <row r="299" spans="1:14" s="412" customFormat="1" ht="56.25" customHeight="1">
      <c r="A299" s="407"/>
      <c r="B299" s="357" t="s">
        <v>431</v>
      </c>
      <c r="C299" s="408" t="s">
        <v>588</v>
      </c>
      <c r="D299" s="409" t="s">
        <v>57</v>
      </c>
      <c r="E299" s="409" t="s">
        <v>92</v>
      </c>
      <c r="F299" s="338" t="s">
        <v>248</v>
      </c>
      <c r="G299" s="308" t="s">
        <v>110</v>
      </c>
      <c r="H299" s="308" t="s">
        <v>57</v>
      </c>
      <c r="I299" s="309" t="s">
        <v>430</v>
      </c>
      <c r="J299" s="310"/>
      <c r="K299" s="693">
        <f>K300</f>
        <v>34.5</v>
      </c>
      <c r="L299" s="411">
        <f>L300</f>
        <v>0</v>
      </c>
      <c r="M299" s="411">
        <f>M300</f>
        <v>34.5</v>
      </c>
      <c r="N299" s="454"/>
    </row>
    <row r="300" spans="1:14" s="412" customFormat="1" ht="56.25" customHeight="1">
      <c r="A300" s="407"/>
      <c r="B300" s="357" t="s">
        <v>75</v>
      </c>
      <c r="C300" s="408" t="s">
        <v>588</v>
      </c>
      <c r="D300" s="409" t="s">
        <v>57</v>
      </c>
      <c r="E300" s="409" t="s">
        <v>92</v>
      </c>
      <c r="F300" s="338" t="s">
        <v>248</v>
      </c>
      <c r="G300" s="308" t="s">
        <v>110</v>
      </c>
      <c r="H300" s="308" t="s">
        <v>57</v>
      </c>
      <c r="I300" s="455" t="s">
        <v>430</v>
      </c>
      <c r="J300" s="310" t="s">
        <v>76</v>
      </c>
      <c r="K300" s="693">
        <v>34.5</v>
      </c>
      <c r="L300" s="165">
        <f>M300-K300</f>
        <v>0</v>
      </c>
      <c r="M300" s="411">
        <v>34.5</v>
      </c>
      <c r="N300" s="454"/>
    </row>
    <row r="301" spans="1:14" s="462" customFormat="1" ht="37.5" customHeight="1">
      <c r="A301" s="456"/>
      <c r="B301" s="457" t="s">
        <v>428</v>
      </c>
      <c r="C301" s="458" t="s">
        <v>588</v>
      </c>
      <c r="D301" s="459" t="s">
        <v>57</v>
      </c>
      <c r="E301" s="459" t="s">
        <v>92</v>
      </c>
      <c r="F301" s="338" t="s">
        <v>248</v>
      </c>
      <c r="G301" s="339" t="s">
        <v>110</v>
      </c>
      <c r="H301" s="339" t="s">
        <v>59</v>
      </c>
      <c r="I301" s="340" t="s">
        <v>64</v>
      </c>
      <c r="J301" s="341"/>
      <c r="K301" s="841">
        <f t="shared" ref="K301:M302" si="63">K302</f>
        <v>758.8</v>
      </c>
      <c r="L301" s="460">
        <f t="shared" si="63"/>
        <v>0</v>
      </c>
      <c r="M301" s="460">
        <f t="shared" si="63"/>
        <v>758.8</v>
      </c>
      <c r="N301" s="461"/>
    </row>
    <row r="302" spans="1:14" s="462" customFormat="1" ht="60.75" customHeight="1">
      <c r="A302" s="463"/>
      <c r="B302" s="464" t="s">
        <v>429</v>
      </c>
      <c r="C302" s="408" t="s">
        <v>588</v>
      </c>
      <c r="D302" s="409" t="s">
        <v>57</v>
      </c>
      <c r="E302" s="409" t="s">
        <v>92</v>
      </c>
      <c r="F302" s="418" t="s">
        <v>248</v>
      </c>
      <c r="G302" s="339" t="s">
        <v>110</v>
      </c>
      <c r="H302" s="339" t="s">
        <v>59</v>
      </c>
      <c r="I302" s="340" t="s">
        <v>126</v>
      </c>
      <c r="J302" s="343"/>
      <c r="K302" s="842">
        <f t="shared" si="63"/>
        <v>758.8</v>
      </c>
      <c r="L302" s="465">
        <f t="shared" si="63"/>
        <v>0</v>
      </c>
      <c r="M302" s="465">
        <f t="shared" si="63"/>
        <v>758.8</v>
      </c>
      <c r="N302" s="461"/>
    </row>
    <row r="303" spans="1:14" s="462" customFormat="1" ht="56.25" customHeight="1">
      <c r="A303" s="463"/>
      <c r="B303" s="466" t="s">
        <v>75</v>
      </c>
      <c r="C303" s="408" t="s">
        <v>588</v>
      </c>
      <c r="D303" s="409" t="s">
        <v>57</v>
      </c>
      <c r="E303" s="409" t="s">
        <v>92</v>
      </c>
      <c r="F303" s="418" t="s">
        <v>248</v>
      </c>
      <c r="G303" s="347" t="s">
        <v>110</v>
      </c>
      <c r="H303" s="347" t="s">
        <v>59</v>
      </c>
      <c r="I303" s="467" t="s">
        <v>126</v>
      </c>
      <c r="J303" s="468" t="s">
        <v>76</v>
      </c>
      <c r="K303" s="843">
        <v>758.8</v>
      </c>
      <c r="L303" s="165">
        <f>M303-K303</f>
        <v>0</v>
      </c>
      <c r="M303" s="716">
        <v>758.8</v>
      </c>
      <c r="N303" s="461"/>
    </row>
    <row r="304" spans="1:14" s="462" customFormat="1" ht="37.5" customHeight="1">
      <c r="A304" s="463"/>
      <c r="B304" s="469" t="s">
        <v>464</v>
      </c>
      <c r="C304" s="408" t="s">
        <v>588</v>
      </c>
      <c r="D304" s="409" t="s">
        <v>57</v>
      </c>
      <c r="E304" s="409" t="s">
        <v>92</v>
      </c>
      <c r="F304" s="418" t="s">
        <v>248</v>
      </c>
      <c r="G304" s="339" t="s">
        <v>110</v>
      </c>
      <c r="H304" s="339" t="s">
        <v>84</v>
      </c>
      <c r="I304" s="340" t="s">
        <v>64</v>
      </c>
      <c r="J304" s="343"/>
      <c r="K304" s="842">
        <f t="shared" ref="K304:M304" si="64">K305</f>
        <v>20.5</v>
      </c>
      <c r="L304" s="465">
        <f t="shared" si="64"/>
        <v>57.49799999999999</v>
      </c>
      <c r="M304" s="465">
        <f t="shared" si="64"/>
        <v>77.99799999999999</v>
      </c>
      <c r="N304" s="461"/>
    </row>
    <row r="305" spans="1:14" s="462" customFormat="1" ht="37.5" customHeight="1">
      <c r="A305" s="463"/>
      <c r="B305" s="469" t="s">
        <v>402</v>
      </c>
      <c r="C305" s="408" t="s">
        <v>588</v>
      </c>
      <c r="D305" s="409" t="s">
        <v>57</v>
      </c>
      <c r="E305" s="409" t="s">
        <v>92</v>
      </c>
      <c r="F305" s="346" t="s">
        <v>248</v>
      </c>
      <c r="G305" s="347" t="s">
        <v>110</v>
      </c>
      <c r="H305" s="347" t="s">
        <v>84</v>
      </c>
      <c r="I305" s="467" t="s">
        <v>401</v>
      </c>
      <c r="J305" s="343"/>
      <c r="K305" s="842">
        <f>K306</f>
        <v>20.5</v>
      </c>
      <c r="L305" s="465">
        <f>L306</f>
        <v>57.49799999999999</v>
      </c>
      <c r="M305" s="465">
        <f>M306</f>
        <v>77.99799999999999</v>
      </c>
      <c r="N305" s="461"/>
    </row>
    <row r="306" spans="1:14" s="462" customFormat="1" ht="18.75" customHeight="1">
      <c r="A306" s="470"/>
      <c r="B306" s="362" t="s">
        <v>77</v>
      </c>
      <c r="C306" s="471" t="s">
        <v>588</v>
      </c>
      <c r="D306" s="409" t="s">
        <v>57</v>
      </c>
      <c r="E306" s="409" t="s">
        <v>92</v>
      </c>
      <c r="F306" s="338" t="s">
        <v>248</v>
      </c>
      <c r="G306" s="339" t="s">
        <v>110</v>
      </c>
      <c r="H306" s="339" t="s">
        <v>84</v>
      </c>
      <c r="I306" s="340" t="s">
        <v>401</v>
      </c>
      <c r="J306" s="343" t="s">
        <v>78</v>
      </c>
      <c r="K306" s="843">
        <v>20.5</v>
      </c>
      <c r="L306" s="165">
        <f>M306-K306</f>
        <v>57.49799999999999</v>
      </c>
      <c r="M306" s="760">
        <f>20.5+50+2+0.6+4.898</f>
        <v>77.99799999999999</v>
      </c>
      <c r="N306" s="461"/>
    </row>
    <row r="307" spans="1:14" s="462" customFormat="1" ht="37.5" customHeight="1">
      <c r="A307" s="470"/>
      <c r="B307" s="417" t="s">
        <v>404</v>
      </c>
      <c r="C307" s="471" t="s">
        <v>588</v>
      </c>
      <c r="D307" s="409" t="s">
        <v>57</v>
      </c>
      <c r="E307" s="409" t="s">
        <v>92</v>
      </c>
      <c r="F307" s="338" t="s">
        <v>248</v>
      </c>
      <c r="G307" s="339" t="s">
        <v>50</v>
      </c>
      <c r="H307" s="339" t="s">
        <v>63</v>
      </c>
      <c r="I307" s="340" t="s">
        <v>64</v>
      </c>
      <c r="J307" s="343"/>
      <c r="K307" s="844">
        <f t="shared" ref="K307:M309" si="65">K308</f>
        <v>525</v>
      </c>
      <c r="L307" s="165">
        <f t="shared" si="65"/>
        <v>64.399999999999977</v>
      </c>
      <c r="M307" s="754">
        <f t="shared" si="65"/>
        <v>589.4</v>
      </c>
      <c r="N307" s="461"/>
    </row>
    <row r="308" spans="1:14" s="462" customFormat="1" ht="37.5" customHeight="1">
      <c r="A308" s="470"/>
      <c r="B308" s="417" t="s">
        <v>464</v>
      </c>
      <c r="C308" s="471" t="s">
        <v>588</v>
      </c>
      <c r="D308" s="409" t="s">
        <v>57</v>
      </c>
      <c r="E308" s="409" t="s">
        <v>92</v>
      </c>
      <c r="F308" s="338" t="s">
        <v>248</v>
      </c>
      <c r="G308" s="339" t="s">
        <v>50</v>
      </c>
      <c r="H308" s="339" t="s">
        <v>248</v>
      </c>
      <c r="I308" s="340" t="s">
        <v>64</v>
      </c>
      <c r="J308" s="343"/>
      <c r="K308" s="692">
        <f t="shared" si="65"/>
        <v>525</v>
      </c>
      <c r="L308" s="165">
        <f t="shared" si="65"/>
        <v>64.399999999999977</v>
      </c>
      <c r="M308" s="165">
        <f t="shared" si="65"/>
        <v>589.4</v>
      </c>
      <c r="N308" s="461"/>
    </row>
    <row r="309" spans="1:14" s="462" customFormat="1" ht="37.5" customHeight="1">
      <c r="A309" s="470"/>
      <c r="B309" s="469" t="s">
        <v>402</v>
      </c>
      <c r="C309" s="471" t="s">
        <v>588</v>
      </c>
      <c r="D309" s="409" t="s">
        <v>57</v>
      </c>
      <c r="E309" s="409" t="s">
        <v>92</v>
      </c>
      <c r="F309" s="338" t="s">
        <v>248</v>
      </c>
      <c r="G309" s="339" t="s">
        <v>50</v>
      </c>
      <c r="H309" s="339" t="s">
        <v>248</v>
      </c>
      <c r="I309" s="340" t="s">
        <v>401</v>
      </c>
      <c r="J309" s="343"/>
      <c r="K309" s="692">
        <f t="shared" si="65"/>
        <v>525</v>
      </c>
      <c r="L309" s="165">
        <f>L310+L311</f>
        <v>64.399999999999977</v>
      </c>
      <c r="M309" s="165">
        <f>M310+M311</f>
        <v>589.4</v>
      </c>
      <c r="N309" s="461"/>
    </row>
    <row r="310" spans="1:14" s="462" customFormat="1" ht="56.25" customHeight="1">
      <c r="A310" s="470"/>
      <c r="B310" s="357" t="s">
        <v>75</v>
      </c>
      <c r="C310" s="471" t="s">
        <v>588</v>
      </c>
      <c r="D310" s="409" t="s">
        <v>57</v>
      </c>
      <c r="E310" s="409" t="s">
        <v>92</v>
      </c>
      <c r="F310" s="338" t="s">
        <v>248</v>
      </c>
      <c r="G310" s="339" t="s">
        <v>50</v>
      </c>
      <c r="H310" s="339" t="s">
        <v>248</v>
      </c>
      <c r="I310" s="340" t="s">
        <v>401</v>
      </c>
      <c r="J310" s="343" t="s">
        <v>76</v>
      </c>
      <c r="K310" s="845">
        <v>525</v>
      </c>
      <c r="L310" s="881">
        <f>M310-K310</f>
        <v>56.399999999999977</v>
      </c>
      <c r="M310" s="877">
        <f>525+56.4</f>
        <v>581.4</v>
      </c>
      <c r="N310" s="461"/>
    </row>
    <row r="311" spans="1:14" s="462" customFormat="1" ht="18.75">
      <c r="A311" s="470"/>
      <c r="B311" s="362" t="s">
        <v>77</v>
      </c>
      <c r="C311" s="471" t="s">
        <v>588</v>
      </c>
      <c r="D311" s="409" t="s">
        <v>57</v>
      </c>
      <c r="E311" s="409" t="s">
        <v>92</v>
      </c>
      <c r="F311" s="418" t="s">
        <v>248</v>
      </c>
      <c r="G311" s="339" t="s">
        <v>50</v>
      </c>
      <c r="H311" s="339" t="s">
        <v>248</v>
      </c>
      <c r="I311" s="340" t="s">
        <v>401</v>
      </c>
      <c r="J311" s="343" t="s">
        <v>78</v>
      </c>
      <c r="K311" s="845"/>
      <c r="L311" s="881">
        <f>M311-K311</f>
        <v>8</v>
      </c>
      <c r="M311" s="877">
        <v>8</v>
      </c>
      <c r="N311" s="461"/>
    </row>
    <row r="312" spans="1:14" s="412" customFormat="1" ht="61.5" customHeight="1">
      <c r="A312" s="407"/>
      <c r="B312" s="417" t="s">
        <v>60</v>
      </c>
      <c r="C312" s="408" t="s">
        <v>588</v>
      </c>
      <c r="D312" s="409" t="s">
        <v>57</v>
      </c>
      <c r="E312" s="409" t="s">
        <v>92</v>
      </c>
      <c r="F312" s="418" t="s">
        <v>61</v>
      </c>
      <c r="G312" s="308" t="s">
        <v>62</v>
      </c>
      <c r="H312" s="308" t="s">
        <v>63</v>
      </c>
      <c r="I312" s="309" t="s">
        <v>64</v>
      </c>
      <c r="J312" s="310"/>
      <c r="K312" s="693">
        <f t="shared" ref="K312:M314" si="66">K313</f>
        <v>5076.9000000000005</v>
      </c>
      <c r="L312" s="738">
        <f t="shared" si="66"/>
        <v>0</v>
      </c>
      <c r="M312" s="411">
        <f t="shared" si="66"/>
        <v>5076.9000000000005</v>
      </c>
      <c r="N312" s="454"/>
    </row>
    <row r="313" spans="1:14" s="412" customFormat="1" ht="37.5" customHeight="1">
      <c r="A313" s="407"/>
      <c r="B313" s="357" t="s">
        <v>404</v>
      </c>
      <c r="C313" s="408" t="s">
        <v>588</v>
      </c>
      <c r="D313" s="409" t="s">
        <v>57</v>
      </c>
      <c r="E313" s="409" t="s">
        <v>92</v>
      </c>
      <c r="F313" s="338" t="s">
        <v>61</v>
      </c>
      <c r="G313" s="308" t="s">
        <v>65</v>
      </c>
      <c r="H313" s="308" t="s">
        <v>63</v>
      </c>
      <c r="I313" s="309" t="s">
        <v>64</v>
      </c>
      <c r="J313" s="310"/>
      <c r="K313" s="693">
        <f t="shared" si="66"/>
        <v>5076.9000000000005</v>
      </c>
      <c r="L313" s="411">
        <f t="shared" si="66"/>
        <v>0</v>
      </c>
      <c r="M313" s="411">
        <f t="shared" si="66"/>
        <v>5076.9000000000005</v>
      </c>
      <c r="N313" s="454"/>
    </row>
    <row r="314" spans="1:14" s="412" customFormat="1" ht="75" customHeight="1">
      <c r="A314" s="407"/>
      <c r="B314" s="362" t="s">
        <v>351</v>
      </c>
      <c r="C314" s="408" t="s">
        <v>588</v>
      </c>
      <c r="D314" s="409" t="s">
        <v>57</v>
      </c>
      <c r="E314" s="409" t="s">
        <v>92</v>
      </c>
      <c r="F314" s="338" t="s">
        <v>61</v>
      </c>
      <c r="G314" s="308" t="s">
        <v>65</v>
      </c>
      <c r="H314" s="308" t="s">
        <v>102</v>
      </c>
      <c r="I314" s="309" t="s">
        <v>64</v>
      </c>
      <c r="J314" s="310"/>
      <c r="K314" s="693">
        <f t="shared" si="66"/>
        <v>5076.9000000000005</v>
      </c>
      <c r="L314" s="411">
        <f t="shared" si="66"/>
        <v>0</v>
      </c>
      <c r="M314" s="411">
        <f t="shared" si="66"/>
        <v>5076.9000000000005</v>
      </c>
      <c r="N314" s="454"/>
    </row>
    <row r="315" spans="1:14" s="412" customFormat="1" ht="37.5" customHeight="1">
      <c r="A315" s="407"/>
      <c r="B315" s="166" t="s">
        <v>795</v>
      </c>
      <c r="C315" s="408" t="s">
        <v>588</v>
      </c>
      <c r="D315" s="409" t="s">
        <v>57</v>
      </c>
      <c r="E315" s="409" t="s">
        <v>92</v>
      </c>
      <c r="F315" s="338" t="s">
        <v>61</v>
      </c>
      <c r="G315" s="308" t="s">
        <v>65</v>
      </c>
      <c r="H315" s="308" t="s">
        <v>102</v>
      </c>
      <c r="I315" s="309" t="s">
        <v>112</v>
      </c>
      <c r="J315" s="310"/>
      <c r="K315" s="693">
        <f>K316+K317+K318</f>
        <v>5076.9000000000005</v>
      </c>
      <c r="L315" s="411">
        <f>L316+L317+L318</f>
        <v>0</v>
      </c>
      <c r="M315" s="533">
        <f>M316+M317+M318</f>
        <v>5076.9000000000005</v>
      </c>
      <c r="N315" s="454"/>
    </row>
    <row r="316" spans="1:14" s="412" customFormat="1" ht="112.5" customHeight="1">
      <c r="A316" s="407"/>
      <c r="B316" s="362" t="s">
        <v>69</v>
      </c>
      <c r="C316" s="408" t="s">
        <v>588</v>
      </c>
      <c r="D316" s="409" t="s">
        <v>57</v>
      </c>
      <c r="E316" s="409" t="s">
        <v>92</v>
      </c>
      <c r="F316" s="338" t="s">
        <v>61</v>
      </c>
      <c r="G316" s="308" t="s">
        <v>65</v>
      </c>
      <c r="H316" s="308" t="s">
        <v>102</v>
      </c>
      <c r="I316" s="309" t="s">
        <v>112</v>
      </c>
      <c r="J316" s="310" t="s">
        <v>70</v>
      </c>
      <c r="K316" s="693">
        <v>4593.1000000000004</v>
      </c>
      <c r="L316" s="816">
        <f t="shared" ref="L316:L318" si="67">M316-K316</f>
        <v>0</v>
      </c>
      <c r="M316" s="717">
        <v>4593.1000000000004</v>
      </c>
      <c r="N316" s="454"/>
    </row>
    <row r="317" spans="1:14" s="412" customFormat="1" ht="56.25" customHeight="1">
      <c r="A317" s="407"/>
      <c r="B317" s="357" t="s">
        <v>75</v>
      </c>
      <c r="C317" s="408" t="s">
        <v>588</v>
      </c>
      <c r="D317" s="409" t="s">
        <v>57</v>
      </c>
      <c r="E317" s="409" t="s">
        <v>92</v>
      </c>
      <c r="F317" s="338" t="s">
        <v>61</v>
      </c>
      <c r="G317" s="308" t="s">
        <v>65</v>
      </c>
      <c r="H317" s="308" t="s">
        <v>102</v>
      </c>
      <c r="I317" s="309" t="s">
        <v>112</v>
      </c>
      <c r="J317" s="310" t="s">
        <v>76</v>
      </c>
      <c r="K317" s="693">
        <v>483.7</v>
      </c>
      <c r="L317" s="816">
        <f t="shared" si="67"/>
        <v>0</v>
      </c>
      <c r="M317" s="717">
        <v>483.7</v>
      </c>
      <c r="N317" s="454"/>
    </row>
    <row r="318" spans="1:14" s="412" customFormat="1" ht="18.75" customHeight="1">
      <c r="A318" s="407"/>
      <c r="B318" s="362" t="s">
        <v>77</v>
      </c>
      <c r="C318" s="408" t="s">
        <v>588</v>
      </c>
      <c r="D318" s="409" t="s">
        <v>57</v>
      </c>
      <c r="E318" s="409" t="s">
        <v>92</v>
      </c>
      <c r="F318" s="338" t="s">
        <v>61</v>
      </c>
      <c r="G318" s="308" t="s">
        <v>65</v>
      </c>
      <c r="H318" s="308" t="s">
        <v>102</v>
      </c>
      <c r="I318" s="309" t="s">
        <v>112</v>
      </c>
      <c r="J318" s="310" t="s">
        <v>78</v>
      </c>
      <c r="K318" s="693">
        <v>0.1</v>
      </c>
      <c r="L318" s="816">
        <f t="shared" si="67"/>
        <v>0</v>
      </c>
      <c r="M318" s="717">
        <v>0.1</v>
      </c>
      <c r="N318" s="454"/>
    </row>
    <row r="319" spans="1:14" s="795" customFormat="1" ht="112.5" customHeight="1">
      <c r="A319" s="784"/>
      <c r="B319" s="785" t="s">
        <v>926</v>
      </c>
      <c r="C319" s="786" t="s">
        <v>588</v>
      </c>
      <c r="D319" s="787" t="s">
        <v>57</v>
      </c>
      <c r="E319" s="787" t="s">
        <v>92</v>
      </c>
      <c r="F319" s="788" t="s">
        <v>922</v>
      </c>
      <c r="G319" s="789" t="s">
        <v>62</v>
      </c>
      <c r="H319" s="789" t="s">
        <v>63</v>
      </c>
      <c r="I319" s="790" t="s">
        <v>64</v>
      </c>
      <c r="J319" s="791"/>
      <c r="K319" s="846">
        <f>K320</f>
        <v>0</v>
      </c>
      <c r="L319" s="792">
        <f t="shared" ref="L319:M320" si="68">L320</f>
        <v>2754</v>
      </c>
      <c r="M319" s="817">
        <f t="shared" si="68"/>
        <v>2754</v>
      </c>
      <c r="N319" s="794"/>
    </row>
    <row r="320" spans="1:14" s="795" customFormat="1" ht="112.5" customHeight="1">
      <c r="A320" s="784"/>
      <c r="B320" s="785" t="s">
        <v>923</v>
      </c>
      <c r="C320" s="786" t="s">
        <v>588</v>
      </c>
      <c r="D320" s="787" t="s">
        <v>57</v>
      </c>
      <c r="E320" s="787" t="s">
        <v>92</v>
      </c>
      <c r="F320" s="788" t="s">
        <v>922</v>
      </c>
      <c r="G320" s="789" t="s">
        <v>110</v>
      </c>
      <c r="H320" s="789" t="s">
        <v>63</v>
      </c>
      <c r="I320" s="790" t="s">
        <v>64</v>
      </c>
      <c r="J320" s="791"/>
      <c r="K320" s="846">
        <f>K321</f>
        <v>0</v>
      </c>
      <c r="L320" s="792">
        <f>L321</f>
        <v>2754</v>
      </c>
      <c r="M320" s="817">
        <f t="shared" si="68"/>
        <v>2754</v>
      </c>
      <c r="N320" s="794"/>
    </row>
    <row r="321" spans="1:14" s="795" customFormat="1" ht="37.5" customHeight="1">
      <c r="A321" s="784"/>
      <c r="B321" s="785" t="s">
        <v>1020</v>
      </c>
      <c r="C321" s="786" t="s">
        <v>588</v>
      </c>
      <c r="D321" s="787" t="s">
        <v>57</v>
      </c>
      <c r="E321" s="787" t="s">
        <v>92</v>
      </c>
      <c r="F321" s="788" t="s">
        <v>922</v>
      </c>
      <c r="G321" s="789" t="s">
        <v>110</v>
      </c>
      <c r="H321" s="789" t="s">
        <v>248</v>
      </c>
      <c r="I321" s="790" t="s">
        <v>64</v>
      </c>
      <c r="J321" s="791"/>
      <c r="K321" s="847">
        <f>K323</f>
        <v>0</v>
      </c>
      <c r="L321" s="835">
        <f>L322</f>
        <v>2754</v>
      </c>
      <c r="M321" s="836">
        <f>M322</f>
        <v>2754</v>
      </c>
      <c r="N321" s="794"/>
    </row>
    <row r="322" spans="1:14" s="795" customFormat="1" ht="37.5" customHeight="1">
      <c r="A322" s="784"/>
      <c r="B322" s="785" t="s">
        <v>749</v>
      </c>
      <c r="C322" s="786" t="s">
        <v>588</v>
      </c>
      <c r="D322" s="787" t="s">
        <v>57</v>
      </c>
      <c r="E322" s="787" t="s">
        <v>92</v>
      </c>
      <c r="F322" s="788" t="s">
        <v>922</v>
      </c>
      <c r="G322" s="789" t="s">
        <v>110</v>
      </c>
      <c r="H322" s="789" t="s">
        <v>248</v>
      </c>
      <c r="I322" s="790" t="s">
        <v>90</v>
      </c>
      <c r="J322" s="834"/>
      <c r="K322" s="848"/>
      <c r="L322" s="817">
        <f>L323</f>
        <v>2754</v>
      </c>
      <c r="M322" s="817">
        <f>M323</f>
        <v>2754</v>
      </c>
      <c r="N322" s="794"/>
    </row>
    <row r="323" spans="1:14" s="795" customFormat="1" ht="18.75" customHeight="1">
      <c r="A323" s="784"/>
      <c r="B323" s="362" t="s">
        <v>77</v>
      </c>
      <c r="C323" s="786" t="s">
        <v>588</v>
      </c>
      <c r="D323" s="787" t="s">
        <v>57</v>
      </c>
      <c r="E323" s="787" t="s">
        <v>92</v>
      </c>
      <c r="F323" s="788" t="s">
        <v>922</v>
      </c>
      <c r="G323" s="789" t="s">
        <v>110</v>
      </c>
      <c r="H323" s="789" t="s">
        <v>248</v>
      </c>
      <c r="I323" s="790" t="s">
        <v>90</v>
      </c>
      <c r="J323" s="791" t="s">
        <v>78</v>
      </c>
      <c r="K323" s="849"/>
      <c r="L323" s="882">
        <f t="shared" ref="L323" si="69">M323-K323</f>
        <v>2754</v>
      </c>
      <c r="M323" s="738">
        <v>2754</v>
      </c>
      <c r="N323" s="794"/>
    </row>
    <row r="324" spans="1:14" s="412" customFormat="1" ht="18.75" customHeight="1">
      <c r="A324" s="407"/>
      <c r="B324" s="357" t="s">
        <v>113</v>
      </c>
      <c r="C324" s="408" t="s">
        <v>588</v>
      </c>
      <c r="D324" s="409" t="s">
        <v>72</v>
      </c>
      <c r="E324" s="409"/>
      <c r="F324" s="338"/>
      <c r="G324" s="308"/>
      <c r="H324" s="308"/>
      <c r="I324" s="309"/>
      <c r="J324" s="310"/>
      <c r="K324" s="693">
        <f t="shared" ref="K324:M329" si="70">K325</f>
        <v>1002.1</v>
      </c>
      <c r="L324" s="738">
        <f t="shared" si="70"/>
        <v>1035.0999999999999</v>
      </c>
      <c r="M324" s="411">
        <f t="shared" si="70"/>
        <v>2037.1999999999998</v>
      </c>
      <c r="N324" s="454"/>
    </row>
    <row r="325" spans="1:14" s="412" customFormat="1" ht="37.5" customHeight="1">
      <c r="A325" s="407"/>
      <c r="B325" s="472" t="s">
        <v>127</v>
      </c>
      <c r="C325" s="408" t="s">
        <v>588</v>
      </c>
      <c r="D325" s="409" t="s">
        <v>72</v>
      </c>
      <c r="E325" s="409" t="s">
        <v>121</v>
      </c>
      <c r="F325" s="338"/>
      <c r="G325" s="308"/>
      <c r="H325" s="308"/>
      <c r="I325" s="309"/>
      <c r="J325" s="310"/>
      <c r="K325" s="693">
        <f t="shared" si="70"/>
        <v>1002.1</v>
      </c>
      <c r="L325" s="411">
        <f t="shared" si="70"/>
        <v>1035.0999999999999</v>
      </c>
      <c r="M325" s="411">
        <f t="shared" si="70"/>
        <v>2037.1999999999998</v>
      </c>
      <c r="N325" s="454"/>
    </row>
    <row r="326" spans="1:14" s="412" customFormat="1" ht="56.25" customHeight="1">
      <c r="A326" s="407"/>
      <c r="B326" s="362" t="s">
        <v>247</v>
      </c>
      <c r="C326" s="408" t="s">
        <v>588</v>
      </c>
      <c r="D326" s="409" t="s">
        <v>72</v>
      </c>
      <c r="E326" s="409" t="s">
        <v>121</v>
      </c>
      <c r="F326" s="338" t="s">
        <v>248</v>
      </c>
      <c r="G326" s="308" t="s">
        <v>62</v>
      </c>
      <c r="H326" s="308" t="s">
        <v>63</v>
      </c>
      <c r="I326" s="309" t="s">
        <v>64</v>
      </c>
      <c r="J326" s="310"/>
      <c r="K326" s="693">
        <f t="shared" si="70"/>
        <v>1002.1</v>
      </c>
      <c r="L326" s="411">
        <f t="shared" si="70"/>
        <v>1035.0999999999999</v>
      </c>
      <c r="M326" s="411">
        <f t="shared" si="70"/>
        <v>2037.1999999999998</v>
      </c>
      <c r="N326" s="454"/>
    </row>
    <row r="327" spans="1:14" s="412" customFormat="1" ht="41.25" customHeight="1">
      <c r="A327" s="407"/>
      <c r="B327" s="362" t="s">
        <v>249</v>
      </c>
      <c r="C327" s="408" t="s">
        <v>588</v>
      </c>
      <c r="D327" s="409" t="s">
        <v>72</v>
      </c>
      <c r="E327" s="409" t="s">
        <v>121</v>
      </c>
      <c r="F327" s="338" t="s">
        <v>248</v>
      </c>
      <c r="G327" s="308" t="s">
        <v>65</v>
      </c>
      <c r="H327" s="308" t="s">
        <v>63</v>
      </c>
      <c r="I327" s="309" t="s">
        <v>64</v>
      </c>
      <c r="J327" s="310"/>
      <c r="K327" s="693">
        <f t="shared" si="70"/>
        <v>1002.1</v>
      </c>
      <c r="L327" s="411">
        <f t="shared" si="70"/>
        <v>1035.0999999999999</v>
      </c>
      <c r="M327" s="411">
        <f t="shared" si="70"/>
        <v>2037.1999999999998</v>
      </c>
      <c r="N327" s="454"/>
    </row>
    <row r="328" spans="1:14" s="412" customFormat="1" ht="96.75" customHeight="1">
      <c r="A328" s="407"/>
      <c r="B328" s="362" t="s">
        <v>349</v>
      </c>
      <c r="C328" s="408" t="s">
        <v>588</v>
      </c>
      <c r="D328" s="409" t="s">
        <v>72</v>
      </c>
      <c r="E328" s="409" t="s">
        <v>121</v>
      </c>
      <c r="F328" s="338" t="s">
        <v>248</v>
      </c>
      <c r="G328" s="308" t="s">
        <v>65</v>
      </c>
      <c r="H328" s="308" t="s">
        <v>57</v>
      </c>
      <c r="I328" s="309" t="s">
        <v>64</v>
      </c>
      <c r="J328" s="310"/>
      <c r="K328" s="693">
        <f t="shared" si="70"/>
        <v>1002.1</v>
      </c>
      <c r="L328" s="411">
        <f t="shared" si="70"/>
        <v>1035.0999999999999</v>
      </c>
      <c r="M328" s="411">
        <f t="shared" si="70"/>
        <v>2037.1999999999998</v>
      </c>
      <c r="N328" s="454"/>
    </row>
    <row r="329" spans="1:14" s="412" customFormat="1" ht="37.5" customHeight="1">
      <c r="A329" s="407"/>
      <c r="B329" s="362" t="s">
        <v>459</v>
      </c>
      <c r="C329" s="408" t="s">
        <v>588</v>
      </c>
      <c r="D329" s="409" t="s">
        <v>72</v>
      </c>
      <c r="E329" s="409" t="s">
        <v>121</v>
      </c>
      <c r="F329" s="338" t="s">
        <v>248</v>
      </c>
      <c r="G329" s="308" t="s">
        <v>65</v>
      </c>
      <c r="H329" s="308" t="s">
        <v>57</v>
      </c>
      <c r="I329" s="309" t="s">
        <v>458</v>
      </c>
      <c r="J329" s="310"/>
      <c r="K329" s="693">
        <f t="shared" si="70"/>
        <v>1002.1</v>
      </c>
      <c r="L329" s="411">
        <f t="shared" si="70"/>
        <v>1035.0999999999999</v>
      </c>
      <c r="M329" s="411">
        <f t="shared" si="70"/>
        <v>2037.1999999999998</v>
      </c>
      <c r="N329" s="454"/>
    </row>
    <row r="330" spans="1:14" s="412" customFormat="1" ht="56.25" customHeight="1">
      <c r="A330" s="407"/>
      <c r="B330" s="357" t="s">
        <v>75</v>
      </c>
      <c r="C330" s="408" t="s">
        <v>588</v>
      </c>
      <c r="D330" s="409" t="s">
        <v>72</v>
      </c>
      <c r="E330" s="409" t="s">
        <v>121</v>
      </c>
      <c r="F330" s="338" t="s">
        <v>248</v>
      </c>
      <c r="G330" s="308" t="s">
        <v>65</v>
      </c>
      <c r="H330" s="308" t="s">
        <v>57</v>
      </c>
      <c r="I330" s="309" t="s">
        <v>458</v>
      </c>
      <c r="J330" s="310" t="s">
        <v>76</v>
      </c>
      <c r="K330" s="693">
        <f>1002.1</f>
        <v>1002.1</v>
      </c>
      <c r="L330" s="165">
        <f>M330-K330</f>
        <v>1035.0999999999999</v>
      </c>
      <c r="M330" s="876">
        <f>1002.1+1035.1</f>
        <v>2037.1999999999998</v>
      </c>
      <c r="N330" s="454"/>
    </row>
    <row r="331" spans="1:14" s="412" customFormat="1" ht="18.75" customHeight="1">
      <c r="A331" s="407"/>
      <c r="B331" s="362" t="s">
        <v>199</v>
      </c>
      <c r="C331" s="408" t="s">
        <v>588</v>
      </c>
      <c r="D331" s="409" t="s">
        <v>86</v>
      </c>
      <c r="E331" s="409"/>
      <c r="F331" s="307"/>
      <c r="G331" s="308"/>
      <c r="H331" s="308"/>
      <c r="I331" s="363"/>
      <c r="J331" s="310"/>
      <c r="K331" s="693">
        <f t="shared" ref="K331:M339" si="71">K332</f>
        <v>16440.5</v>
      </c>
      <c r="L331" s="411">
        <f t="shared" si="71"/>
        <v>8.8019999999999996</v>
      </c>
      <c r="M331" s="411">
        <f t="shared" si="71"/>
        <v>16449.302</v>
      </c>
      <c r="N331" s="454"/>
    </row>
    <row r="332" spans="1:14" s="412" customFormat="1" ht="18.75" customHeight="1">
      <c r="A332" s="407"/>
      <c r="B332" s="362" t="s">
        <v>398</v>
      </c>
      <c r="C332" s="408" t="s">
        <v>588</v>
      </c>
      <c r="D332" s="409" t="s">
        <v>86</v>
      </c>
      <c r="E332" s="409" t="s">
        <v>59</v>
      </c>
      <c r="F332" s="307"/>
      <c r="G332" s="308"/>
      <c r="H332" s="308"/>
      <c r="I332" s="363"/>
      <c r="J332" s="310"/>
      <c r="K332" s="693">
        <f>K338</f>
        <v>16440.5</v>
      </c>
      <c r="L332" s="411">
        <f>L333+L338</f>
        <v>8.8019999999999996</v>
      </c>
      <c r="M332" s="411">
        <f>M333+M338</f>
        <v>16449.302</v>
      </c>
      <c r="N332" s="454"/>
    </row>
    <row r="333" spans="1:14" s="412" customFormat="1" ht="75">
      <c r="A333" s="407"/>
      <c r="B333" s="878" t="s">
        <v>247</v>
      </c>
      <c r="C333" s="864" t="s">
        <v>588</v>
      </c>
      <c r="D333" s="865" t="s">
        <v>86</v>
      </c>
      <c r="E333" s="865" t="s">
        <v>59</v>
      </c>
      <c r="F333" s="866" t="s">
        <v>248</v>
      </c>
      <c r="G333" s="867" t="s">
        <v>62</v>
      </c>
      <c r="H333" s="867" t="s">
        <v>63</v>
      </c>
      <c r="I333" s="874" t="s">
        <v>64</v>
      </c>
      <c r="J333" s="869"/>
      <c r="K333" s="879"/>
      <c r="L333" s="876">
        <f t="shared" ref="L333:M336" si="72">L334</f>
        <v>8.8019999999999996</v>
      </c>
      <c r="M333" s="876">
        <f t="shared" si="72"/>
        <v>8.8019999999999996</v>
      </c>
      <c r="N333" s="454"/>
    </row>
    <row r="334" spans="1:14" s="412" customFormat="1" ht="56.25">
      <c r="A334" s="407"/>
      <c r="B334" s="878" t="s">
        <v>249</v>
      </c>
      <c r="C334" s="864" t="s">
        <v>588</v>
      </c>
      <c r="D334" s="865" t="s">
        <v>86</v>
      </c>
      <c r="E334" s="865" t="s">
        <v>59</v>
      </c>
      <c r="F334" s="866" t="s">
        <v>248</v>
      </c>
      <c r="G334" s="867" t="s">
        <v>65</v>
      </c>
      <c r="H334" s="867" t="s">
        <v>63</v>
      </c>
      <c r="I334" s="874" t="s">
        <v>64</v>
      </c>
      <c r="J334" s="869"/>
      <c r="K334" s="879"/>
      <c r="L334" s="876">
        <f t="shared" si="72"/>
        <v>8.8019999999999996</v>
      </c>
      <c r="M334" s="876">
        <f t="shared" si="72"/>
        <v>8.8019999999999996</v>
      </c>
      <c r="N334" s="454"/>
    </row>
    <row r="335" spans="1:14" s="412" customFormat="1" ht="37.5">
      <c r="A335" s="407"/>
      <c r="B335" s="880" t="s">
        <v>403</v>
      </c>
      <c r="C335" s="864" t="s">
        <v>588</v>
      </c>
      <c r="D335" s="865" t="s">
        <v>86</v>
      </c>
      <c r="E335" s="865" t="s">
        <v>59</v>
      </c>
      <c r="F335" s="866" t="s">
        <v>248</v>
      </c>
      <c r="G335" s="867" t="s">
        <v>65</v>
      </c>
      <c r="H335" s="867" t="s">
        <v>59</v>
      </c>
      <c r="I335" s="874" t="s">
        <v>64</v>
      </c>
      <c r="J335" s="869"/>
      <c r="K335" s="879"/>
      <c r="L335" s="876">
        <f t="shared" si="72"/>
        <v>8.8019999999999996</v>
      </c>
      <c r="M335" s="876">
        <f t="shared" si="72"/>
        <v>8.8019999999999996</v>
      </c>
      <c r="N335" s="454"/>
    </row>
    <row r="336" spans="1:14" s="412" customFormat="1" ht="37.5">
      <c r="A336" s="407"/>
      <c r="B336" s="880" t="s">
        <v>402</v>
      </c>
      <c r="C336" s="864" t="s">
        <v>588</v>
      </c>
      <c r="D336" s="865" t="s">
        <v>86</v>
      </c>
      <c r="E336" s="865" t="s">
        <v>59</v>
      </c>
      <c r="F336" s="866" t="s">
        <v>248</v>
      </c>
      <c r="G336" s="867" t="s">
        <v>65</v>
      </c>
      <c r="H336" s="867" t="s">
        <v>59</v>
      </c>
      <c r="I336" s="868" t="s">
        <v>401</v>
      </c>
      <c r="J336" s="869"/>
      <c r="K336" s="879"/>
      <c r="L336" s="876">
        <f t="shared" si="72"/>
        <v>8.8019999999999996</v>
      </c>
      <c r="M336" s="876">
        <f t="shared" si="72"/>
        <v>8.8019999999999996</v>
      </c>
      <c r="N336" s="454"/>
    </row>
    <row r="337" spans="1:14" s="412" customFormat="1" ht="54.6" customHeight="1">
      <c r="A337" s="407"/>
      <c r="B337" s="880" t="s">
        <v>75</v>
      </c>
      <c r="C337" s="864" t="s">
        <v>588</v>
      </c>
      <c r="D337" s="865" t="s">
        <v>86</v>
      </c>
      <c r="E337" s="865" t="s">
        <v>59</v>
      </c>
      <c r="F337" s="866" t="s">
        <v>248</v>
      </c>
      <c r="G337" s="867" t="s">
        <v>65</v>
      </c>
      <c r="H337" s="867" t="s">
        <v>59</v>
      </c>
      <c r="I337" s="868" t="s">
        <v>401</v>
      </c>
      <c r="J337" s="869" t="s">
        <v>76</v>
      </c>
      <c r="K337" s="879"/>
      <c r="L337" s="881">
        <f>M337-K337</f>
        <v>8.8019999999999996</v>
      </c>
      <c r="M337" s="876">
        <v>8.8019999999999996</v>
      </c>
      <c r="N337" s="454"/>
    </row>
    <row r="338" spans="1:14" s="412" customFormat="1" ht="78.75" customHeight="1">
      <c r="A338" s="407"/>
      <c r="B338" s="419" t="s">
        <v>397</v>
      </c>
      <c r="C338" s="408" t="s">
        <v>588</v>
      </c>
      <c r="D338" s="409" t="s">
        <v>86</v>
      </c>
      <c r="E338" s="409" t="s">
        <v>59</v>
      </c>
      <c r="F338" s="307" t="s">
        <v>125</v>
      </c>
      <c r="G338" s="308" t="s">
        <v>62</v>
      </c>
      <c r="H338" s="308" t="s">
        <v>63</v>
      </c>
      <c r="I338" s="363" t="s">
        <v>64</v>
      </c>
      <c r="J338" s="310"/>
      <c r="K338" s="693">
        <f t="shared" si="71"/>
        <v>16440.5</v>
      </c>
      <c r="L338" s="411">
        <f t="shared" si="71"/>
        <v>0</v>
      </c>
      <c r="M338" s="411">
        <f t="shared" si="71"/>
        <v>16440.5</v>
      </c>
      <c r="N338" s="454"/>
    </row>
    <row r="339" spans="1:14" s="412" customFormat="1" ht="56.25" customHeight="1">
      <c r="A339" s="407"/>
      <c r="B339" s="357" t="s">
        <v>399</v>
      </c>
      <c r="C339" s="408" t="s">
        <v>588</v>
      </c>
      <c r="D339" s="409" t="s">
        <v>86</v>
      </c>
      <c r="E339" s="409" t="s">
        <v>59</v>
      </c>
      <c r="F339" s="307" t="s">
        <v>125</v>
      </c>
      <c r="G339" s="308" t="s">
        <v>65</v>
      </c>
      <c r="H339" s="308" t="s">
        <v>63</v>
      </c>
      <c r="I339" s="363" t="s">
        <v>64</v>
      </c>
      <c r="J339" s="310"/>
      <c r="K339" s="693">
        <f t="shared" si="71"/>
        <v>16440.5</v>
      </c>
      <c r="L339" s="411">
        <f t="shared" si="71"/>
        <v>0</v>
      </c>
      <c r="M339" s="411">
        <f t="shared" si="71"/>
        <v>16440.5</v>
      </c>
      <c r="N339" s="454"/>
    </row>
    <row r="340" spans="1:14" s="412" customFormat="1" ht="56.25" customHeight="1">
      <c r="A340" s="407"/>
      <c r="B340" s="357" t="s">
        <v>460</v>
      </c>
      <c r="C340" s="408" t="s">
        <v>588</v>
      </c>
      <c r="D340" s="409" t="s">
        <v>86</v>
      </c>
      <c r="E340" s="409" t="s">
        <v>59</v>
      </c>
      <c r="F340" s="307" t="s">
        <v>125</v>
      </c>
      <c r="G340" s="308" t="s">
        <v>65</v>
      </c>
      <c r="H340" s="308" t="s">
        <v>57</v>
      </c>
      <c r="I340" s="363" t="s">
        <v>64</v>
      </c>
      <c r="J340" s="310"/>
      <c r="K340" s="693">
        <f>+K344+K341</f>
        <v>16440.5</v>
      </c>
      <c r="L340" s="411">
        <f>+L344+L341</f>
        <v>0</v>
      </c>
      <c r="M340" s="411">
        <f>+M344+M341</f>
        <v>16440.5</v>
      </c>
      <c r="N340" s="454"/>
    </row>
    <row r="341" spans="1:14" s="412" customFormat="1" ht="56.25" customHeight="1">
      <c r="A341" s="407"/>
      <c r="B341" s="357" t="s">
        <v>763</v>
      </c>
      <c r="C341" s="408" t="s">
        <v>588</v>
      </c>
      <c r="D341" s="409" t="s">
        <v>86</v>
      </c>
      <c r="E341" s="409" t="s">
        <v>59</v>
      </c>
      <c r="F341" s="307" t="s">
        <v>125</v>
      </c>
      <c r="G341" s="308" t="s">
        <v>65</v>
      </c>
      <c r="H341" s="308" t="s">
        <v>57</v>
      </c>
      <c r="I341" s="363" t="s">
        <v>762</v>
      </c>
      <c r="J341" s="310"/>
      <c r="K341" s="693">
        <f>K343+K342</f>
        <v>3808.9</v>
      </c>
      <c r="L341" s="411">
        <f t="shared" ref="L341:M341" si="73">L343+L342</f>
        <v>0</v>
      </c>
      <c r="M341" s="411">
        <f t="shared" si="73"/>
        <v>3808.9</v>
      </c>
      <c r="N341" s="454"/>
    </row>
    <row r="342" spans="1:14" s="795" customFormat="1" ht="56.25" customHeight="1">
      <c r="A342" s="784"/>
      <c r="B342" s="815" t="s">
        <v>75</v>
      </c>
      <c r="C342" s="786" t="s">
        <v>588</v>
      </c>
      <c r="D342" s="787" t="s">
        <v>86</v>
      </c>
      <c r="E342" s="787" t="s">
        <v>59</v>
      </c>
      <c r="F342" s="803" t="s">
        <v>125</v>
      </c>
      <c r="G342" s="789" t="s">
        <v>65</v>
      </c>
      <c r="H342" s="789" t="s">
        <v>57</v>
      </c>
      <c r="I342" s="804" t="s">
        <v>762</v>
      </c>
      <c r="J342" s="791" t="s">
        <v>76</v>
      </c>
      <c r="K342" s="850"/>
      <c r="L342" s="793">
        <f>M342-K342</f>
        <v>3351.8</v>
      </c>
      <c r="M342" s="805">
        <f>2532.3+819.5</f>
        <v>3351.8</v>
      </c>
      <c r="N342" s="794"/>
    </row>
    <row r="343" spans="1:14" s="412" customFormat="1" ht="56.25" customHeight="1">
      <c r="A343" s="407"/>
      <c r="B343" s="357" t="s">
        <v>225</v>
      </c>
      <c r="C343" s="408" t="s">
        <v>588</v>
      </c>
      <c r="D343" s="409" t="s">
        <v>86</v>
      </c>
      <c r="E343" s="409" t="s">
        <v>59</v>
      </c>
      <c r="F343" s="307" t="s">
        <v>125</v>
      </c>
      <c r="G343" s="308" t="s">
        <v>65</v>
      </c>
      <c r="H343" s="308" t="s">
        <v>57</v>
      </c>
      <c r="I343" s="363" t="s">
        <v>762</v>
      </c>
      <c r="J343" s="310" t="s">
        <v>226</v>
      </c>
      <c r="K343" s="693">
        <f>457.1+819.5+2532.3</f>
        <v>3808.9</v>
      </c>
      <c r="L343" s="165">
        <f>M343-K343</f>
        <v>-3351.8</v>
      </c>
      <c r="M343" s="411">
        <f>457.1+819.5+2532.3-2532.3-819.5</f>
        <v>457.09999999999991</v>
      </c>
      <c r="N343" s="454"/>
    </row>
    <row r="344" spans="1:14" s="412" customFormat="1" ht="75" customHeight="1">
      <c r="A344" s="407"/>
      <c r="B344" s="357" t="s">
        <v>1011</v>
      </c>
      <c r="C344" s="408" t="s">
        <v>588</v>
      </c>
      <c r="D344" s="409" t="s">
        <v>86</v>
      </c>
      <c r="E344" s="409" t="s">
        <v>59</v>
      </c>
      <c r="F344" s="307" t="s">
        <v>125</v>
      </c>
      <c r="G344" s="308" t="s">
        <v>65</v>
      </c>
      <c r="H344" s="308" t="s">
        <v>57</v>
      </c>
      <c r="I344" s="363" t="s">
        <v>589</v>
      </c>
      <c r="J344" s="310"/>
      <c r="K344" s="693">
        <f>K345</f>
        <v>12631.6</v>
      </c>
      <c r="L344" s="411">
        <f>L345</f>
        <v>0</v>
      </c>
      <c r="M344" s="411">
        <f>M345</f>
        <v>12631.6</v>
      </c>
      <c r="N344" s="454"/>
    </row>
    <row r="345" spans="1:14" s="412" customFormat="1" ht="56.25" customHeight="1">
      <c r="A345" s="407"/>
      <c r="B345" s="357" t="s">
        <v>225</v>
      </c>
      <c r="C345" s="408" t="s">
        <v>588</v>
      </c>
      <c r="D345" s="409" t="s">
        <v>86</v>
      </c>
      <c r="E345" s="409" t="s">
        <v>59</v>
      </c>
      <c r="F345" s="307" t="s">
        <v>125</v>
      </c>
      <c r="G345" s="308" t="s">
        <v>65</v>
      </c>
      <c r="H345" s="308" t="s">
        <v>57</v>
      </c>
      <c r="I345" s="363" t="s">
        <v>589</v>
      </c>
      <c r="J345" s="310" t="s">
        <v>226</v>
      </c>
      <c r="K345" s="693">
        <v>12631.6</v>
      </c>
      <c r="L345" s="165">
        <f>M345-K345</f>
        <v>0</v>
      </c>
      <c r="M345" s="411">
        <v>12631.6</v>
      </c>
      <c r="N345" s="454"/>
    </row>
    <row r="346" spans="1:14" s="412" customFormat="1" ht="18.75" customHeight="1">
      <c r="A346" s="407"/>
      <c r="B346" s="306" t="s">
        <v>201</v>
      </c>
      <c r="C346" s="408" t="s">
        <v>588</v>
      </c>
      <c r="D346" s="409" t="s">
        <v>246</v>
      </c>
      <c r="E346" s="409"/>
      <c r="F346" s="307"/>
      <c r="G346" s="308"/>
      <c r="H346" s="308"/>
      <c r="I346" s="363"/>
      <c r="J346" s="310"/>
      <c r="K346" s="693">
        <f>K355+K347</f>
        <v>4313.2999999999993</v>
      </c>
      <c r="L346" s="411">
        <f>L355+L347</f>
        <v>28639.200000000001</v>
      </c>
      <c r="M346" s="411">
        <f>M355+M347</f>
        <v>32952.5</v>
      </c>
      <c r="N346" s="454"/>
    </row>
    <row r="347" spans="1:14" s="412" customFormat="1" ht="18.75" customHeight="1">
      <c r="A347" s="407"/>
      <c r="B347" s="306" t="s">
        <v>203</v>
      </c>
      <c r="C347" s="408" t="s">
        <v>588</v>
      </c>
      <c r="D347" s="409" t="s">
        <v>246</v>
      </c>
      <c r="E347" s="409" t="s">
        <v>57</v>
      </c>
      <c r="F347" s="307"/>
      <c r="G347" s="308"/>
      <c r="H347" s="308"/>
      <c r="I347" s="309"/>
      <c r="J347" s="310"/>
      <c r="K347" s="693">
        <f t="shared" ref="K347:M351" si="74">K348</f>
        <v>4072.7999999999997</v>
      </c>
      <c r="L347" s="411">
        <f t="shared" si="74"/>
        <v>28442</v>
      </c>
      <c r="M347" s="411">
        <f t="shared" si="74"/>
        <v>32514.799999999999</v>
      </c>
      <c r="N347" s="454"/>
    </row>
    <row r="348" spans="1:14" s="412" customFormat="1" ht="56.25" customHeight="1">
      <c r="A348" s="407"/>
      <c r="B348" s="306" t="s">
        <v>724</v>
      </c>
      <c r="C348" s="408" t="s">
        <v>588</v>
      </c>
      <c r="D348" s="409" t="s">
        <v>246</v>
      </c>
      <c r="E348" s="409" t="s">
        <v>57</v>
      </c>
      <c r="F348" s="307" t="s">
        <v>59</v>
      </c>
      <c r="G348" s="308" t="s">
        <v>62</v>
      </c>
      <c r="H348" s="308" t="s">
        <v>63</v>
      </c>
      <c r="I348" s="309" t="s">
        <v>64</v>
      </c>
      <c r="J348" s="310"/>
      <c r="K348" s="693">
        <f t="shared" si="74"/>
        <v>4072.7999999999997</v>
      </c>
      <c r="L348" s="411">
        <f t="shared" si="74"/>
        <v>28442</v>
      </c>
      <c r="M348" s="411">
        <f t="shared" si="74"/>
        <v>32514.799999999999</v>
      </c>
      <c r="N348" s="454"/>
    </row>
    <row r="349" spans="1:14" s="412" customFormat="1" ht="36.6" customHeight="1">
      <c r="A349" s="407"/>
      <c r="B349" s="306" t="s">
        <v>228</v>
      </c>
      <c r="C349" s="408" t="s">
        <v>588</v>
      </c>
      <c r="D349" s="409" t="s">
        <v>246</v>
      </c>
      <c r="E349" s="409" t="s">
        <v>57</v>
      </c>
      <c r="F349" s="307" t="s">
        <v>59</v>
      </c>
      <c r="G349" s="308" t="s">
        <v>65</v>
      </c>
      <c r="H349" s="308" t="s">
        <v>63</v>
      </c>
      <c r="I349" s="309" t="s">
        <v>64</v>
      </c>
      <c r="J349" s="310"/>
      <c r="K349" s="693">
        <f t="shared" si="74"/>
        <v>4072.7999999999997</v>
      </c>
      <c r="L349" s="411">
        <f t="shared" si="74"/>
        <v>28442</v>
      </c>
      <c r="M349" s="411">
        <f t="shared" si="74"/>
        <v>32514.799999999999</v>
      </c>
      <c r="N349" s="454"/>
    </row>
    <row r="350" spans="1:14" s="412" customFormat="1" ht="37.5" customHeight="1">
      <c r="A350" s="407"/>
      <c r="B350" s="306" t="s">
        <v>307</v>
      </c>
      <c r="C350" s="408" t="s">
        <v>588</v>
      </c>
      <c r="D350" s="409" t="s">
        <v>246</v>
      </c>
      <c r="E350" s="409" t="s">
        <v>57</v>
      </c>
      <c r="F350" s="307" t="s">
        <v>59</v>
      </c>
      <c r="G350" s="308" t="s">
        <v>65</v>
      </c>
      <c r="H350" s="308" t="s">
        <v>57</v>
      </c>
      <c r="I350" s="363" t="s">
        <v>64</v>
      </c>
      <c r="J350" s="310"/>
      <c r="K350" s="693">
        <f>K351</f>
        <v>4072.7999999999997</v>
      </c>
      <c r="L350" s="411">
        <f>L351+L353</f>
        <v>28442</v>
      </c>
      <c r="M350" s="411">
        <f>M351+M353</f>
        <v>32514.799999999999</v>
      </c>
      <c r="N350" s="454"/>
    </row>
    <row r="351" spans="1:14" s="412" customFormat="1" ht="37.5" customHeight="1">
      <c r="A351" s="407"/>
      <c r="B351" s="163" t="s">
        <v>230</v>
      </c>
      <c r="C351" s="408" t="s">
        <v>588</v>
      </c>
      <c r="D351" s="409" t="s">
        <v>246</v>
      </c>
      <c r="E351" s="409" t="s">
        <v>57</v>
      </c>
      <c r="F351" s="307" t="s">
        <v>59</v>
      </c>
      <c r="G351" s="308" t="s">
        <v>65</v>
      </c>
      <c r="H351" s="308" t="s">
        <v>57</v>
      </c>
      <c r="I351" s="363" t="s">
        <v>314</v>
      </c>
      <c r="J351" s="310"/>
      <c r="K351" s="693">
        <f t="shared" si="74"/>
        <v>4072.7999999999997</v>
      </c>
      <c r="L351" s="411">
        <f>L352</f>
        <v>-880</v>
      </c>
      <c r="M351" s="411">
        <f t="shared" si="74"/>
        <v>3192.7999999999997</v>
      </c>
      <c r="N351" s="454"/>
    </row>
    <row r="352" spans="1:14" s="412" customFormat="1" ht="56.25" customHeight="1">
      <c r="A352" s="407"/>
      <c r="B352" s="306" t="s">
        <v>225</v>
      </c>
      <c r="C352" s="408" t="s">
        <v>588</v>
      </c>
      <c r="D352" s="409" t="s">
        <v>246</v>
      </c>
      <c r="E352" s="409" t="s">
        <v>57</v>
      </c>
      <c r="F352" s="307" t="s">
        <v>59</v>
      </c>
      <c r="G352" s="308" t="s">
        <v>65</v>
      </c>
      <c r="H352" s="308" t="s">
        <v>57</v>
      </c>
      <c r="I352" s="363" t="s">
        <v>314</v>
      </c>
      <c r="J352" s="310" t="s">
        <v>226</v>
      </c>
      <c r="K352" s="693">
        <f>4067.7+5.1</f>
        <v>4072.7999999999997</v>
      </c>
      <c r="L352" s="165">
        <f>M352-K352</f>
        <v>-880</v>
      </c>
      <c r="M352" s="411">
        <f>4067.7+5.1-880</f>
        <v>3192.7999999999997</v>
      </c>
      <c r="N352" s="454"/>
    </row>
    <row r="353" spans="1:14" s="921" customFormat="1" ht="37.5">
      <c r="A353" s="911"/>
      <c r="B353" s="908" t="s">
        <v>1027</v>
      </c>
      <c r="C353" s="912" t="s">
        <v>588</v>
      </c>
      <c r="D353" s="913" t="s">
        <v>246</v>
      </c>
      <c r="E353" s="913" t="s">
        <v>57</v>
      </c>
      <c r="F353" s="914" t="s">
        <v>59</v>
      </c>
      <c r="G353" s="915" t="s">
        <v>65</v>
      </c>
      <c r="H353" s="915" t="s">
        <v>57</v>
      </c>
      <c r="I353" s="916" t="s">
        <v>1026</v>
      </c>
      <c r="J353" s="917"/>
      <c r="K353" s="918"/>
      <c r="L353" s="901">
        <f>L354</f>
        <v>29322</v>
      </c>
      <c r="M353" s="919">
        <f>M354</f>
        <v>29322</v>
      </c>
      <c r="N353" s="920"/>
    </row>
    <row r="354" spans="1:14" s="412" customFormat="1" ht="56.25">
      <c r="A354" s="407"/>
      <c r="B354" s="863" t="s">
        <v>225</v>
      </c>
      <c r="C354" s="864" t="s">
        <v>588</v>
      </c>
      <c r="D354" s="865" t="s">
        <v>246</v>
      </c>
      <c r="E354" s="865" t="s">
        <v>57</v>
      </c>
      <c r="F354" s="866" t="s">
        <v>59</v>
      </c>
      <c r="G354" s="867" t="s">
        <v>65</v>
      </c>
      <c r="H354" s="867" t="s">
        <v>57</v>
      </c>
      <c r="I354" s="868" t="s">
        <v>1026</v>
      </c>
      <c r="J354" s="869" t="s">
        <v>226</v>
      </c>
      <c r="K354" s="870"/>
      <c r="L354" s="881">
        <f>M354-K354</f>
        <v>29322</v>
      </c>
      <c r="M354" s="871">
        <f>28442+880</f>
        <v>29322</v>
      </c>
      <c r="N354" s="454"/>
    </row>
    <row r="355" spans="1:14" s="412" customFormat="1" ht="18.75" customHeight="1">
      <c r="A355" s="407"/>
      <c r="B355" s="306" t="s">
        <v>205</v>
      </c>
      <c r="C355" s="408" t="s">
        <v>588</v>
      </c>
      <c r="D355" s="409" t="s">
        <v>246</v>
      </c>
      <c r="E355" s="409" t="s">
        <v>59</v>
      </c>
      <c r="F355" s="307"/>
      <c r="G355" s="308"/>
      <c r="H355" s="308"/>
      <c r="I355" s="363"/>
      <c r="J355" s="310"/>
      <c r="K355" s="693">
        <f t="shared" ref="K355:M359" si="75">K356</f>
        <v>240.5</v>
      </c>
      <c r="L355" s="738">
        <f t="shared" si="75"/>
        <v>197.2</v>
      </c>
      <c r="M355" s="411">
        <f t="shared" si="75"/>
        <v>437.7</v>
      </c>
      <c r="N355" s="454"/>
    </row>
    <row r="356" spans="1:14" s="412" customFormat="1" ht="56.25" customHeight="1">
      <c r="A356" s="407"/>
      <c r="B356" s="306" t="s">
        <v>227</v>
      </c>
      <c r="C356" s="408" t="s">
        <v>588</v>
      </c>
      <c r="D356" s="409" t="s">
        <v>246</v>
      </c>
      <c r="E356" s="409" t="s">
        <v>59</v>
      </c>
      <c r="F356" s="307" t="s">
        <v>59</v>
      </c>
      <c r="G356" s="308" t="s">
        <v>62</v>
      </c>
      <c r="H356" s="308" t="s">
        <v>63</v>
      </c>
      <c r="I356" s="309" t="s">
        <v>64</v>
      </c>
      <c r="J356" s="310"/>
      <c r="K356" s="693">
        <f t="shared" si="75"/>
        <v>240.5</v>
      </c>
      <c r="L356" s="411">
        <f t="shared" si="75"/>
        <v>197.2</v>
      </c>
      <c r="M356" s="411">
        <f t="shared" si="75"/>
        <v>437.7</v>
      </c>
      <c r="N356" s="454"/>
    </row>
    <row r="357" spans="1:14" s="412" customFormat="1" ht="37.5" customHeight="1">
      <c r="A357" s="407"/>
      <c r="B357" s="306" t="s">
        <v>228</v>
      </c>
      <c r="C357" s="408" t="s">
        <v>588</v>
      </c>
      <c r="D357" s="409" t="s">
        <v>246</v>
      </c>
      <c r="E357" s="409" t="s">
        <v>59</v>
      </c>
      <c r="F357" s="307" t="s">
        <v>59</v>
      </c>
      <c r="G357" s="308" t="s">
        <v>65</v>
      </c>
      <c r="H357" s="308" t="s">
        <v>63</v>
      </c>
      <c r="I357" s="309" t="s">
        <v>64</v>
      </c>
      <c r="J357" s="310"/>
      <c r="K357" s="693">
        <f t="shared" si="75"/>
        <v>240.5</v>
      </c>
      <c r="L357" s="411">
        <f t="shared" si="75"/>
        <v>197.2</v>
      </c>
      <c r="M357" s="411">
        <f t="shared" si="75"/>
        <v>437.7</v>
      </c>
      <c r="N357" s="454"/>
    </row>
    <row r="358" spans="1:14" s="412" customFormat="1" ht="18.75" customHeight="1">
      <c r="A358" s="407"/>
      <c r="B358" s="306" t="s">
        <v>312</v>
      </c>
      <c r="C358" s="408" t="s">
        <v>588</v>
      </c>
      <c r="D358" s="409" t="s">
        <v>246</v>
      </c>
      <c r="E358" s="409" t="s">
        <v>59</v>
      </c>
      <c r="F358" s="307" t="s">
        <v>59</v>
      </c>
      <c r="G358" s="308" t="s">
        <v>65</v>
      </c>
      <c r="H358" s="308" t="s">
        <v>59</v>
      </c>
      <c r="I358" s="309" t="s">
        <v>64</v>
      </c>
      <c r="J358" s="310"/>
      <c r="K358" s="693">
        <f t="shared" si="75"/>
        <v>240.5</v>
      </c>
      <c r="L358" s="411">
        <f t="shared" si="75"/>
        <v>197.2</v>
      </c>
      <c r="M358" s="411">
        <f t="shared" si="75"/>
        <v>437.7</v>
      </c>
      <c r="N358" s="454"/>
    </row>
    <row r="359" spans="1:14" s="412" customFormat="1" ht="37.5" customHeight="1">
      <c r="A359" s="407"/>
      <c r="B359" s="306" t="s">
        <v>230</v>
      </c>
      <c r="C359" s="408" t="s">
        <v>588</v>
      </c>
      <c r="D359" s="409" t="s">
        <v>246</v>
      </c>
      <c r="E359" s="409" t="s">
        <v>59</v>
      </c>
      <c r="F359" s="307" t="s">
        <v>59</v>
      </c>
      <c r="G359" s="308" t="s">
        <v>65</v>
      </c>
      <c r="H359" s="308" t="s">
        <v>59</v>
      </c>
      <c r="I359" s="309" t="s">
        <v>314</v>
      </c>
      <c r="J359" s="310"/>
      <c r="K359" s="693">
        <f t="shared" si="75"/>
        <v>240.5</v>
      </c>
      <c r="L359" s="411">
        <f t="shared" si="75"/>
        <v>197.2</v>
      </c>
      <c r="M359" s="411">
        <f t="shared" si="75"/>
        <v>437.7</v>
      </c>
      <c r="N359" s="454"/>
    </row>
    <row r="360" spans="1:14" s="412" customFormat="1" ht="56.25" customHeight="1">
      <c r="A360" s="407"/>
      <c r="B360" s="306" t="s">
        <v>225</v>
      </c>
      <c r="C360" s="408" t="s">
        <v>588</v>
      </c>
      <c r="D360" s="409" t="s">
        <v>246</v>
      </c>
      <c r="E360" s="409" t="s">
        <v>59</v>
      </c>
      <c r="F360" s="307" t="s">
        <v>59</v>
      </c>
      <c r="G360" s="308" t="s">
        <v>65</v>
      </c>
      <c r="H360" s="308" t="s">
        <v>59</v>
      </c>
      <c r="I360" s="309" t="s">
        <v>314</v>
      </c>
      <c r="J360" s="310" t="s">
        <v>226</v>
      </c>
      <c r="K360" s="851">
        <f>1322.9-1082.4</f>
        <v>240.5</v>
      </c>
      <c r="L360" s="881">
        <f>M360-K360</f>
        <v>197.2</v>
      </c>
      <c r="M360" s="533">
        <f>1322.9-1082.4+197.2</f>
        <v>437.7</v>
      </c>
      <c r="N360" s="454"/>
    </row>
    <row r="361" spans="1:14" s="423" customFormat="1" ht="18.75" customHeight="1">
      <c r="A361" s="420"/>
      <c r="B361" s="421" t="s">
        <v>140</v>
      </c>
      <c r="C361" s="422" t="s">
        <v>588</v>
      </c>
      <c r="D361" s="361" t="s">
        <v>125</v>
      </c>
      <c r="E361" s="409"/>
      <c r="F361" s="358"/>
      <c r="G361" s="359"/>
      <c r="H361" s="359"/>
      <c r="I361" s="360"/>
      <c r="J361" s="361"/>
      <c r="K361" s="852" t="e">
        <f t="shared" ref="K361:M364" si="76">K362</f>
        <v>#REF!</v>
      </c>
      <c r="L361" s="473">
        <f t="shared" si="76"/>
        <v>0</v>
      </c>
      <c r="M361" s="473">
        <f t="shared" si="76"/>
        <v>52572.799999999996</v>
      </c>
    </row>
    <row r="362" spans="1:14" s="423" customFormat="1" ht="18.75" customHeight="1">
      <c r="A362" s="420"/>
      <c r="B362" s="357" t="s">
        <v>215</v>
      </c>
      <c r="C362" s="422" t="s">
        <v>588</v>
      </c>
      <c r="D362" s="361" t="s">
        <v>125</v>
      </c>
      <c r="E362" s="361" t="s">
        <v>72</v>
      </c>
      <c r="F362" s="358"/>
      <c r="G362" s="359"/>
      <c r="H362" s="359"/>
      <c r="I362" s="360"/>
      <c r="J362" s="361"/>
      <c r="K362" s="852" t="e">
        <f t="shared" si="76"/>
        <v>#REF!</v>
      </c>
      <c r="L362" s="473">
        <f t="shared" si="76"/>
        <v>0</v>
      </c>
      <c r="M362" s="473">
        <f t="shared" si="76"/>
        <v>52572.799999999996</v>
      </c>
    </row>
    <row r="363" spans="1:14" s="423" customFormat="1" ht="56.25" customHeight="1">
      <c r="A363" s="420"/>
      <c r="B363" s="424" t="s">
        <v>252</v>
      </c>
      <c r="C363" s="422" t="s">
        <v>588</v>
      </c>
      <c r="D363" s="361" t="s">
        <v>125</v>
      </c>
      <c r="E363" s="361" t="s">
        <v>72</v>
      </c>
      <c r="F363" s="358" t="s">
        <v>100</v>
      </c>
      <c r="G363" s="359" t="s">
        <v>62</v>
      </c>
      <c r="H363" s="359" t="s">
        <v>63</v>
      </c>
      <c r="I363" s="360" t="s">
        <v>64</v>
      </c>
      <c r="J363" s="361"/>
      <c r="K363" s="852" t="e">
        <f t="shared" si="76"/>
        <v>#REF!</v>
      </c>
      <c r="L363" s="473">
        <f t="shared" si="76"/>
        <v>0</v>
      </c>
      <c r="M363" s="473">
        <f t="shared" si="76"/>
        <v>52572.799999999996</v>
      </c>
    </row>
    <row r="364" spans="1:14" s="423" customFormat="1" ht="37.5" customHeight="1">
      <c r="A364" s="420"/>
      <c r="B364" s="357" t="s">
        <v>404</v>
      </c>
      <c r="C364" s="422" t="s">
        <v>588</v>
      </c>
      <c r="D364" s="361" t="s">
        <v>125</v>
      </c>
      <c r="E364" s="361" t="s">
        <v>72</v>
      </c>
      <c r="F364" s="358" t="s">
        <v>100</v>
      </c>
      <c r="G364" s="359" t="s">
        <v>65</v>
      </c>
      <c r="H364" s="359" t="s">
        <v>63</v>
      </c>
      <c r="I364" s="360" t="s">
        <v>64</v>
      </c>
      <c r="J364" s="361"/>
      <c r="K364" s="852" t="e">
        <f t="shared" si="76"/>
        <v>#REF!</v>
      </c>
      <c r="L364" s="473">
        <f t="shared" si="76"/>
        <v>0</v>
      </c>
      <c r="M364" s="473">
        <f t="shared" si="76"/>
        <v>52572.799999999996</v>
      </c>
    </row>
    <row r="365" spans="1:14" s="425" customFormat="1" ht="93.75" customHeight="1">
      <c r="A365" s="420"/>
      <c r="B365" s="357" t="s">
        <v>352</v>
      </c>
      <c r="C365" s="422" t="s">
        <v>588</v>
      </c>
      <c r="D365" s="361" t="s">
        <v>125</v>
      </c>
      <c r="E365" s="361" t="s">
        <v>72</v>
      </c>
      <c r="F365" s="358" t="s">
        <v>100</v>
      </c>
      <c r="G365" s="359" t="s">
        <v>65</v>
      </c>
      <c r="H365" s="359" t="s">
        <v>59</v>
      </c>
      <c r="I365" s="360" t="s">
        <v>64</v>
      </c>
      <c r="J365" s="361"/>
      <c r="K365" s="852" t="e">
        <f>#REF!+K366</f>
        <v>#REF!</v>
      </c>
      <c r="L365" s="473">
        <f>L366</f>
        <v>0</v>
      </c>
      <c r="M365" s="473">
        <f>M366</f>
        <v>52572.799999999996</v>
      </c>
    </row>
    <row r="366" spans="1:14" s="412" customFormat="1" ht="110.25" customHeight="1">
      <c r="A366" s="407"/>
      <c r="B366" s="362" t="s">
        <v>590</v>
      </c>
      <c r="C366" s="408" t="s">
        <v>588</v>
      </c>
      <c r="D366" s="409" t="s">
        <v>125</v>
      </c>
      <c r="E366" s="409" t="s">
        <v>72</v>
      </c>
      <c r="F366" s="307" t="s">
        <v>100</v>
      </c>
      <c r="G366" s="308" t="s">
        <v>65</v>
      </c>
      <c r="H366" s="308" t="s">
        <v>59</v>
      </c>
      <c r="I366" s="363" t="s">
        <v>591</v>
      </c>
      <c r="J366" s="310"/>
      <c r="K366" s="693">
        <f>K367</f>
        <v>52572.799999999996</v>
      </c>
      <c r="L366" s="411">
        <f>L367</f>
        <v>0</v>
      </c>
      <c r="M366" s="411">
        <f>M367</f>
        <v>52572.799999999996</v>
      </c>
      <c r="N366" s="454"/>
    </row>
    <row r="367" spans="1:14" s="412" customFormat="1" ht="56.25" customHeight="1">
      <c r="A367" s="407"/>
      <c r="B367" s="362" t="s">
        <v>225</v>
      </c>
      <c r="C367" s="408" t="s">
        <v>588</v>
      </c>
      <c r="D367" s="409" t="s">
        <v>125</v>
      </c>
      <c r="E367" s="409" t="s">
        <v>72</v>
      </c>
      <c r="F367" s="307" t="s">
        <v>100</v>
      </c>
      <c r="G367" s="308" t="s">
        <v>65</v>
      </c>
      <c r="H367" s="308" t="s">
        <v>59</v>
      </c>
      <c r="I367" s="363" t="s">
        <v>591</v>
      </c>
      <c r="J367" s="310" t="s">
        <v>226</v>
      </c>
      <c r="K367" s="693">
        <f>32481.8+10813.4+9277.6</f>
        <v>52572.799999999996</v>
      </c>
      <c r="L367" s="165">
        <f>M367-K367</f>
        <v>0</v>
      </c>
      <c r="M367" s="411">
        <f>32481.8+10813.4+9277.6</f>
        <v>52572.799999999996</v>
      </c>
      <c r="N367" s="454"/>
    </row>
    <row r="368" spans="1:14" s="412" customFormat="1" ht="18" customHeight="1">
      <c r="A368" s="407"/>
      <c r="B368" s="362"/>
      <c r="C368" s="449"/>
      <c r="D368" s="450"/>
      <c r="E368" s="450"/>
      <c r="F368" s="451"/>
      <c r="G368" s="452"/>
      <c r="H368" s="452"/>
      <c r="I368" s="453"/>
      <c r="J368" s="450"/>
      <c r="K368" s="693"/>
      <c r="L368" s="715"/>
      <c r="M368" s="411"/>
    </row>
    <row r="369" spans="1:15" s="395" customFormat="1" ht="52.15" customHeight="1">
      <c r="A369" s="390">
        <v>5</v>
      </c>
      <c r="B369" s="157" t="s">
        <v>23</v>
      </c>
      <c r="C369" s="158" t="s">
        <v>609</v>
      </c>
      <c r="D369" s="159"/>
      <c r="E369" s="159"/>
      <c r="F369" s="160"/>
      <c r="G369" s="161"/>
      <c r="H369" s="161"/>
      <c r="I369" s="162"/>
      <c r="J369" s="159"/>
      <c r="K369" s="691">
        <f>K383+K518+K370</f>
        <v>1069838.1600000001</v>
      </c>
      <c r="L369" s="188">
        <f>L383+L518+L370</f>
        <v>19789.500000000004</v>
      </c>
      <c r="M369" s="188">
        <f>M383+M518+M370</f>
        <v>1089627.6599999999</v>
      </c>
      <c r="N369" s="426"/>
      <c r="O369" s="426"/>
    </row>
    <row r="370" spans="1:15" s="395" customFormat="1" ht="24.75" customHeight="1">
      <c r="A370" s="390"/>
      <c r="B370" s="651" t="s">
        <v>56</v>
      </c>
      <c r="C370" s="664" t="s">
        <v>609</v>
      </c>
      <c r="D370" s="655" t="s">
        <v>57</v>
      </c>
      <c r="E370" s="300"/>
      <c r="F370" s="665"/>
      <c r="G370" s="314"/>
      <c r="H370" s="314"/>
      <c r="I370" s="315"/>
      <c r="J370" s="300"/>
      <c r="K370" s="692">
        <f t="shared" ref="K370:M371" si="77">K371</f>
        <v>290.60000000000002</v>
      </c>
      <c r="L370" s="579">
        <f t="shared" si="77"/>
        <v>12.800000000000011</v>
      </c>
      <c r="M370" s="579">
        <f t="shared" si="77"/>
        <v>303.39999999999998</v>
      </c>
      <c r="N370" s="426"/>
      <c r="O370" s="426"/>
    </row>
    <row r="371" spans="1:15" s="395" customFormat="1" ht="27" customHeight="1">
      <c r="A371" s="390"/>
      <c r="B371" s="651" t="s">
        <v>91</v>
      </c>
      <c r="C371" s="666" t="s">
        <v>609</v>
      </c>
      <c r="D371" s="655" t="s">
        <v>57</v>
      </c>
      <c r="E371" s="655" t="s">
        <v>92</v>
      </c>
      <c r="F371" s="665"/>
      <c r="G371" s="314"/>
      <c r="H371" s="314"/>
      <c r="I371" s="315"/>
      <c r="J371" s="300"/>
      <c r="K371" s="692">
        <f t="shared" si="77"/>
        <v>290.60000000000002</v>
      </c>
      <c r="L371" s="579">
        <f t="shared" si="77"/>
        <v>12.800000000000011</v>
      </c>
      <c r="M371" s="579">
        <f t="shared" si="77"/>
        <v>303.39999999999998</v>
      </c>
      <c r="N371" s="426"/>
      <c r="O371" s="426"/>
    </row>
    <row r="372" spans="1:15" s="395" customFormat="1" ht="52.15" customHeight="1">
      <c r="A372" s="390"/>
      <c r="B372" s="651" t="s">
        <v>227</v>
      </c>
      <c r="C372" s="664" t="s">
        <v>609</v>
      </c>
      <c r="D372" s="655" t="s">
        <v>57</v>
      </c>
      <c r="E372" s="655" t="s">
        <v>92</v>
      </c>
      <c r="F372" s="652" t="s">
        <v>59</v>
      </c>
      <c r="G372" s="653" t="s">
        <v>62</v>
      </c>
      <c r="H372" s="653" t="s">
        <v>63</v>
      </c>
      <c r="I372" s="654" t="s">
        <v>64</v>
      </c>
      <c r="J372" s="655"/>
      <c r="K372" s="692">
        <f>K373</f>
        <v>290.60000000000002</v>
      </c>
      <c r="L372" s="579">
        <f>L373</f>
        <v>12.800000000000011</v>
      </c>
      <c r="M372" s="579">
        <f>M373</f>
        <v>303.39999999999998</v>
      </c>
      <c r="N372" s="426"/>
      <c r="O372" s="426"/>
    </row>
    <row r="373" spans="1:15" s="395" customFormat="1" ht="52.15" customHeight="1">
      <c r="A373" s="390"/>
      <c r="B373" s="618" t="s">
        <v>234</v>
      </c>
      <c r="C373" s="664" t="s">
        <v>609</v>
      </c>
      <c r="D373" s="655" t="s">
        <v>57</v>
      </c>
      <c r="E373" s="655" t="s">
        <v>92</v>
      </c>
      <c r="F373" s="652" t="s">
        <v>59</v>
      </c>
      <c r="G373" s="653" t="s">
        <v>50</v>
      </c>
      <c r="H373" s="653" t="s">
        <v>63</v>
      </c>
      <c r="I373" s="654" t="s">
        <v>64</v>
      </c>
      <c r="J373" s="655"/>
      <c r="K373" s="692">
        <f>K374+K377+K380</f>
        <v>290.60000000000002</v>
      </c>
      <c r="L373" s="579">
        <f>L374+L377+L380</f>
        <v>12.800000000000011</v>
      </c>
      <c r="M373" s="579">
        <f>M374+M377+M380</f>
        <v>303.39999999999998</v>
      </c>
      <c r="N373" s="426"/>
      <c r="O373" s="426"/>
    </row>
    <row r="374" spans="1:15" s="395" customFormat="1" ht="36" customHeight="1">
      <c r="A374" s="390"/>
      <c r="B374" s="651" t="s">
        <v>428</v>
      </c>
      <c r="C374" s="664" t="s">
        <v>609</v>
      </c>
      <c r="D374" s="655" t="s">
        <v>57</v>
      </c>
      <c r="E374" s="655" t="s">
        <v>92</v>
      </c>
      <c r="F374" s="652" t="s">
        <v>59</v>
      </c>
      <c r="G374" s="653" t="s">
        <v>50</v>
      </c>
      <c r="H374" s="653" t="s">
        <v>84</v>
      </c>
      <c r="I374" s="654" t="s">
        <v>64</v>
      </c>
      <c r="J374" s="655"/>
      <c r="K374" s="692">
        <f t="shared" ref="K374:M375" si="78">K375</f>
        <v>162.19999999999999</v>
      </c>
      <c r="L374" s="579">
        <f t="shared" si="78"/>
        <v>12.800000000000011</v>
      </c>
      <c r="M374" s="579">
        <f t="shared" si="78"/>
        <v>175</v>
      </c>
      <c r="N374" s="426"/>
      <c r="O374" s="426"/>
    </row>
    <row r="375" spans="1:15" s="395" customFormat="1" ht="52.15" customHeight="1">
      <c r="A375" s="390"/>
      <c r="B375" s="618" t="s">
        <v>816</v>
      </c>
      <c r="C375" s="666" t="s">
        <v>609</v>
      </c>
      <c r="D375" s="655" t="s">
        <v>57</v>
      </c>
      <c r="E375" s="655" t="s">
        <v>92</v>
      </c>
      <c r="F375" s="652" t="s">
        <v>59</v>
      </c>
      <c r="G375" s="653" t="s">
        <v>50</v>
      </c>
      <c r="H375" s="653" t="s">
        <v>84</v>
      </c>
      <c r="I375" s="654" t="s">
        <v>126</v>
      </c>
      <c r="J375" s="655"/>
      <c r="K375" s="692">
        <f>K376</f>
        <v>162.19999999999999</v>
      </c>
      <c r="L375" s="579">
        <f t="shared" si="78"/>
        <v>12.800000000000011</v>
      </c>
      <c r="M375" s="579">
        <f>M376</f>
        <v>175</v>
      </c>
      <c r="N375" s="426"/>
      <c r="O375" s="426"/>
    </row>
    <row r="376" spans="1:15" s="395" customFormat="1" ht="52.15" customHeight="1">
      <c r="A376" s="390"/>
      <c r="B376" s="618" t="s">
        <v>75</v>
      </c>
      <c r="C376" s="666" t="s">
        <v>609</v>
      </c>
      <c r="D376" s="655" t="s">
        <v>57</v>
      </c>
      <c r="E376" s="655" t="s">
        <v>92</v>
      </c>
      <c r="F376" s="652" t="s">
        <v>59</v>
      </c>
      <c r="G376" s="653" t="s">
        <v>50</v>
      </c>
      <c r="H376" s="653" t="s">
        <v>84</v>
      </c>
      <c r="I376" s="654" t="s">
        <v>126</v>
      </c>
      <c r="J376" s="655" t="s">
        <v>76</v>
      </c>
      <c r="K376" s="692">
        <f>100.4+61.8</f>
        <v>162.19999999999999</v>
      </c>
      <c r="L376" s="165">
        <f>M376-K376</f>
        <v>12.800000000000011</v>
      </c>
      <c r="M376" s="761">
        <f>100.4+61.8+12.8</f>
        <v>175</v>
      </c>
      <c r="N376" s="426"/>
      <c r="O376" s="426"/>
    </row>
    <row r="377" spans="1:15" s="395" customFormat="1" ht="33.75" customHeight="1">
      <c r="A377" s="390"/>
      <c r="B377" s="618" t="s">
        <v>799</v>
      </c>
      <c r="C377" s="664" t="s">
        <v>609</v>
      </c>
      <c r="D377" s="655" t="s">
        <v>57</v>
      </c>
      <c r="E377" s="655" t="s">
        <v>92</v>
      </c>
      <c r="F377" s="652" t="s">
        <v>59</v>
      </c>
      <c r="G377" s="653" t="s">
        <v>50</v>
      </c>
      <c r="H377" s="653" t="s">
        <v>72</v>
      </c>
      <c r="I377" s="654" t="s">
        <v>64</v>
      </c>
      <c r="J377" s="655"/>
      <c r="K377" s="692">
        <f t="shared" ref="K377:M378" si="79">K378</f>
        <v>25</v>
      </c>
      <c r="L377" s="579">
        <f t="shared" si="79"/>
        <v>0</v>
      </c>
      <c r="M377" s="579">
        <f t="shared" si="79"/>
        <v>25</v>
      </c>
      <c r="N377" s="426"/>
      <c r="O377" s="426"/>
    </row>
    <row r="378" spans="1:15" s="395" customFormat="1" ht="25.5" customHeight="1">
      <c r="A378" s="390"/>
      <c r="B378" s="618" t="s">
        <v>817</v>
      </c>
      <c r="C378" s="666" t="s">
        <v>609</v>
      </c>
      <c r="D378" s="655" t="s">
        <v>57</v>
      </c>
      <c r="E378" s="655" t="s">
        <v>92</v>
      </c>
      <c r="F378" s="652" t="s">
        <v>59</v>
      </c>
      <c r="G378" s="653" t="s">
        <v>50</v>
      </c>
      <c r="H378" s="653" t="s">
        <v>72</v>
      </c>
      <c r="I378" s="654" t="s">
        <v>798</v>
      </c>
      <c r="J378" s="655"/>
      <c r="K378" s="692">
        <f t="shared" si="79"/>
        <v>25</v>
      </c>
      <c r="L378" s="579">
        <f t="shared" si="79"/>
        <v>0</v>
      </c>
      <c r="M378" s="579">
        <f t="shared" si="79"/>
        <v>25</v>
      </c>
      <c r="N378" s="426"/>
      <c r="O378" s="426"/>
    </row>
    <row r="379" spans="1:15" s="395" customFormat="1" ht="52.15" customHeight="1">
      <c r="A379" s="390"/>
      <c r="B379" s="618" t="s">
        <v>75</v>
      </c>
      <c r="C379" s="666" t="s">
        <v>609</v>
      </c>
      <c r="D379" s="655" t="s">
        <v>57</v>
      </c>
      <c r="E379" s="655" t="s">
        <v>92</v>
      </c>
      <c r="F379" s="652" t="s">
        <v>59</v>
      </c>
      <c r="G379" s="653" t="s">
        <v>50</v>
      </c>
      <c r="H379" s="653" t="s">
        <v>72</v>
      </c>
      <c r="I379" s="654" t="s">
        <v>798</v>
      </c>
      <c r="J379" s="655" t="s">
        <v>76</v>
      </c>
      <c r="K379" s="692">
        <v>25</v>
      </c>
      <c r="L379" s="165">
        <f>M379-K379</f>
        <v>0</v>
      </c>
      <c r="M379" s="579">
        <v>25</v>
      </c>
      <c r="N379" s="426"/>
      <c r="O379" s="426"/>
    </row>
    <row r="380" spans="1:15" s="395" customFormat="1" ht="37.5" customHeight="1">
      <c r="A380" s="390"/>
      <c r="B380" s="618" t="s">
        <v>813</v>
      </c>
      <c r="C380" s="666" t="s">
        <v>609</v>
      </c>
      <c r="D380" s="655" t="s">
        <v>57</v>
      </c>
      <c r="E380" s="655" t="s">
        <v>92</v>
      </c>
      <c r="F380" s="652" t="s">
        <v>59</v>
      </c>
      <c r="G380" s="653" t="s">
        <v>50</v>
      </c>
      <c r="H380" s="653" t="s">
        <v>86</v>
      </c>
      <c r="I380" s="746" t="s">
        <v>64</v>
      </c>
      <c r="J380" s="288"/>
      <c r="K380" s="692">
        <f t="shared" ref="K380:M381" si="80">K381</f>
        <v>103.4</v>
      </c>
      <c r="L380" s="579">
        <f t="shared" si="80"/>
        <v>0</v>
      </c>
      <c r="M380" s="579">
        <f t="shared" si="80"/>
        <v>103.4</v>
      </c>
      <c r="N380" s="426"/>
      <c r="O380" s="426"/>
    </row>
    <row r="381" spans="1:15" s="395" customFormat="1" ht="52.15" customHeight="1">
      <c r="A381" s="390"/>
      <c r="B381" s="618" t="s">
        <v>148</v>
      </c>
      <c r="C381" s="666" t="s">
        <v>609</v>
      </c>
      <c r="D381" s="655" t="s">
        <v>57</v>
      </c>
      <c r="E381" s="655" t="s">
        <v>92</v>
      </c>
      <c r="F381" s="652" t="s">
        <v>59</v>
      </c>
      <c r="G381" s="653" t="s">
        <v>50</v>
      </c>
      <c r="H381" s="653" t="s">
        <v>86</v>
      </c>
      <c r="I381" s="746" t="s">
        <v>111</v>
      </c>
      <c r="J381" s="288"/>
      <c r="K381" s="692">
        <f>K382</f>
        <v>103.4</v>
      </c>
      <c r="L381" s="579">
        <f t="shared" si="80"/>
        <v>0</v>
      </c>
      <c r="M381" s="579">
        <f>M382</f>
        <v>103.4</v>
      </c>
      <c r="N381" s="426"/>
      <c r="O381" s="426"/>
    </row>
    <row r="382" spans="1:15" s="395" customFormat="1" ht="52.15" customHeight="1">
      <c r="A382" s="390"/>
      <c r="B382" s="618" t="s">
        <v>75</v>
      </c>
      <c r="C382" s="666" t="s">
        <v>609</v>
      </c>
      <c r="D382" s="655" t="s">
        <v>57</v>
      </c>
      <c r="E382" s="655" t="s">
        <v>92</v>
      </c>
      <c r="F382" s="652" t="s">
        <v>59</v>
      </c>
      <c r="G382" s="653" t="s">
        <v>50</v>
      </c>
      <c r="H382" s="653" t="s">
        <v>86</v>
      </c>
      <c r="I382" s="746" t="s">
        <v>111</v>
      </c>
      <c r="J382" s="288" t="s">
        <v>76</v>
      </c>
      <c r="K382" s="692">
        <v>103.4</v>
      </c>
      <c r="L382" s="165">
        <f>M382-K382</f>
        <v>0</v>
      </c>
      <c r="M382" s="579">
        <v>103.4</v>
      </c>
      <c r="N382" s="426"/>
      <c r="O382" s="426"/>
    </row>
    <row r="383" spans="1:15" s="396" customFormat="1" ht="18" customHeight="1">
      <c r="A383" s="150"/>
      <c r="B383" s="163" t="s">
        <v>201</v>
      </c>
      <c r="C383" s="164" t="s">
        <v>609</v>
      </c>
      <c r="D383" s="149" t="s">
        <v>246</v>
      </c>
      <c r="E383" s="149"/>
      <c r="F383" s="750"/>
      <c r="G383" s="751"/>
      <c r="H383" s="751"/>
      <c r="I383" s="752"/>
      <c r="J383" s="149"/>
      <c r="K383" s="692">
        <f>K384+K410+K494+K460+K486</f>
        <v>1061513.3600000001</v>
      </c>
      <c r="L383" s="165">
        <f>L384+L410+L494+L460+L486</f>
        <v>19776.700000000004</v>
      </c>
      <c r="M383" s="165">
        <f>M384+M410+M494+M460+M486</f>
        <v>1081290.06</v>
      </c>
      <c r="N383" s="427"/>
      <c r="O383" s="427"/>
    </row>
    <row r="384" spans="1:15" s="395" customFormat="1" ht="18" customHeight="1">
      <c r="A384" s="150"/>
      <c r="B384" s="163" t="s">
        <v>203</v>
      </c>
      <c r="C384" s="164" t="s">
        <v>609</v>
      </c>
      <c r="D384" s="149" t="s">
        <v>246</v>
      </c>
      <c r="E384" s="149" t="s">
        <v>57</v>
      </c>
      <c r="F384" s="750"/>
      <c r="G384" s="751"/>
      <c r="H384" s="751"/>
      <c r="I384" s="752"/>
      <c r="J384" s="149"/>
      <c r="K384" s="692">
        <f>K385+K405</f>
        <v>320575.89999999997</v>
      </c>
      <c r="L384" s="165">
        <f>L385+L405</f>
        <v>5039.400000000006</v>
      </c>
      <c r="M384" s="165">
        <f>M385+M405</f>
        <v>325615.3</v>
      </c>
    </row>
    <row r="385" spans="1:14" s="395" customFormat="1" ht="54" customHeight="1">
      <c r="A385" s="150"/>
      <c r="B385" s="163" t="s">
        <v>227</v>
      </c>
      <c r="C385" s="164" t="s">
        <v>609</v>
      </c>
      <c r="D385" s="149" t="s">
        <v>246</v>
      </c>
      <c r="E385" s="149" t="s">
        <v>57</v>
      </c>
      <c r="F385" s="750" t="s">
        <v>59</v>
      </c>
      <c r="G385" s="751" t="s">
        <v>62</v>
      </c>
      <c r="H385" s="751" t="s">
        <v>63</v>
      </c>
      <c r="I385" s="752" t="s">
        <v>64</v>
      </c>
      <c r="J385" s="149"/>
      <c r="K385" s="692">
        <f t="shared" ref="K385:M385" si="81">K386</f>
        <v>320524.59999999998</v>
      </c>
      <c r="L385" s="165">
        <f t="shared" si="81"/>
        <v>5039.400000000006</v>
      </c>
      <c r="M385" s="165">
        <f t="shared" si="81"/>
        <v>325564</v>
      </c>
    </row>
    <row r="386" spans="1:14" s="395" customFormat="1" ht="36" customHeight="1">
      <c r="A386" s="150"/>
      <c r="B386" s="163" t="s">
        <v>228</v>
      </c>
      <c r="C386" s="164" t="s">
        <v>609</v>
      </c>
      <c r="D386" s="149" t="s">
        <v>246</v>
      </c>
      <c r="E386" s="149" t="s">
        <v>57</v>
      </c>
      <c r="F386" s="750" t="s">
        <v>59</v>
      </c>
      <c r="G386" s="751" t="s">
        <v>65</v>
      </c>
      <c r="H386" s="751" t="s">
        <v>63</v>
      </c>
      <c r="I386" s="752" t="s">
        <v>64</v>
      </c>
      <c r="J386" s="149"/>
      <c r="K386" s="692">
        <f>K387+K402</f>
        <v>320524.59999999998</v>
      </c>
      <c r="L386" s="165">
        <f>L387+L402</f>
        <v>5039.400000000006</v>
      </c>
      <c r="M386" s="165">
        <f>M387+M402</f>
        <v>325564</v>
      </c>
    </row>
    <row r="387" spans="1:14" s="395" customFormat="1" ht="36" customHeight="1">
      <c r="A387" s="150"/>
      <c r="B387" s="163" t="s">
        <v>307</v>
      </c>
      <c r="C387" s="164" t="s">
        <v>609</v>
      </c>
      <c r="D387" s="149" t="s">
        <v>246</v>
      </c>
      <c r="E387" s="149" t="s">
        <v>57</v>
      </c>
      <c r="F387" s="750" t="s">
        <v>59</v>
      </c>
      <c r="G387" s="751" t="s">
        <v>65</v>
      </c>
      <c r="H387" s="751" t="s">
        <v>57</v>
      </c>
      <c r="I387" s="752" t="s">
        <v>64</v>
      </c>
      <c r="J387" s="149"/>
      <c r="K387" s="692">
        <f>K396+K398+K388+K392+K390+K400+K394</f>
        <v>320374.59999999998</v>
      </c>
      <c r="L387" s="165">
        <f t="shared" ref="L387:M387" si="82">L396+L398+L388+L392+L390+L400+L394</f>
        <v>5039.400000000006</v>
      </c>
      <c r="M387" s="165">
        <f t="shared" si="82"/>
        <v>325414</v>
      </c>
      <c r="N387" s="474"/>
    </row>
    <row r="388" spans="1:14" s="391" customFormat="1" ht="37.5" customHeight="1">
      <c r="A388" s="150"/>
      <c r="B388" s="166" t="s">
        <v>795</v>
      </c>
      <c r="C388" s="164" t="s">
        <v>609</v>
      </c>
      <c r="D388" s="149" t="s">
        <v>246</v>
      </c>
      <c r="E388" s="149" t="s">
        <v>57</v>
      </c>
      <c r="F388" s="750" t="s">
        <v>59</v>
      </c>
      <c r="G388" s="751" t="s">
        <v>65</v>
      </c>
      <c r="H388" s="751" t="s">
        <v>57</v>
      </c>
      <c r="I388" s="752" t="s">
        <v>112</v>
      </c>
      <c r="J388" s="149"/>
      <c r="K388" s="692">
        <f>K389</f>
        <v>95802.1</v>
      </c>
      <c r="L388" s="165">
        <f>L389</f>
        <v>-1810.3999999999942</v>
      </c>
      <c r="M388" s="165">
        <f>M389</f>
        <v>93991.700000000012</v>
      </c>
      <c r="N388" s="475"/>
    </row>
    <row r="389" spans="1:14" s="391" customFormat="1" ht="54" customHeight="1">
      <c r="A389" s="150"/>
      <c r="B389" s="163" t="s">
        <v>97</v>
      </c>
      <c r="C389" s="164" t="s">
        <v>609</v>
      </c>
      <c r="D389" s="149" t="s">
        <v>246</v>
      </c>
      <c r="E389" s="149" t="s">
        <v>57</v>
      </c>
      <c r="F389" s="750" t="s">
        <v>59</v>
      </c>
      <c r="G389" s="751" t="s">
        <v>65</v>
      </c>
      <c r="H389" s="751" t="s">
        <v>57</v>
      </c>
      <c r="I389" s="752" t="s">
        <v>112</v>
      </c>
      <c r="J389" s="149" t="s">
        <v>98</v>
      </c>
      <c r="K389" s="692">
        <v>95802.1</v>
      </c>
      <c r="L389" s="165">
        <f>M389-K389</f>
        <v>-1810.3999999999942</v>
      </c>
      <c r="M389" s="165">
        <f>95802.1-6150+366.4+993.6+50.6+35.6+2893.4</f>
        <v>93991.700000000012</v>
      </c>
      <c r="N389" s="475"/>
    </row>
    <row r="390" spans="1:14" s="391" customFormat="1" ht="29.25" customHeight="1">
      <c r="A390" s="150"/>
      <c r="B390" s="163" t="s">
        <v>796</v>
      </c>
      <c r="C390" s="164" t="s">
        <v>609</v>
      </c>
      <c r="D390" s="149" t="s">
        <v>246</v>
      </c>
      <c r="E390" s="149" t="s">
        <v>57</v>
      </c>
      <c r="F390" s="750" t="s">
        <v>59</v>
      </c>
      <c r="G390" s="751" t="s">
        <v>65</v>
      </c>
      <c r="H390" s="751" t="s">
        <v>57</v>
      </c>
      <c r="I390" s="752" t="s">
        <v>479</v>
      </c>
      <c r="J390" s="149"/>
      <c r="K390" s="692">
        <f>K391</f>
        <v>2204</v>
      </c>
      <c r="L390" s="165">
        <f>L391</f>
        <v>427.09999999999991</v>
      </c>
      <c r="M390" s="165">
        <f>M391</f>
        <v>2631.1</v>
      </c>
      <c r="N390" s="475"/>
    </row>
    <row r="391" spans="1:14" s="391" customFormat="1" ht="54" customHeight="1">
      <c r="A391" s="150"/>
      <c r="B391" s="163" t="s">
        <v>97</v>
      </c>
      <c r="C391" s="164" t="s">
        <v>609</v>
      </c>
      <c r="D391" s="149" t="s">
        <v>246</v>
      </c>
      <c r="E391" s="149" t="s">
        <v>57</v>
      </c>
      <c r="F391" s="750" t="s">
        <v>59</v>
      </c>
      <c r="G391" s="751" t="s">
        <v>65</v>
      </c>
      <c r="H391" s="751" t="s">
        <v>57</v>
      </c>
      <c r="I391" s="752" t="s">
        <v>479</v>
      </c>
      <c r="J391" s="149" t="s">
        <v>98</v>
      </c>
      <c r="K391" s="692">
        <f>833+718.2+311.3+223.5+118</f>
        <v>2204</v>
      </c>
      <c r="L391" s="165">
        <f>M391-K391</f>
        <v>427.09999999999991</v>
      </c>
      <c r="M391" s="741">
        <f>833+718.2+311.3+223.5+118-34.6+461.7</f>
        <v>2631.1</v>
      </c>
      <c r="N391" s="475"/>
    </row>
    <row r="392" spans="1:14" s="395" customFormat="1" ht="54" customHeight="1">
      <c r="A392" s="150"/>
      <c r="B392" s="163" t="s">
        <v>229</v>
      </c>
      <c r="C392" s="164" t="s">
        <v>609</v>
      </c>
      <c r="D392" s="149" t="s">
        <v>246</v>
      </c>
      <c r="E392" s="149" t="s">
        <v>57</v>
      </c>
      <c r="F392" s="750" t="s">
        <v>59</v>
      </c>
      <c r="G392" s="751" t="s">
        <v>65</v>
      </c>
      <c r="H392" s="751" t="s">
        <v>57</v>
      </c>
      <c r="I392" s="752" t="s">
        <v>313</v>
      </c>
      <c r="J392" s="149"/>
      <c r="K392" s="692">
        <f>K393</f>
        <v>7747.4</v>
      </c>
      <c r="L392" s="165">
        <f>L393</f>
        <v>6364.5</v>
      </c>
      <c r="M392" s="165">
        <f>M393</f>
        <v>14111.9</v>
      </c>
      <c r="N392" s="474"/>
    </row>
    <row r="393" spans="1:14" s="395" customFormat="1" ht="54" customHeight="1">
      <c r="A393" s="150"/>
      <c r="B393" s="163" t="s">
        <v>97</v>
      </c>
      <c r="C393" s="164" t="s">
        <v>609</v>
      </c>
      <c r="D393" s="149" t="s">
        <v>246</v>
      </c>
      <c r="E393" s="149" t="s">
        <v>57</v>
      </c>
      <c r="F393" s="750" t="s">
        <v>59</v>
      </c>
      <c r="G393" s="751" t="s">
        <v>65</v>
      </c>
      <c r="H393" s="751" t="s">
        <v>57</v>
      </c>
      <c r="I393" s="752" t="s">
        <v>313</v>
      </c>
      <c r="J393" s="149" t="s">
        <v>98</v>
      </c>
      <c r="K393" s="692">
        <v>7747.4</v>
      </c>
      <c r="L393" s="165">
        <f>M393-K393</f>
        <v>6364.5</v>
      </c>
      <c r="M393" s="165">
        <f>7747.4+6364.5</f>
        <v>14111.9</v>
      </c>
      <c r="N393" s="474"/>
    </row>
    <row r="394" spans="1:14" s="813" customFormat="1" ht="42" customHeight="1">
      <c r="A394" s="796"/>
      <c r="B394" s="811" t="s">
        <v>230</v>
      </c>
      <c r="C394" s="798" t="s">
        <v>609</v>
      </c>
      <c r="D394" s="799" t="s">
        <v>246</v>
      </c>
      <c r="E394" s="799" t="s">
        <v>57</v>
      </c>
      <c r="F394" s="800" t="s">
        <v>59</v>
      </c>
      <c r="G394" s="801" t="s">
        <v>65</v>
      </c>
      <c r="H394" s="801" t="s">
        <v>57</v>
      </c>
      <c r="I394" s="802" t="s">
        <v>314</v>
      </c>
      <c r="J394" s="799"/>
      <c r="K394" s="692">
        <f>K395</f>
        <v>0</v>
      </c>
      <c r="L394" s="165">
        <f>L395</f>
        <v>58.2</v>
      </c>
      <c r="M394" s="165">
        <f>M395</f>
        <v>58.2</v>
      </c>
      <c r="N394" s="812"/>
    </row>
    <row r="395" spans="1:14" s="925" customFormat="1" ht="54" customHeight="1">
      <c r="A395" s="796"/>
      <c r="B395" s="163" t="s">
        <v>97</v>
      </c>
      <c r="C395" s="798" t="s">
        <v>609</v>
      </c>
      <c r="D395" s="799" t="s">
        <v>246</v>
      </c>
      <c r="E395" s="799" t="s">
        <v>57</v>
      </c>
      <c r="F395" s="800" t="s">
        <v>59</v>
      </c>
      <c r="G395" s="801" t="s">
        <v>65</v>
      </c>
      <c r="H395" s="801" t="s">
        <v>57</v>
      </c>
      <c r="I395" s="802" t="s">
        <v>314</v>
      </c>
      <c r="J395" s="799" t="s">
        <v>98</v>
      </c>
      <c r="K395" s="165"/>
      <c r="L395" s="165">
        <f>M395-K395</f>
        <v>58.2</v>
      </c>
      <c r="M395" s="165">
        <v>58.2</v>
      </c>
      <c r="N395" s="924"/>
    </row>
    <row r="396" spans="1:14" s="395" customFormat="1" ht="191.25" customHeight="1">
      <c r="A396" s="150"/>
      <c r="B396" s="163" t="s">
        <v>308</v>
      </c>
      <c r="C396" s="164" t="s">
        <v>609</v>
      </c>
      <c r="D396" s="149" t="s">
        <v>246</v>
      </c>
      <c r="E396" s="149" t="s">
        <v>57</v>
      </c>
      <c r="F396" s="750" t="s">
        <v>59</v>
      </c>
      <c r="G396" s="751" t="s">
        <v>65</v>
      </c>
      <c r="H396" s="751" t="s">
        <v>57</v>
      </c>
      <c r="I396" s="752" t="s">
        <v>309</v>
      </c>
      <c r="J396" s="149"/>
      <c r="K396" s="692">
        <f>K397</f>
        <v>503.3</v>
      </c>
      <c r="L396" s="165">
        <f>L397</f>
        <v>0</v>
      </c>
      <c r="M396" s="165">
        <f>M397</f>
        <v>503.3</v>
      </c>
      <c r="N396" s="474"/>
    </row>
    <row r="397" spans="1:14" s="395" customFormat="1" ht="54" customHeight="1">
      <c r="A397" s="150"/>
      <c r="B397" s="163" t="s">
        <v>97</v>
      </c>
      <c r="C397" s="164" t="s">
        <v>609</v>
      </c>
      <c r="D397" s="149" t="s">
        <v>246</v>
      </c>
      <c r="E397" s="149" t="s">
        <v>57</v>
      </c>
      <c r="F397" s="750" t="s">
        <v>59</v>
      </c>
      <c r="G397" s="751" t="s">
        <v>65</v>
      </c>
      <c r="H397" s="751" t="s">
        <v>57</v>
      </c>
      <c r="I397" s="752" t="s">
        <v>309</v>
      </c>
      <c r="J397" s="149" t="s">
        <v>98</v>
      </c>
      <c r="K397" s="692">
        <v>503.3</v>
      </c>
      <c r="L397" s="165">
        <f>M397-K397</f>
        <v>0</v>
      </c>
      <c r="M397" s="165">
        <v>503.3</v>
      </c>
    </row>
    <row r="398" spans="1:14" s="395" customFormat="1" ht="117" customHeight="1">
      <c r="A398" s="150"/>
      <c r="B398" s="163" t="s">
        <v>415</v>
      </c>
      <c r="C398" s="164" t="s">
        <v>609</v>
      </c>
      <c r="D398" s="149" t="s">
        <v>246</v>
      </c>
      <c r="E398" s="149" t="s">
        <v>57</v>
      </c>
      <c r="F398" s="750" t="s">
        <v>59</v>
      </c>
      <c r="G398" s="751" t="s">
        <v>65</v>
      </c>
      <c r="H398" s="751" t="s">
        <v>57</v>
      </c>
      <c r="I398" s="752" t="s">
        <v>310</v>
      </c>
      <c r="J398" s="149"/>
      <c r="K398" s="692">
        <f>K399</f>
        <v>212697.8</v>
      </c>
      <c r="L398" s="165">
        <f>L399</f>
        <v>0</v>
      </c>
      <c r="M398" s="165">
        <f>M399</f>
        <v>212697.8</v>
      </c>
    </row>
    <row r="399" spans="1:14" s="395" customFormat="1" ht="54" customHeight="1">
      <c r="A399" s="150"/>
      <c r="B399" s="163" t="s">
        <v>97</v>
      </c>
      <c r="C399" s="164" t="s">
        <v>609</v>
      </c>
      <c r="D399" s="149" t="s">
        <v>246</v>
      </c>
      <c r="E399" s="149" t="s">
        <v>57</v>
      </c>
      <c r="F399" s="750" t="s">
        <v>59</v>
      </c>
      <c r="G399" s="751" t="s">
        <v>65</v>
      </c>
      <c r="H399" s="751" t="s">
        <v>57</v>
      </c>
      <c r="I399" s="752" t="s">
        <v>310</v>
      </c>
      <c r="J399" s="149" t="s">
        <v>98</v>
      </c>
      <c r="K399" s="692">
        <v>212697.8</v>
      </c>
      <c r="L399" s="165">
        <f>M399-K399</f>
        <v>0</v>
      </c>
      <c r="M399" s="165">
        <v>212697.8</v>
      </c>
    </row>
    <row r="400" spans="1:14" s="740" customFormat="1" ht="54" customHeight="1">
      <c r="A400" s="739"/>
      <c r="B400" s="163" t="s">
        <v>1009</v>
      </c>
      <c r="C400" s="164" t="s">
        <v>609</v>
      </c>
      <c r="D400" s="149" t="s">
        <v>246</v>
      </c>
      <c r="E400" s="149" t="s">
        <v>57</v>
      </c>
      <c r="F400" s="750" t="s">
        <v>59</v>
      </c>
      <c r="G400" s="751" t="s">
        <v>65</v>
      </c>
      <c r="H400" s="751" t="s">
        <v>57</v>
      </c>
      <c r="I400" s="752" t="s">
        <v>1010</v>
      </c>
      <c r="J400" s="149"/>
      <c r="K400" s="692">
        <f>K401</f>
        <v>1420</v>
      </c>
      <c r="L400" s="165">
        <f>L401</f>
        <v>0</v>
      </c>
      <c r="M400" s="165">
        <f>M401</f>
        <v>1420</v>
      </c>
    </row>
    <row r="401" spans="1:13" s="740" customFormat="1" ht="54" customHeight="1">
      <c r="A401" s="739"/>
      <c r="B401" s="163" t="s">
        <v>97</v>
      </c>
      <c r="C401" s="164" t="s">
        <v>609</v>
      </c>
      <c r="D401" s="149" t="s">
        <v>246</v>
      </c>
      <c r="E401" s="149" t="s">
        <v>57</v>
      </c>
      <c r="F401" s="750" t="s">
        <v>59</v>
      </c>
      <c r="G401" s="751" t="s">
        <v>65</v>
      </c>
      <c r="H401" s="751" t="s">
        <v>57</v>
      </c>
      <c r="I401" s="752" t="s">
        <v>1010</v>
      </c>
      <c r="J401" s="149" t="s">
        <v>98</v>
      </c>
      <c r="K401" s="692">
        <v>1420</v>
      </c>
      <c r="L401" s="165">
        <f>M401-K401</f>
        <v>0</v>
      </c>
      <c r="M401" s="165">
        <v>1420</v>
      </c>
    </row>
    <row r="402" spans="1:13" s="395" customFormat="1" ht="38.25" customHeight="1">
      <c r="A402" s="150"/>
      <c r="B402" s="163" t="s">
        <v>726</v>
      </c>
      <c r="C402" s="164" t="s">
        <v>609</v>
      </c>
      <c r="D402" s="149" t="s">
        <v>246</v>
      </c>
      <c r="E402" s="149" t="s">
        <v>57</v>
      </c>
      <c r="F402" s="750" t="s">
        <v>59</v>
      </c>
      <c r="G402" s="751" t="s">
        <v>65</v>
      </c>
      <c r="H402" s="751" t="s">
        <v>725</v>
      </c>
      <c r="I402" s="752" t="s">
        <v>64</v>
      </c>
      <c r="J402" s="149"/>
      <c r="K402" s="692">
        <f t="shared" ref="K402:M403" si="83">K403</f>
        <v>150</v>
      </c>
      <c r="L402" s="165">
        <f t="shared" si="83"/>
        <v>0</v>
      </c>
      <c r="M402" s="165">
        <f t="shared" si="83"/>
        <v>150</v>
      </c>
    </row>
    <row r="403" spans="1:13" s="395" customFormat="1" ht="54" customHeight="1">
      <c r="A403" s="150"/>
      <c r="B403" s="163" t="s">
        <v>682</v>
      </c>
      <c r="C403" s="164" t="s">
        <v>609</v>
      </c>
      <c r="D403" s="149" t="s">
        <v>246</v>
      </c>
      <c r="E403" s="149" t="s">
        <v>57</v>
      </c>
      <c r="F403" s="750" t="s">
        <v>59</v>
      </c>
      <c r="G403" s="751" t="s">
        <v>65</v>
      </c>
      <c r="H403" s="751" t="s">
        <v>725</v>
      </c>
      <c r="I403" s="752" t="s">
        <v>683</v>
      </c>
      <c r="J403" s="149"/>
      <c r="K403" s="692">
        <f t="shared" si="83"/>
        <v>150</v>
      </c>
      <c r="L403" s="165">
        <f t="shared" si="83"/>
        <v>0</v>
      </c>
      <c r="M403" s="165">
        <f t="shared" si="83"/>
        <v>150</v>
      </c>
    </row>
    <row r="404" spans="1:13" s="395" customFormat="1" ht="54" customHeight="1">
      <c r="A404" s="150"/>
      <c r="B404" s="163" t="s">
        <v>97</v>
      </c>
      <c r="C404" s="164" t="s">
        <v>609</v>
      </c>
      <c r="D404" s="149" t="s">
        <v>246</v>
      </c>
      <c r="E404" s="149" t="s">
        <v>57</v>
      </c>
      <c r="F404" s="750" t="s">
        <v>59</v>
      </c>
      <c r="G404" s="751" t="s">
        <v>65</v>
      </c>
      <c r="H404" s="751" t="s">
        <v>725</v>
      </c>
      <c r="I404" s="752" t="s">
        <v>683</v>
      </c>
      <c r="J404" s="149" t="s">
        <v>98</v>
      </c>
      <c r="K404" s="692">
        <v>150</v>
      </c>
      <c r="L404" s="165">
        <f>M404-K404</f>
        <v>0</v>
      </c>
      <c r="M404" s="165">
        <v>150</v>
      </c>
    </row>
    <row r="405" spans="1:13" s="395" customFormat="1" ht="54" customHeight="1">
      <c r="A405" s="150"/>
      <c r="B405" s="163" t="s">
        <v>255</v>
      </c>
      <c r="C405" s="164" t="s">
        <v>609</v>
      </c>
      <c r="D405" s="149" t="s">
        <v>246</v>
      </c>
      <c r="E405" s="149" t="s">
        <v>57</v>
      </c>
      <c r="F405" s="750" t="s">
        <v>256</v>
      </c>
      <c r="G405" s="751" t="s">
        <v>62</v>
      </c>
      <c r="H405" s="751" t="s">
        <v>63</v>
      </c>
      <c r="I405" s="752" t="s">
        <v>64</v>
      </c>
      <c r="J405" s="149"/>
      <c r="K405" s="692">
        <f t="shared" ref="K405:M408" si="84">K406</f>
        <v>51.3</v>
      </c>
      <c r="L405" s="165">
        <f t="shared" si="84"/>
        <v>0</v>
      </c>
      <c r="M405" s="165">
        <f t="shared" si="84"/>
        <v>51.3</v>
      </c>
    </row>
    <row r="406" spans="1:13" s="395" customFormat="1" ht="36" customHeight="1">
      <c r="A406" s="150"/>
      <c r="B406" s="163" t="s">
        <v>404</v>
      </c>
      <c r="C406" s="164" t="s">
        <v>609</v>
      </c>
      <c r="D406" s="149" t="s">
        <v>246</v>
      </c>
      <c r="E406" s="149" t="s">
        <v>57</v>
      </c>
      <c r="F406" s="750" t="s">
        <v>256</v>
      </c>
      <c r="G406" s="751" t="s">
        <v>65</v>
      </c>
      <c r="H406" s="751" t="s">
        <v>63</v>
      </c>
      <c r="I406" s="752" t="s">
        <v>64</v>
      </c>
      <c r="J406" s="149"/>
      <c r="K406" s="692">
        <f t="shared" si="84"/>
        <v>51.3</v>
      </c>
      <c r="L406" s="165">
        <f t="shared" si="84"/>
        <v>0</v>
      </c>
      <c r="M406" s="165">
        <f t="shared" si="84"/>
        <v>51.3</v>
      </c>
    </row>
    <row r="407" spans="1:13" s="395" customFormat="1" ht="57" customHeight="1">
      <c r="A407" s="150"/>
      <c r="B407" s="163" t="s">
        <v>326</v>
      </c>
      <c r="C407" s="164" t="s">
        <v>609</v>
      </c>
      <c r="D407" s="149" t="s">
        <v>246</v>
      </c>
      <c r="E407" s="149" t="s">
        <v>57</v>
      </c>
      <c r="F407" s="750" t="s">
        <v>256</v>
      </c>
      <c r="G407" s="751" t="s">
        <v>65</v>
      </c>
      <c r="H407" s="751" t="s">
        <v>57</v>
      </c>
      <c r="I407" s="752" t="s">
        <v>64</v>
      </c>
      <c r="J407" s="149"/>
      <c r="K407" s="692">
        <f>K408</f>
        <v>51.3</v>
      </c>
      <c r="L407" s="165">
        <f>L408</f>
        <v>0</v>
      </c>
      <c r="M407" s="165">
        <f>M408</f>
        <v>51.3</v>
      </c>
    </row>
    <row r="408" spans="1:13" s="395" customFormat="1" ht="36" customHeight="1">
      <c r="A408" s="150"/>
      <c r="B408" s="163" t="s">
        <v>257</v>
      </c>
      <c r="C408" s="164" t="s">
        <v>609</v>
      </c>
      <c r="D408" s="149" t="s">
        <v>246</v>
      </c>
      <c r="E408" s="149" t="s">
        <v>57</v>
      </c>
      <c r="F408" s="750" t="s">
        <v>256</v>
      </c>
      <c r="G408" s="751" t="s">
        <v>65</v>
      </c>
      <c r="H408" s="751" t="s">
        <v>57</v>
      </c>
      <c r="I408" s="752" t="s">
        <v>320</v>
      </c>
      <c r="J408" s="149"/>
      <c r="K408" s="692">
        <f t="shared" si="84"/>
        <v>51.3</v>
      </c>
      <c r="L408" s="165">
        <f t="shared" si="84"/>
        <v>0</v>
      </c>
      <c r="M408" s="165">
        <f t="shared" si="84"/>
        <v>51.3</v>
      </c>
    </row>
    <row r="409" spans="1:13" s="395" customFormat="1" ht="54" customHeight="1">
      <c r="A409" s="150"/>
      <c r="B409" s="163" t="s">
        <v>97</v>
      </c>
      <c r="C409" s="164" t="s">
        <v>609</v>
      </c>
      <c r="D409" s="149" t="s">
        <v>246</v>
      </c>
      <c r="E409" s="149" t="s">
        <v>57</v>
      </c>
      <c r="F409" s="750" t="s">
        <v>256</v>
      </c>
      <c r="G409" s="751" t="s">
        <v>65</v>
      </c>
      <c r="H409" s="751" t="s">
        <v>57</v>
      </c>
      <c r="I409" s="752" t="s">
        <v>320</v>
      </c>
      <c r="J409" s="149" t="s">
        <v>98</v>
      </c>
      <c r="K409" s="692">
        <v>51.3</v>
      </c>
      <c r="L409" s="165">
        <f>M409-K409</f>
        <v>0</v>
      </c>
      <c r="M409" s="165">
        <v>51.3</v>
      </c>
    </row>
    <row r="410" spans="1:13" s="395" customFormat="1" ht="18" customHeight="1">
      <c r="A410" s="150"/>
      <c r="B410" s="163" t="s">
        <v>205</v>
      </c>
      <c r="C410" s="164" t="s">
        <v>609</v>
      </c>
      <c r="D410" s="149" t="s">
        <v>246</v>
      </c>
      <c r="E410" s="149" t="s">
        <v>59</v>
      </c>
      <c r="F410" s="750"/>
      <c r="G410" s="751"/>
      <c r="H410" s="751"/>
      <c r="I410" s="752"/>
      <c r="J410" s="149"/>
      <c r="K410" s="692">
        <f>K411</f>
        <v>612477.20000000007</v>
      </c>
      <c r="L410" s="165">
        <f>L411</f>
        <v>12228.3</v>
      </c>
      <c r="M410" s="165">
        <f>M411</f>
        <v>624705.5</v>
      </c>
    </row>
    <row r="411" spans="1:13" s="395" customFormat="1" ht="54" customHeight="1">
      <c r="A411" s="150"/>
      <c r="B411" s="163" t="s">
        <v>227</v>
      </c>
      <c r="C411" s="164" t="s">
        <v>609</v>
      </c>
      <c r="D411" s="149" t="s">
        <v>246</v>
      </c>
      <c r="E411" s="149" t="s">
        <v>59</v>
      </c>
      <c r="F411" s="750" t="s">
        <v>59</v>
      </c>
      <c r="G411" s="751" t="s">
        <v>62</v>
      </c>
      <c r="H411" s="751" t="s">
        <v>63</v>
      </c>
      <c r="I411" s="752" t="s">
        <v>64</v>
      </c>
      <c r="J411" s="149"/>
      <c r="K411" s="692">
        <f>K412+K455</f>
        <v>612477.20000000007</v>
      </c>
      <c r="L411" s="165">
        <f>L412+L455</f>
        <v>12228.3</v>
      </c>
      <c r="M411" s="165">
        <f>M412+M455</f>
        <v>624705.5</v>
      </c>
    </row>
    <row r="412" spans="1:13" s="395" customFormat="1" ht="36" customHeight="1">
      <c r="A412" s="150"/>
      <c r="B412" s="163" t="s">
        <v>228</v>
      </c>
      <c r="C412" s="164" t="s">
        <v>609</v>
      </c>
      <c r="D412" s="149" t="s">
        <v>246</v>
      </c>
      <c r="E412" s="149" t="s">
        <v>59</v>
      </c>
      <c r="F412" s="750" t="s">
        <v>59</v>
      </c>
      <c r="G412" s="751" t="s">
        <v>65</v>
      </c>
      <c r="H412" s="751" t="s">
        <v>63</v>
      </c>
      <c r="I412" s="752" t="s">
        <v>64</v>
      </c>
      <c r="J412" s="149"/>
      <c r="K412" s="692">
        <f>K413+K452</f>
        <v>610119.20000000007</v>
      </c>
      <c r="L412" s="165">
        <f>L413+L452</f>
        <v>12228.3</v>
      </c>
      <c r="M412" s="165">
        <f>M413+M452</f>
        <v>622347.5</v>
      </c>
    </row>
    <row r="413" spans="1:13" s="395" customFormat="1" ht="18.75" customHeight="1">
      <c r="A413" s="150"/>
      <c r="B413" s="163" t="s">
        <v>312</v>
      </c>
      <c r="C413" s="164" t="s">
        <v>609</v>
      </c>
      <c r="D413" s="149" t="s">
        <v>246</v>
      </c>
      <c r="E413" s="149" t="s">
        <v>59</v>
      </c>
      <c r="F413" s="750" t="s">
        <v>59</v>
      </c>
      <c r="G413" s="751" t="s">
        <v>65</v>
      </c>
      <c r="H413" s="751" t="s">
        <v>59</v>
      </c>
      <c r="I413" s="752" t="s">
        <v>64</v>
      </c>
      <c r="J413" s="149"/>
      <c r="K413" s="692">
        <f>K422+K425+K433+K437+K441+K414+K419+K447+K430+K444+K450</f>
        <v>609819.20000000007</v>
      </c>
      <c r="L413" s="165">
        <f t="shared" ref="L413:M413" si="85">L422+L425+L433+L437+L441+L414+L419+L447+L430+L444+L450</f>
        <v>12228.3</v>
      </c>
      <c r="M413" s="165">
        <f t="shared" si="85"/>
        <v>622047.5</v>
      </c>
    </row>
    <row r="414" spans="1:13" s="391" customFormat="1" ht="35.25" customHeight="1">
      <c r="A414" s="150"/>
      <c r="B414" s="166" t="s">
        <v>795</v>
      </c>
      <c r="C414" s="164" t="s">
        <v>609</v>
      </c>
      <c r="D414" s="149" t="s">
        <v>246</v>
      </c>
      <c r="E414" s="149" t="s">
        <v>59</v>
      </c>
      <c r="F414" s="750" t="s">
        <v>59</v>
      </c>
      <c r="G414" s="751" t="s">
        <v>65</v>
      </c>
      <c r="H414" s="751" t="s">
        <v>59</v>
      </c>
      <c r="I414" s="752" t="s">
        <v>112</v>
      </c>
      <c r="J414" s="149"/>
      <c r="K414" s="692">
        <f>K417+K418+K416+K415</f>
        <v>57918.400000000001</v>
      </c>
      <c r="L414" s="165">
        <f>L417+L418+L416+L415</f>
        <v>1685</v>
      </c>
      <c r="M414" s="165">
        <f>M417+M418+M416+M415</f>
        <v>59603.4</v>
      </c>
    </row>
    <row r="415" spans="1:13" s="391" customFormat="1" ht="112.5" customHeight="1">
      <c r="A415" s="150"/>
      <c r="B415" s="163" t="s">
        <v>69</v>
      </c>
      <c r="C415" s="164" t="s">
        <v>609</v>
      </c>
      <c r="D415" s="149" t="s">
        <v>246</v>
      </c>
      <c r="E415" s="149" t="s">
        <v>59</v>
      </c>
      <c r="F415" s="750" t="s">
        <v>59</v>
      </c>
      <c r="G415" s="751" t="s">
        <v>65</v>
      </c>
      <c r="H415" s="751" t="s">
        <v>59</v>
      </c>
      <c r="I415" s="752" t="s">
        <v>112</v>
      </c>
      <c r="J415" s="149" t="s">
        <v>70</v>
      </c>
      <c r="K415" s="692">
        <v>899.4</v>
      </c>
      <c r="L415" s="165">
        <f t="shared" ref="L415:L418" si="86">M415-K415</f>
        <v>0</v>
      </c>
      <c r="M415" s="165">
        <v>899.4</v>
      </c>
    </row>
    <row r="416" spans="1:13" s="391" customFormat="1" ht="56.25" customHeight="1">
      <c r="A416" s="150"/>
      <c r="B416" s="163" t="s">
        <v>75</v>
      </c>
      <c r="C416" s="164" t="s">
        <v>609</v>
      </c>
      <c r="D416" s="149" t="s">
        <v>246</v>
      </c>
      <c r="E416" s="149" t="s">
        <v>59</v>
      </c>
      <c r="F416" s="750" t="s">
        <v>59</v>
      </c>
      <c r="G416" s="751" t="s">
        <v>65</v>
      </c>
      <c r="H416" s="751" t="s">
        <v>59</v>
      </c>
      <c r="I416" s="752" t="s">
        <v>112</v>
      </c>
      <c r="J416" s="149" t="s">
        <v>76</v>
      </c>
      <c r="K416" s="692">
        <f>4103.4+3.5+15.2-30+597.5</f>
        <v>4689.5999999999995</v>
      </c>
      <c r="L416" s="165">
        <f t="shared" si="86"/>
        <v>42</v>
      </c>
      <c r="M416" s="741">
        <f>4103.4+3.5+15.2-30+597.5-30+72</f>
        <v>4731.5999999999995</v>
      </c>
    </row>
    <row r="417" spans="1:13" s="391" customFormat="1" ht="56.25" customHeight="1">
      <c r="A417" s="150"/>
      <c r="B417" s="163" t="s">
        <v>97</v>
      </c>
      <c r="C417" s="164" t="s">
        <v>609</v>
      </c>
      <c r="D417" s="149" t="s">
        <v>246</v>
      </c>
      <c r="E417" s="149" t="s">
        <v>59</v>
      </c>
      <c r="F417" s="750" t="s">
        <v>59</v>
      </c>
      <c r="G417" s="751" t="s">
        <v>65</v>
      </c>
      <c r="H417" s="751" t="s">
        <v>59</v>
      </c>
      <c r="I417" s="752" t="s">
        <v>112</v>
      </c>
      <c r="J417" s="149" t="s">
        <v>98</v>
      </c>
      <c r="K417" s="692">
        <f>51541.3+648-597.5+78.6</f>
        <v>51670.400000000001</v>
      </c>
      <c r="L417" s="165">
        <f t="shared" si="86"/>
        <v>1659.5</v>
      </c>
      <c r="M417" s="165">
        <f>51541.3+648-597.5+78.6+373.7+283.9+761.1+70.9+169.9</f>
        <v>53329.9</v>
      </c>
    </row>
    <row r="418" spans="1:13" s="391" customFormat="1" ht="18.75" customHeight="1">
      <c r="A418" s="150"/>
      <c r="B418" s="163" t="s">
        <v>77</v>
      </c>
      <c r="C418" s="164" t="s">
        <v>609</v>
      </c>
      <c r="D418" s="149" t="s">
        <v>246</v>
      </c>
      <c r="E418" s="149" t="s">
        <v>59</v>
      </c>
      <c r="F418" s="750" t="s">
        <v>59</v>
      </c>
      <c r="G418" s="751" t="s">
        <v>65</v>
      </c>
      <c r="H418" s="751" t="s">
        <v>59</v>
      </c>
      <c r="I418" s="752" t="s">
        <v>112</v>
      </c>
      <c r="J418" s="149" t="s">
        <v>78</v>
      </c>
      <c r="K418" s="692">
        <f>629+30</f>
        <v>659</v>
      </c>
      <c r="L418" s="165">
        <f t="shared" si="86"/>
        <v>-16.5</v>
      </c>
      <c r="M418" s="741">
        <f>629+30+30-46.5</f>
        <v>642.5</v>
      </c>
    </row>
    <row r="419" spans="1:13" s="391" customFormat="1" ht="20.25" customHeight="1">
      <c r="A419" s="150"/>
      <c r="B419" s="163" t="s">
        <v>796</v>
      </c>
      <c r="C419" s="164" t="s">
        <v>609</v>
      </c>
      <c r="D419" s="149" t="s">
        <v>246</v>
      </c>
      <c r="E419" s="149" t="s">
        <v>59</v>
      </c>
      <c r="F419" s="750" t="s">
        <v>59</v>
      </c>
      <c r="G419" s="751" t="s">
        <v>65</v>
      </c>
      <c r="H419" s="751" t="s">
        <v>59</v>
      </c>
      <c r="I419" s="752" t="s">
        <v>479</v>
      </c>
      <c r="J419" s="149"/>
      <c r="K419" s="692">
        <f>K421+K420</f>
        <v>3465.4000000000005</v>
      </c>
      <c r="L419" s="165">
        <f>L421+L420</f>
        <v>2907.7000000000007</v>
      </c>
      <c r="M419" s="165">
        <f>M421+M420</f>
        <v>6373.1000000000013</v>
      </c>
    </row>
    <row r="420" spans="1:13" s="391" customFormat="1" ht="37.9" customHeight="1">
      <c r="A420" s="150"/>
      <c r="B420" s="163" t="s">
        <v>75</v>
      </c>
      <c r="C420" s="164" t="s">
        <v>609</v>
      </c>
      <c r="D420" s="149" t="s">
        <v>246</v>
      </c>
      <c r="E420" s="149" t="s">
        <v>59</v>
      </c>
      <c r="F420" s="750" t="s">
        <v>59</v>
      </c>
      <c r="G420" s="751" t="s">
        <v>65</v>
      </c>
      <c r="H420" s="751" t="s">
        <v>59</v>
      </c>
      <c r="I420" s="752" t="s">
        <v>479</v>
      </c>
      <c r="J420" s="149" t="s">
        <v>76</v>
      </c>
      <c r="K420" s="692">
        <v>686.1</v>
      </c>
      <c r="L420" s="165">
        <f t="shared" ref="L420:L421" si="87">M420-K420</f>
        <v>1062.0999999999999</v>
      </c>
      <c r="M420" s="165">
        <f>686.1+796+266.1</f>
        <v>1748.1999999999998</v>
      </c>
    </row>
    <row r="421" spans="1:13" s="391" customFormat="1" ht="56.25" customHeight="1">
      <c r="A421" s="150"/>
      <c r="B421" s="163" t="s">
        <v>97</v>
      </c>
      <c r="C421" s="164" t="s">
        <v>609</v>
      </c>
      <c r="D421" s="149" t="s">
        <v>246</v>
      </c>
      <c r="E421" s="149" t="s">
        <v>59</v>
      </c>
      <c r="F421" s="750" t="s">
        <v>59</v>
      </c>
      <c r="G421" s="751" t="s">
        <v>65</v>
      </c>
      <c r="H421" s="751" t="s">
        <v>59</v>
      </c>
      <c r="I421" s="752" t="s">
        <v>479</v>
      </c>
      <c r="J421" s="149" t="s">
        <v>98</v>
      </c>
      <c r="K421" s="692">
        <f>2849.8+25.3-256.4-340.6-517.7+406.5+173.4+439</f>
        <v>2779.3000000000006</v>
      </c>
      <c r="L421" s="165">
        <f t="shared" si="87"/>
        <v>1845.6000000000008</v>
      </c>
      <c r="M421" s="741">
        <f>2849.8+25.3-256.4-340.6-517.7+406.5+173.4+439-298.5-340.9+557.3+575.3+1232.4+120</f>
        <v>4624.9000000000015</v>
      </c>
    </row>
    <row r="422" spans="1:13" s="395" customFormat="1" ht="56.25" customHeight="1">
      <c r="A422" s="150"/>
      <c r="B422" s="163" t="s">
        <v>229</v>
      </c>
      <c r="C422" s="164" t="s">
        <v>609</v>
      </c>
      <c r="D422" s="149" t="s">
        <v>246</v>
      </c>
      <c r="E422" s="149" t="s">
        <v>59</v>
      </c>
      <c r="F422" s="750" t="s">
        <v>59</v>
      </c>
      <c r="G422" s="751" t="s">
        <v>65</v>
      </c>
      <c r="H422" s="751" t="s">
        <v>59</v>
      </c>
      <c r="I422" s="752" t="s">
        <v>313</v>
      </c>
      <c r="J422" s="149"/>
      <c r="K422" s="692">
        <f t="shared" ref="K422" si="88">SUM(K423:K424)</f>
        <v>23188.1</v>
      </c>
      <c r="L422" s="165">
        <f t="shared" ref="L422:M422" si="89">SUM(L423:L424)</f>
        <v>196.5</v>
      </c>
      <c r="M422" s="165">
        <f t="shared" si="89"/>
        <v>23384.6</v>
      </c>
    </row>
    <row r="423" spans="1:13" s="395" customFormat="1" ht="56.25" customHeight="1">
      <c r="A423" s="150"/>
      <c r="B423" s="163" t="s">
        <v>75</v>
      </c>
      <c r="C423" s="164" t="s">
        <v>609</v>
      </c>
      <c r="D423" s="149" t="s">
        <v>246</v>
      </c>
      <c r="E423" s="149" t="s">
        <v>59</v>
      </c>
      <c r="F423" s="750" t="s">
        <v>59</v>
      </c>
      <c r="G423" s="751" t="s">
        <v>65</v>
      </c>
      <c r="H423" s="751" t="s">
        <v>59</v>
      </c>
      <c r="I423" s="752" t="s">
        <v>313</v>
      </c>
      <c r="J423" s="149" t="s">
        <v>76</v>
      </c>
      <c r="K423" s="692">
        <v>3504</v>
      </c>
      <c r="L423" s="165">
        <f t="shared" ref="L423:L424" si="90">M423-K423</f>
        <v>10</v>
      </c>
      <c r="M423" s="165">
        <f>3504+10</f>
        <v>3514</v>
      </c>
    </row>
    <row r="424" spans="1:13" s="395" customFormat="1" ht="56.25" customHeight="1">
      <c r="A424" s="150"/>
      <c r="B424" s="163" t="s">
        <v>97</v>
      </c>
      <c r="C424" s="164" t="s">
        <v>609</v>
      </c>
      <c r="D424" s="149" t="s">
        <v>246</v>
      </c>
      <c r="E424" s="149" t="s">
        <v>59</v>
      </c>
      <c r="F424" s="750" t="s">
        <v>59</v>
      </c>
      <c r="G424" s="751" t="s">
        <v>65</v>
      </c>
      <c r="H424" s="751" t="s">
        <v>59</v>
      </c>
      <c r="I424" s="752" t="s">
        <v>313</v>
      </c>
      <c r="J424" s="149" t="s">
        <v>98</v>
      </c>
      <c r="K424" s="692">
        <v>19684.099999999999</v>
      </c>
      <c r="L424" s="165">
        <f t="shared" si="90"/>
        <v>186.5</v>
      </c>
      <c r="M424" s="741">
        <f>19684.1+5+181.5</f>
        <v>19870.599999999999</v>
      </c>
    </row>
    <row r="425" spans="1:13" s="395" customFormat="1" ht="37.5" customHeight="1">
      <c r="A425" s="150"/>
      <c r="B425" s="163" t="s">
        <v>230</v>
      </c>
      <c r="C425" s="164" t="s">
        <v>609</v>
      </c>
      <c r="D425" s="149" t="s">
        <v>246</v>
      </c>
      <c r="E425" s="149" t="s">
        <v>59</v>
      </c>
      <c r="F425" s="750" t="s">
        <v>59</v>
      </c>
      <c r="G425" s="751" t="s">
        <v>65</v>
      </c>
      <c r="H425" s="751" t="s">
        <v>59</v>
      </c>
      <c r="I425" s="752" t="s">
        <v>314</v>
      </c>
      <c r="J425" s="149"/>
      <c r="K425" s="692">
        <f>SUM(K426:K429)</f>
        <v>19779</v>
      </c>
      <c r="L425" s="165">
        <f>SUM(L426:L429)</f>
        <v>1470.7999999999979</v>
      </c>
      <c r="M425" s="165">
        <f>SUM(M426:M429)</f>
        <v>21249.8</v>
      </c>
    </row>
    <row r="426" spans="1:13" s="395" customFormat="1" ht="56.25" customHeight="1">
      <c r="A426" s="150"/>
      <c r="B426" s="163" t="s">
        <v>75</v>
      </c>
      <c r="C426" s="164" t="s">
        <v>609</v>
      </c>
      <c r="D426" s="149" t="s">
        <v>246</v>
      </c>
      <c r="E426" s="149" t="s">
        <v>59</v>
      </c>
      <c r="F426" s="750" t="s">
        <v>59</v>
      </c>
      <c r="G426" s="751" t="s">
        <v>65</v>
      </c>
      <c r="H426" s="751" t="s">
        <v>59</v>
      </c>
      <c r="I426" s="752" t="s">
        <v>314</v>
      </c>
      <c r="J426" s="149" t="s">
        <v>76</v>
      </c>
      <c r="K426" s="692">
        <f>178+109.9+12.3+34.2</f>
        <v>334.4</v>
      </c>
      <c r="L426" s="165">
        <f t="shared" ref="L426:L429" si="91">M426-K426</f>
        <v>3.3999999999999773</v>
      </c>
      <c r="M426" s="165">
        <f>178+109.9+12.3+34.2+3.4</f>
        <v>337.79999999999995</v>
      </c>
    </row>
    <row r="427" spans="1:13" s="395" customFormat="1" ht="37.5" customHeight="1">
      <c r="A427" s="150"/>
      <c r="B427" s="163" t="s">
        <v>141</v>
      </c>
      <c r="C427" s="164" t="s">
        <v>609</v>
      </c>
      <c r="D427" s="149" t="s">
        <v>246</v>
      </c>
      <c r="E427" s="149" t="s">
        <v>59</v>
      </c>
      <c r="F427" s="750" t="s">
        <v>59</v>
      </c>
      <c r="G427" s="751" t="s">
        <v>65</v>
      </c>
      <c r="H427" s="751" t="s">
        <v>59</v>
      </c>
      <c r="I427" s="752" t="s">
        <v>314</v>
      </c>
      <c r="J427" s="149" t="s">
        <v>142</v>
      </c>
      <c r="K427" s="692">
        <f>3.1+8.3</f>
        <v>11.4</v>
      </c>
      <c r="L427" s="165">
        <f t="shared" si="91"/>
        <v>15.499999999999998</v>
      </c>
      <c r="M427" s="165">
        <f>3.1+8.3+15.5</f>
        <v>26.9</v>
      </c>
    </row>
    <row r="428" spans="1:13" s="395" customFormat="1" ht="56.25" customHeight="1">
      <c r="A428" s="150"/>
      <c r="B428" s="362" t="s">
        <v>225</v>
      </c>
      <c r="C428" s="164" t="s">
        <v>609</v>
      </c>
      <c r="D428" s="149" t="s">
        <v>246</v>
      </c>
      <c r="E428" s="149" t="s">
        <v>59</v>
      </c>
      <c r="F428" s="750" t="s">
        <v>59</v>
      </c>
      <c r="G428" s="751" t="s">
        <v>65</v>
      </c>
      <c r="H428" s="751" t="s">
        <v>59</v>
      </c>
      <c r="I428" s="752" t="s">
        <v>314</v>
      </c>
      <c r="J428" s="149" t="s">
        <v>226</v>
      </c>
      <c r="K428" s="692">
        <v>3200</v>
      </c>
      <c r="L428" s="165">
        <f t="shared" si="91"/>
        <v>508</v>
      </c>
      <c r="M428" s="741">
        <f>3200+32.5+32.5+90+353</f>
        <v>3708</v>
      </c>
    </row>
    <row r="429" spans="1:13" s="395" customFormat="1" ht="56.25" customHeight="1">
      <c r="A429" s="150"/>
      <c r="B429" s="163" t="s">
        <v>97</v>
      </c>
      <c r="C429" s="164" t="s">
        <v>609</v>
      </c>
      <c r="D429" s="149" t="s">
        <v>246</v>
      </c>
      <c r="E429" s="149" t="s">
        <v>59</v>
      </c>
      <c r="F429" s="750" t="s">
        <v>59</v>
      </c>
      <c r="G429" s="751" t="s">
        <v>65</v>
      </c>
      <c r="H429" s="751" t="s">
        <v>59</v>
      </c>
      <c r="I429" s="752" t="s">
        <v>314</v>
      </c>
      <c r="J429" s="149" t="s">
        <v>98</v>
      </c>
      <c r="K429" s="692">
        <f>4519.4+200+5764.8-15.4+5764.4</f>
        <v>16233.2</v>
      </c>
      <c r="L429" s="165">
        <f t="shared" si="91"/>
        <v>943.89999999999782</v>
      </c>
      <c r="M429" s="165">
        <f>4519.4+200+5764.8-15.4+5764.4+372.1+571.8</f>
        <v>17177.099999999999</v>
      </c>
    </row>
    <row r="430" spans="1:13" s="395" customFormat="1" ht="71.25" customHeight="1">
      <c r="A430" s="150"/>
      <c r="B430" s="163" t="s">
        <v>892</v>
      </c>
      <c r="C430" s="164" t="s">
        <v>609</v>
      </c>
      <c r="D430" s="149" t="s">
        <v>246</v>
      </c>
      <c r="E430" s="149" t="s">
        <v>59</v>
      </c>
      <c r="F430" s="750" t="s">
        <v>59</v>
      </c>
      <c r="G430" s="751" t="s">
        <v>65</v>
      </c>
      <c r="H430" s="751" t="s">
        <v>59</v>
      </c>
      <c r="I430" s="752" t="s">
        <v>891</v>
      </c>
      <c r="J430" s="149"/>
      <c r="K430" s="692">
        <f>K431+K432</f>
        <v>36560.199999999997</v>
      </c>
      <c r="L430" s="165">
        <f>L431+L432</f>
        <v>0</v>
      </c>
      <c r="M430" s="165">
        <f>M431+M432</f>
        <v>36560.199999999997</v>
      </c>
    </row>
    <row r="431" spans="1:13" s="395" customFormat="1" ht="111" customHeight="1">
      <c r="A431" s="150"/>
      <c r="B431" s="163" t="s">
        <v>69</v>
      </c>
      <c r="C431" s="164" t="s">
        <v>609</v>
      </c>
      <c r="D431" s="149" t="s">
        <v>246</v>
      </c>
      <c r="E431" s="149" t="s">
        <v>59</v>
      </c>
      <c r="F431" s="750" t="s">
        <v>59</v>
      </c>
      <c r="G431" s="751" t="s">
        <v>65</v>
      </c>
      <c r="H431" s="751" t="s">
        <v>59</v>
      </c>
      <c r="I431" s="752" t="s">
        <v>891</v>
      </c>
      <c r="J431" s="149" t="s">
        <v>70</v>
      </c>
      <c r="K431" s="692">
        <v>2968.6</v>
      </c>
      <c r="L431" s="165">
        <f t="shared" ref="L431:L432" si="92">M431-K431</f>
        <v>0</v>
      </c>
      <c r="M431" s="165">
        <v>2968.6</v>
      </c>
    </row>
    <row r="432" spans="1:13" s="395" customFormat="1" ht="56.25" customHeight="1">
      <c r="A432" s="150"/>
      <c r="B432" s="163" t="s">
        <v>97</v>
      </c>
      <c r="C432" s="164" t="s">
        <v>609</v>
      </c>
      <c r="D432" s="149" t="s">
        <v>246</v>
      </c>
      <c r="E432" s="149" t="s">
        <v>59</v>
      </c>
      <c r="F432" s="750" t="s">
        <v>59</v>
      </c>
      <c r="G432" s="751" t="s">
        <v>65</v>
      </c>
      <c r="H432" s="751" t="s">
        <v>59</v>
      </c>
      <c r="I432" s="752" t="s">
        <v>891</v>
      </c>
      <c r="J432" s="149" t="s">
        <v>98</v>
      </c>
      <c r="K432" s="692">
        <v>33591.599999999999</v>
      </c>
      <c r="L432" s="165">
        <f t="shared" si="92"/>
        <v>0</v>
      </c>
      <c r="M432" s="165">
        <v>33591.599999999999</v>
      </c>
    </row>
    <row r="433" spans="1:13" s="395" customFormat="1" ht="189" customHeight="1">
      <c r="A433" s="150"/>
      <c r="B433" s="163" t="s">
        <v>308</v>
      </c>
      <c r="C433" s="164" t="s">
        <v>609</v>
      </c>
      <c r="D433" s="149" t="s">
        <v>246</v>
      </c>
      <c r="E433" s="149" t="s">
        <v>59</v>
      </c>
      <c r="F433" s="750" t="s">
        <v>59</v>
      </c>
      <c r="G433" s="751" t="s">
        <v>65</v>
      </c>
      <c r="H433" s="751" t="s">
        <v>59</v>
      </c>
      <c r="I433" s="752" t="s">
        <v>309</v>
      </c>
      <c r="J433" s="149"/>
      <c r="K433" s="692">
        <f>SUM(K434:K436)</f>
        <v>1577.8</v>
      </c>
      <c r="L433" s="165">
        <f>SUM(L434:L436)</f>
        <v>0</v>
      </c>
      <c r="M433" s="165">
        <f>SUM(M434:M436)</f>
        <v>1577.8</v>
      </c>
    </row>
    <row r="434" spans="1:13" s="395" customFormat="1" ht="112.5" customHeight="1">
      <c r="A434" s="150"/>
      <c r="B434" s="163" t="s">
        <v>69</v>
      </c>
      <c r="C434" s="164" t="s">
        <v>609</v>
      </c>
      <c r="D434" s="149" t="s">
        <v>246</v>
      </c>
      <c r="E434" s="149" t="s">
        <v>59</v>
      </c>
      <c r="F434" s="750" t="s">
        <v>59</v>
      </c>
      <c r="G434" s="751" t="s">
        <v>65</v>
      </c>
      <c r="H434" s="751" t="s">
        <v>59</v>
      </c>
      <c r="I434" s="752" t="s">
        <v>309</v>
      </c>
      <c r="J434" s="149" t="s">
        <v>70</v>
      </c>
      <c r="K434" s="692">
        <v>115.8</v>
      </c>
      <c r="L434" s="165">
        <f t="shared" ref="L434:L436" si="93">M434-K434</f>
        <v>0</v>
      </c>
      <c r="M434" s="165">
        <v>115.8</v>
      </c>
    </row>
    <row r="435" spans="1:13" s="395" customFormat="1" ht="37.5" customHeight="1">
      <c r="A435" s="150"/>
      <c r="B435" s="163" t="s">
        <v>141</v>
      </c>
      <c r="C435" s="164" t="s">
        <v>609</v>
      </c>
      <c r="D435" s="149" t="s">
        <v>246</v>
      </c>
      <c r="E435" s="149" t="s">
        <v>59</v>
      </c>
      <c r="F435" s="750" t="s">
        <v>59</v>
      </c>
      <c r="G435" s="751" t="s">
        <v>65</v>
      </c>
      <c r="H435" s="751" t="s">
        <v>59</v>
      </c>
      <c r="I435" s="752" t="s">
        <v>309</v>
      </c>
      <c r="J435" s="149" t="s">
        <v>142</v>
      </c>
      <c r="K435" s="692">
        <v>13.9</v>
      </c>
      <c r="L435" s="165">
        <f t="shared" si="93"/>
        <v>0</v>
      </c>
      <c r="M435" s="165">
        <v>13.9</v>
      </c>
    </row>
    <row r="436" spans="1:13" s="395" customFormat="1" ht="56.25" customHeight="1">
      <c r="A436" s="150"/>
      <c r="B436" s="163" t="s">
        <v>97</v>
      </c>
      <c r="C436" s="164" t="s">
        <v>609</v>
      </c>
      <c r="D436" s="149" t="s">
        <v>246</v>
      </c>
      <c r="E436" s="149" t="s">
        <v>59</v>
      </c>
      <c r="F436" s="750" t="s">
        <v>59</v>
      </c>
      <c r="G436" s="751" t="s">
        <v>65</v>
      </c>
      <c r="H436" s="751" t="s">
        <v>59</v>
      </c>
      <c r="I436" s="752" t="s">
        <v>309</v>
      </c>
      <c r="J436" s="149" t="s">
        <v>98</v>
      </c>
      <c r="K436" s="692">
        <v>1448.1</v>
      </c>
      <c r="L436" s="165">
        <f t="shared" si="93"/>
        <v>0</v>
      </c>
      <c r="M436" s="165">
        <v>1448.1</v>
      </c>
    </row>
    <row r="437" spans="1:13" s="395" customFormat="1" ht="115.5" customHeight="1">
      <c r="A437" s="150"/>
      <c r="B437" s="163" t="s">
        <v>415</v>
      </c>
      <c r="C437" s="164" t="s">
        <v>609</v>
      </c>
      <c r="D437" s="149" t="s">
        <v>246</v>
      </c>
      <c r="E437" s="149" t="s">
        <v>59</v>
      </c>
      <c r="F437" s="750" t="s">
        <v>59</v>
      </c>
      <c r="G437" s="751" t="s">
        <v>65</v>
      </c>
      <c r="H437" s="751" t="s">
        <v>59</v>
      </c>
      <c r="I437" s="752" t="s">
        <v>310</v>
      </c>
      <c r="J437" s="149"/>
      <c r="K437" s="692">
        <f>K438+K439+K440</f>
        <v>404790.7</v>
      </c>
      <c r="L437" s="165">
        <f>L438+L439+L440</f>
        <v>6.8212102632969618E-13</v>
      </c>
      <c r="M437" s="165">
        <f>M438+M439+M440</f>
        <v>404790.7</v>
      </c>
    </row>
    <row r="438" spans="1:13" s="395" customFormat="1" ht="112.5" customHeight="1">
      <c r="A438" s="150"/>
      <c r="B438" s="163" t="s">
        <v>69</v>
      </c>
      <c r="C438" s="164" t="s">
        <v>609</v>
      </c>
      <c r="D438" s="149" t="s">
        <v>246</v>
      </c>
      <c r="E438" s="149" t="s">
        <v>59</v>
      </c>
      <c r="F438" s="750" t="s">
        <v>59</v>
      </c>
      <c r="G438" s="751" t="s">
        <v>65</v>
      </c>
      <c r="H438" s="751" t="s">
        <v>59</v>
      </c>
      <c r="I438" s="752" t="s">
        <v>310</v>
      </c>
      <c r="J438" s="149" t="s">
        <v>70</v>
      </c>
      <c r="K438" s="692">
        <v>27962</v>
      </c>
      <c r="L438" s="165">
        <f t="shared" ref="L438:L440" si="94">M438-K438</f>
        <v>-29.299999999999272</v>
      </c>
      <c r="M438" s="165">
        <f>27962-29.3</f>
        <v>27932.7</v>
      </c>
    </row>
    <row r="439" spans="1:13" s="395" customFormat="1" ht="56.25" customHeight="1">
      <c r="A439" s="150"/>
      <c r="B439" s="163" t="s">
        <v>75</v>
      </c>
      <c r="C439" s="164" t="s">
        <v>609</v>
      </c>
      <c r="D439" s="149" t="s">
        <v>246</v>
      </c>
      <c r="E439" s="149" t="s">
        <v>59</v>
      </c>
      <c r="F439" s="750" t="s">
        <v>59</v>
      </c>
      <c r="G439" s="751" t="s">
        <v>65</v>
      </c>
      <c r="H439" s="751" t="s">
        <v>59</v>
      </c>
      <c r="I439" s="752" t="s">
        <v>310</v>
      </c>
      <c r="J439" s="149" t="s">
        <v>76</v>
      </c>
      <c r="K439" s="692">
        <v>1898.4</v>
      </c>
      <c r="L439" s="165">
        <f t="shared" si="94"/>
        <v>29.299999999999955</v>
      </c>
      <c r="M439" s="165">
        <f>1898.4+29.3</f>
        <v>1927.7</v>
      </c>
    </row>
    <row r="440" spans="1:13" s="395" customFormat="1" ht="56.25" customHeight="1">
      <c r="A440" s="150"/>
      <c r="B440" s="163" t="s">
        <v>97</v>
      </c>
      <c r="C440" s="164" t="s">
        <v>609</v>
      </c>
      <c r="D440" s="149" t="s">
        <v>246</v>
      </c>
      <c r="E440" s="149" t="s">
        <v>59</v>
      </c>
      <c r="F440" s="750" t="s">
        <v>59</v>
      </c>
      <c r="G440" s="751" t="s">
        <v>65</v>
      </c>
      <c r="H440" s="751" t="s">
        <v>59</v>
      </c>
      <c r="I440" s="752" t="s">
        <v>310</v>
      </c>
      <c r="J440" s="149" t="s">
        <v>98</v>
      </c>
      <c r="K440" s="692">
        <v>374930.3</v>
      </c>
      <c r="L440" s="165">
        <f t="shared" si="94"/>
        <v>0</v>
      </c>
      <c r="M440" s="165">
        <v>374930.3</v>
      </c>
    </row>
    <row r="441" spans="1:13" s="391" customFormat="1" ht="93.75" customHeight="1">
      <c r="A441" s="150"/>
      <c r="B441" s="163" t="s">
        <v>231</v>
      </c>
      <c r="C441" s="164" t="s">
        <v>609</v>
      </c>
      <c r="D441" s="149" t="s">
        <v>246</v>
      </c>
      <c r="E441" s="149" t="s">
        <v>59</v>
      </c>
      <c r="F441" s="750" t="s">
        <v>59</v>
      </c>
      <c r="G441" s="751" t="s">
        <v>65</v>
      </c>
      <c r="H441" s="751" t="s">
        <v>59</v>
      </c>
      <c r="I441" s="752" t="s">
        <v>315</v>
      </c>
      <c r="J441" s="149"/>
      <c r="K441" s="692">
        <f t="shared" ref="K441" si="95">SUM(K442:K443)</f>
        <v>2399</v>
      </c>
      <c r="L441" s="165">
        <f t="shared" ref="L441:M441" si="96">SUM(L442:L443)</f>
        <v>0</v>
      </c>
      <c r="M441" s="165">
        <f t="shared" si="96"/>
        <v>2399</v>
      </c>
    </row>
    <row r="442" spans="1:13" s="391" customFormat="1" ht="56.25" customHeight="1">
      <c r="A442" s="150"/>
      <c r="B442" s="163" t="s">
        <v>75</v>
      </c>
      <c r="C442" s="164" t="s">
        <v>609</v>
      </c>
      <c r="D442" s="149" t="s">
        <v>246</v>
      </c>
      <c r="E442" s="149" t="s">
        <v>59</v>
      </c>
      <c r="F442" s="750" t="s">
        <v>59</v>
      </c>
      <c r="G442" s="751" t="s">
        <v>65</v>
      </c>
      <c r="H442" s="751" t="s">
        <v>59</v>
      </c>
      <c r="I442" s="752" t="s">
        <v>315</v>
      </c>
      <c r="J442" s="149" t="s">
        <v>76</v>
      </c>
      <c r="K442" s="692">
        <v>104.8</v>
      </c>
      <c r="L442" s="165">
        <f t="shared" ref="L442:L446" si="97">M442-K442</f>
        <v>0</v>
      </c>
      <c r="M442" s="165">
        <v>104.8</v>
      </c>
    </row>
    <row r="443" spans="1:13" s="391" customFormat="1" ht="56.25" customHeight="1">
      <c r="A443" s="150"/>
      <c r="B443" s="163" t="s">
        <v>97</v>
      </c>
      <c r="C443" s="164" t="s">
        <v>609</v>
      </c>
      <c r="D443" s="149" t="s">
        <v>246</v>
      </c>
      <c r="E443" s="149" t="s">
        <v>59</v>
      </c>
      <c r="F443" s="750" t="s">
        <v>59</v>
      </c>
      <c r="G443" s="751" t="s">
        <v>65</v>
      </c>
      <c r="H443" s="751" t="s">
        <v>59</v>
      </c>
      <c r="I443" s="752" t="s">
        <v>315</v>
      </c>
      <c r="J443" s="149" t="s">
        <v>98</v>
      </c>
      <c r="K443" s="692">
        <v>2294.1999999999998</v>
      </c>
      <c r="L443" s="165">
        <f t="shared" si="97"/>
        <v>0</v>
      </c>
      <c r="M443" s="165">
        <v>2294.1999999999998</v>
      </c>
    </row>
    <row r="444" spans="1:13" s="391" customFormat="1" ht="56.25" customHeight="1">
      <c r="A444" s="150"/>
      <c r="B444" s="163" t="s">
        <v>1009</v>
      </c>
      <c r="C444" s="164" t="s">
        <v>609</v>
      </c>
      <c r="D444" s="149" t="s">
        <v>246</v>
      </c>
      <c r="E444" s="149" t="s">
        <v>59</v>
      </c>
      <c r="F444" s="750" t="s">
        <v>59</v>
      </c>
      <c r="G444" s="751" t="s">
        <v>65</v>
      </c>
      <c r="H444" s="751" t="s">
        <v>59</v>
      </c>
      <c r="I444" s="752" t="s">
        <v>1010</v>
      </c>
      <c r="J444" s="149"/>
      <c r="K444" s="692">
        <f>K445+K446</f>
        <v>6665</v>
      </c>
      <c r="L444" s="165">
        <f>L445+L446</f>
        <v>0</v>
      </c>
      <c r="M444" s="165">
        <f>M445+M446</f>
        <v>6665</v>
      </c>
    </row>
    <row r="445" spans="1:13" s="391" customFormat="1" ht="56.25" customHeight="1">
      <c r="A445" s="150"/>
      <c r="B445" s="163" t="s">
        <v>75</v>
      </c>
      <c r="C445" s="164" t="s">
        <v>609</v>
      </c>
      <c r="D445" s="149" t="s">
        <v>246</v>
      </c>
      <c r="E445" s="149" t="s">
        <v>59</v>
      </c>
      <c r="F445" s="750" t="s">
        <v>59</v>
      </c>
      <c r="G445" s="751" t="s">
        <v>65</v>
      </c>
      <c r="H445" s="751" t="s">
        <v>59</v>
      </c>
      <c r="I445" s="752" t="s">
        <v>1010</v>
      </c>
      <c r="J445" s="149" t="s">
        <v>76</v>
      </c>
      <c r="K445" s="692">
        <v>800</v>
      </c>
      <c r="L445" s="165">
        <f t="shared" si="97"/>
        <v>0</v>
      </c>
      <c r="M445" s="165">
        <v>800</v>
      </c>
    </row>
    <row r="446" spans="1:13" s="391" customFormat="1" ht="56.25" customHeight="1">
      <c r="A446" s="150"/>
      <c r="B446" s="163" t="s">
        <v>97</v>
      </c>
      <c r="C446" s="164" t="s">
        <v>609</v>
      </c>
      <c r="D446" s="149" t="s">
        <v>246</v>
      </c>
      <c r="E446" s="149" t="s">
        <v>59</v>
      </c>
      <c r="F446" s="750" t="s">
        <v>59</v>
      </c>
      <c r="G446" s="751" t="s">
        <v>65</v>
      </c>
      <c r="H446" s="751" t="s">
        <v>59</v>
      </c>
      <c r="I446" s="752" t="s">
        <v>1010</v>
      </c>
      <c r="J446" s="149" t="s">
        <v>98</v>
      </c>
      <c r="K446" s="692">
        <v>5865</v>
      </c>
      <c r="L446" s="165">
        <f t="shared" si="97"/>
        <v>0</v>
      </c>
      <c r="M446" s="165">
        <v>5865</v>
      </c>
    </row>
    <row r="447" spans="1:13" s="391" customFormat="1" ht="93.75" customHeight="1">
      <c r="A447" s="150"/>
      <c r="B447" s="163" t="s">
        <v>765</v>
      </c>
      <c r="C447" s="164" t="s">
        <v>609</v>
      </c>
      <c r="D447" s="149" t="s">
        <v>246</v>
      </c>
      <c r="E447" s="149" t="s">
        <v>59</v>
      </c>
      <c r="F447" s="750" t="s">
        <v>59</v>
      </c>
      <c r="G447" s="751" t="s">
        <v>65</v>
      </c>
      <c r="H447" s="751" t="s">
        <v>59</v>
      </c>
      <c r="I447" s="752" t="s">
        <v>764</v>
      </c>
      <c r="J447" s="149"/>
      <c r="K447" s="692">
        <f>K448+K449</f>
        <v>53475.6</v>
      </c>
      <c r="L447" s="165">
        <f>L448+L449</f>
        <v>0</v>
      </c>
      <c r="M447" s="165">
        <f>M448+M449</f>
        <v>53475.6</v>
      </c>
    </row>
    <row r="448" spans="1:13" s="391" customFormat="1" ht="56.25" customHeight="1">
      <c r="A448" s="150"/>
      <c r="B448" s="163" t="s">
        <v>75</v>
      </c>
      <c r="C448" s="164" t="s">
        <v>609</v>
      </c>
      <c r="D448" s="149" t="s">
        <v>246</v>
      </c>
      <c r="E448" s="149" t="s">
        <v>59</v>
      </c>
      <c r="F448" s="750" t="s">
        <v>59</v>
      </c>
      <c r="G448" s="751" t="s">
        <v>65</v>
      </c>
      <c r="H448" s="751" t="s">
        <v>59</v>
      </c>
      <c r="I448" s="752" t="s">
        <v>764</v>
      </c>
      <c r="J448" s="149" t="s">
        <v>76</v>
      </c>
      <c r="K448" s="692">
        <v>1613.7</v>
      </c>
      <c r="L448" s="165">
        <f t="shared" ref="L448:L451" si="98">M448-K448</f>
        <v>0</v>
      </c>
      <c r="M448" s="165">
        <v>1613.7</v>
      </c>
    </row>
    <row r="449" spans="1:13" s="391" customFormat="1" ht="56.25" customHeight="1">
      <c r="A449" s="150"/>
      <c r="B449" s="163" t="s">
        <v>97</v>
      </c>
      <c r="C449" s="164" t="s">
        <v>609</v>
      </c>
      <c r="D449" s="149" t="s">
        <v>246</v>
      </c>
      <c r="E449" s="149" t="s">
        <v>59</v>
      </c>
      <c r="F449" s="750" t="s">
        <v>59</v>
      </c>
      <c r="G449" s="751" t="s">
        <v>65</v>
      </c>
      <c r="H449" s="751" t="s">
        <v>59</v>
      </c>
      <c r="I449" s="752" t="s">
        <v>764</v>
      </c>
      <c r="J449" s="149" t="s">
        <v>98</v>
      </c>
      <c r="K449" s="692">
        <v>51861.9</v>
      </c>
      <c r="L449" s="165">
        <f t="shared" si="98"/>
        <v>0</v>
      </c>
      <c r="M449" s="165">
        <v>51861.9</v>
      </c>
    </row>
    <row r="450" spans="1:13" s="769" customFormat="1" ht="225" customHeight="1">
      <c r="A450" s="762"/>
      <c r="B450" s="763" t="s">
        <v>1016</v>
      </c>
      <c r="C450" s="764" t="s">
        <v>609</v>
      </c>
      <c r="D450" s="765" t="s">
        <v>246</v>
      </c>
      <c r="E450" s="765" t="s">
        <v>59</v>
      </c>
      <c r="F450" s="766" t="s">
        <v>59</v>
      </c>
      <c r="G450" s="767" t="s">
        <v>65</v>
      </c>
      <c r="H450" s="767" t="s">
        <v>59</v>
      </c>
      <c r="I450" s="768" t="s">
        <v>1015</v>
      </c>
      <c r="J450" s="765"/>
      <c r="K450" s="853">
        <f>K451</f>
        <v>0</v>
      </c>
      <c r="L450" s="741">
        <f>L451</f>
        <v>5968.3</v>
      </c>
      <c r="M450" s="741">
        <f>M451</f>
        <v>5968.3</v>
      </c>
    </row>
    <row r="451" spans="1:13" s="769" customFormat="1" ht="56.25" customHeight="1">
      <c r="A451" s="762"/>
      <c r="B451" s="763" t="s">
        <v>97</v>
      </c>
      <c r="C451" s="764" t="s">
        <v>609</v>
      </c>
      <c r="D451" s="765" t="s">
        <v>246</v>
      </c>
      <c r="E451" s="765" t="s">
        <v>59</v>
      </c>
      <c r="F451" s="766" t="s">
        <v>59</v>
      </c>
      <c r="G451" s="767" t="s">
        <v>65</v>
      </c>
      <c r="H451" s="767" t="s">
        <v>59</v>
      </c>
      <c r="I451" s="768" t="s">
        <v>1015</v>
      </c>
      <c r="J451" s="765" t="s">
        <v>98</v>
      </c>
      <c r="K451" s="853">
        <v>0</v>
      </c>
      <c r="L451" s="741">
        <f t="shared" si="98"/>
        <v>5968.3</v>
      </c>
      <c r="M451" s="741">
        <f>5669.8+298.5</f>
        <v>5968.3</v>
      </c>
    </row>
    <row r="452" spans="1:13" s="391" customFormat="1" ht="56.25" customHeight="1">
      <c r="A452" s="150"/>
      <c r="B452" s="163" t="s">
        <v>726</v>
      </c>
      <c r="C452" s="164" t="s">
        <v>609</v>
      </c>
      <c r="D452" s="149" t="s">
        <v>246</v>
      </c>
      <c r="E452" s="149" t="s">
        <v>59</v>
      </c>
      <c r="F452" s="750" t="s">
        <v>59</v>
      </c>
      <c r="G452" s="751" t="s">
        <v>65</v>
      </c>
      <c r="H452" s="751" t="s">
        <v>725</v>
      </c>
      <c r="I452" s="752" t="s">
        <v>64</v>
      </c>
      <c r="J452" s="149"/>
      <c r="K452" s="692">
        <f t="shared" ref="K452:M453" si="99">K453</f>
        <v>300</v>
      </c>
      <c r="L452" s="165">
        <f t="shared" si="99"/>
        <v>0</v>
      </c>
      <c r="M452" s="165">
        <f t="shared" si="99"/>
        <v>300</v>
      </c>
    </row>
    <row r="453" spans="1:13" s="391" customFormat="1" ht="56.25" customHeight="1">
      <c r="A453" s="150"/>
      <c r="B453" s="163" t="s">
        <v>682</v>
      </c>
      <c r="C453" s="164" t="s">
        <v>609</v>
      </c>
      <c r="D453" s="149" t="s">
        <v>246</v>
      </c>
      <c r="E453" s="149" t="s">
        <v>59</v>
      </c>
      <c r="F453" s="750" t="s">
        <v>59</v>
      </c>
      <c r="G453" s="751" t="s">
        <v>65</v>
      </c>
      <c r="H453" s="751" t="s">
        <v>725</v>
      </c>
      <c r="I453" s="752" t="s">
        <v>683</v>
      </c>
      <c r="J453" s="149"/>
      <c r="K453" s="692">
        <f t="shared" si="99"/>
        <v>300</v>
      </c>
      <c r="L453" s="165">
        <f t="shared" si="99"/>
        <v>0</v>
      </c>
      <c r="M453" s="165">
        <f t="shared" si="99"/>
        <v>300</v>
      </c>
    </row>
    <row r="454" spans="1:13" s="391" customFormat="1" ht="56.25" customHeight="1">
      <c r="A454" s="150"/>
      <c r="B454" s="163" t="s">
        <v>97</v>
      </c>
      <c r="C454" s="164" t="s">
        <v>609</v>
      </c>
      <c r="D454" s="149" t="s">
        <v>246</v>
      </c>
      <c r="E454" s="149" t="s">
        <v>59</v>
      </c>
      <c r="F454" s="750" t="s">
        <v>59</v>
      </c>
      <c r="G454" s="751" t="s">
        <v>65</v>
      </c>
      <c r="H454" s="751" t="s">
        <v>725</v>
      </c>
      <c r="I454" s="752" t="s">
        <v>683</v>
      </c>
      <c r="J454" s="149" t="s">
        <v>98</v>
      </c>
      <c r="K454" s="692">
        <v>300</v>
      </c>
      <c r="L454" s="165">
        <f>M454-K454</f>
        <v>0</v>
      </c>
      <c r="M454" s="165">
        <v>300</v>
      </c>
    </row>
    <row r="455" spans="1:13" s="395" customFormat="1" ht="56.25" customHeight="1">
      <c r="A455" s="150"/>
      <c r="B455" s="163" t="s">
        <v>234</v>
      </c>
      <c r="C455" s="164" t="s">
        <v>609</v>
      </c>
      <c r="D455" s="149" t="s">
        <v>246</v>
      </c>
      <c r="E455" s="149" t="s">
        <v>59</v>
      </c>
      <c r="F455" s="750" t="s">
        <v>59</v>
      </c>
      <c r="G455" s="751" t="s">
        <v>50</v>
      </c>
      <c r="H455" s="751" t="s">
        <v>63</v>
      </c>
      <c r="I455" s="752" t="s">
        <v>64</v>
      </c>
      <c r="J455" s="149"/>
      <c r="K455" s="692">
        <f t="shared" ref="K455:M456" si="100">K456</f>
        <v>2358</v>
      </c>
      <c r="L455" s="165">
        <f t="shared" si="100"/>
        <v>0</v>
      </c>
      <c r="M455" s="165">
        <f t="shared" si="100"/>
        <v>2358</v>
      </c>
    </row>
    <row r="456" spans="1:13" s="395" customFormat="1" ht="37.5" customHeight="1">
      <c r="A456" s="150"/>
      <c r="B456" s="163" t="s">
        <v>322</v>
      </c>
      <c r="C456" s="164" t="s">
        <v>609</v>
      </c>
      <c r="D456" s="149" t="s">
        <v>246</v>
      </c>
      <c r="E456" s="149" t="s">
        <v>59</v>
      </c>
      <c r="F456" s="750" t="s">
        <v>59</v>
      </c>
      <c r="G456" s="751" t="s">
        <v>50</v>
      </c>
      <c r="H456" s="751" t="s">
        <v>57</v>
      </c>
      <c r="I456" s="752" t="s">
        <v>64</v>
      </c>
      <c r="J456" s="149"/>
      <c r="K456" s="692">
        <f t="shared" si="100"/>
        <v>2358</v>
      </c>
      <c r="L456" s="165">
        <f t="shared" si="100"/>
        <v>0</v>
      </c>
      <c r="M456" s="165">
        <f t="shared" si="100"/>
        <v>2358</v>
      </c>
    </row>
    <row r="457" spans="1:13" s="395" customFormat="1" ht="261.75" customHeight="1">
      <c r="A457" s="150"/>
      <c r="B457" s="163" t="s">
        <v>692</v>
      </c>
      <c r="C457" s="164" t="s">
        <v>609</v>
      </c>
      <c r="D457" s="149" t="s">
        <v>246</v>
      </c>
      <c r="E457" s="149" t="s">
        <v>59</v>
      </c>
      <c r="F457" s="750" t="s">
        <v>59</v>
      </c>
      <c r="G457" s="751" t="s">
        <v>50</v>
      </c>
      <c r="H457" s="751" t="s">
        <v>57</v>
      </c>
      <c r="I457" s="752" t="s">
        <v>416</v>
      </c>
      <c r="J457" s="149"/>
      <c r="K457" s="692">
        <f>K459+K458</f>
        <v>2358</v>
      </c>
      <c r="L457" s="165">
        <f>L459+L458</f>
        <v>0</v>
      </c>
      <c r="M457" s="165">
        <f>M459+M458</f>
        <v>2358</v>
      </c>
    </row>
    <row r="458" spans="1:13" s="395" customFormat="1" ht="112.5" customHeight="1">
      <c r="A458" s="150"/>
      <c r="B458" s="163" t="s">
        <v>69</v>
      </c>
      <c r="C458" s="164" t="s">
        <v>609</v>
      </c>
      <c r="D458" s="149" t="s">
        <v>246</v>
      </c>
      <c r="E458" s="149" t="s">
        <v>59</v>
      </c>
      <c r="F458" s="750" t="s">
        <v>59</v>
      </c>
      <c r="G458" s="751" t="s">
        <v>50</v>
      </c>
      <c r="H458" s="751" t="s">
        <v>57</v>
      </c>
      <c r="I458" s="752" t="s">
        <v>416</v>
      </c>
      <c r="J458" s="149" t="s">
        <v>70</v>
      </c>
      <c r="K458" s="692">
        <v>29.8</v>
      </c>
      <c r="L458" s="165">
        <f t="shared" ref="L458:L459" si="101">M458-K458</f>
        <v>0</v>
      </c>
      <c r="M458" s="165">
        <v>29.8</v>
      </c>
    </row>
    <row r="459" spans="1:13" s="395" customFormat="1" ht="56.25" customHeight="1">
      <c r="A459" s="150"/>
      <c r="B459" s="163" t="s">
        <v>97</v>
      </c>
      <c r="C459" s="164" t="s">
        <v>609</v>
      </c>
      <c r="D459" s="149" t="s">
        <v>246</v>
      </c>
      <c r="E459" s="149" t="s">
        <v>59</v>
      </c>
      <c r="F459" s="750" t="s">
        <v>59</v>
      </c>
      <c r="G459" s="751" t="s">
        <v>50</v>
      </c>
      <c r="H459" s="751" t="s">
        <v>57</v>
      </c>
      <c r="I459" s="752" t="s">
        <v>416</v>
      </c>
      <c r="J459" s="149" t="s">
        <v>98</v>
      </c>
      <c r="K459" s="692">
        <v>2328.1999999999998</v>
      </c>
      <c r="L459" s="165">
        <f t="shared" si="101"/>
        <v>0</v>
      </c>
      <c r="M459" s="165">
        <v>2328.1999999999998</v>
      </c>
    </row>
    <row r="460" spans="1:13" s="395" customFormat="1" ht="18.75" customHeight="1">
      <c r="A460" s="150"/>
      <c r="B460" s="163" t="s">
        <v>424</v>
      </c>
      <c r="C460" s="164" t="s">
        <v>609</v>
      </c>
      <c r="D460" s="149" t="s">
        <v>246</v>
      </c>
      <c r="E460" s="149" t="s">
        <v>84</v>
      </c>
      <c r="F460" s="750"/>
      <c r="G460" s="751"/>
      <c r="H460" s="751"/>
      <c r="I460" s="752"/>
      <c r="J460" s="149"/>
      <c r="K460" s="692">
        <f>K461</f>
        <v>58816.988000000005</v>
      </c>
      <c r="L460" s="165">
        <f>L461</f>
        <v>1855.3000000000006</v>
      </c>
      <c r="M460" s="165">
        <f>M461</f>
        <v>60672.288</v>
      </c>
    </row>
    <row r="461" spans="1:13" s="395" customFormat="1" ht="56.25" customHeight="1">
      <c r="A461" s="150"/>
      <c r="B461" s="311" t="s">
        <v>227</v>
      </c>
      <c r="C461" s="164" t="s">
        <v>609</v>
      </c>
      <c r="D461" s="149" t="s">
        <v>246</v>
      </c>
      <c r="E461" s="149" t="s">
        <v>84</v>
      </c>
      <c r="F461" s="750" t="s">
        <v>59</v>
      </c>
      <c r="G461" s="751" t="s">
        <v>62</v>
      </c>
      <c r="H461" s="751" t="s">
        <v>63</v>
      </c>
      <c r="I461" s="752" t="s">
        <v>64</v>
      </c>
      <c r="J461" s="149"/>
      <c r="K461" s="692">
        <f t="shared" ref="K461:M461" si="102">K462</f>
        <v>58816.988000000005</v>
      </c>
      <c r="L461" s="165">
        <f t="shared" si="102"/>
        <v>1855.3000000000006</v>
      </c>
      <c r="M461" s="165">
        <f t="shared" si="102"/>
        <v>60672.288</v>
      </c>
    </row>
    <row r="462" spans="1:13" s="395" customFormat="1" ht="24" customHeight="1">
      <c r="A462" s="150"/>
      <c r="B462" s="163" t="s">
        <v>232</v>
      </c>
      <c r="C462" s="164" t="s">
        <v>609</v>
      </c>
      <c r="D462" s="149" t="s">
        <v>246</v>
      </c>
      <c r="E462" s="149" t="s">
        <v>84</v>
      </c>
      <c r="F462" s="750" t="s">
        <v>59</v>
      </c>
      <c r="G462" s="751" t="s">
        <v>110</v>
      </c>
      <c r="H462" s="751" t="s">
        <v>63</v>
      </c>
      <c r="I462" s="752" t="s">
        <v>64</v>
      </c>
      <c r="J462" s="149"/>
      <c r="K462" s="692">
        <f>K463+K483</f>
        <v>58816.988000000005</v>
      </c>
      <c r="L462" s="165">
        <f>L463+L483</f>
        <v>1855.3000000000006</v>
      </c>
      <c r="M462" s="165">
        <f>M463+M483</f>
        <v>60672.288</v>
      </c>
    </row>
    <row r="463" spans="1:13" s="395" customFormat="1" ht="37.5" customHeight="1">
      <c r="A463" s="150"/>
      <c r="B463" s="163" t="s">
        <v>316</v>
      </c>
      <c r="C463" s="164" t="s">
        <v>609</v>
      </c>
      <c r="D463" s="149" t="s">
        <v>246</v>
      </c>
      <c r="E463" s="149" t="s">
        <v>84</v>
      </c>
      <c r="F463" s="750" t="s">
        <v>59</v>
      </c>
      <c r="G463" s="751" t="s">
        <v>110</v>
      </c>
      <c r="H463" s="751" t="s">
        <v>57</v>
      </c>
      <c r="I463" s="752" t="s">
        <v>64</v>
      </c>
      <c r="J463" s="149"/>
      <c r="K463" s="692">
        <f>K464+K477+K479+K471+K481+K474</f>
        <v>58666.988000000005</v>
      </c>
      <c r="L463" s="165">
        <f>L464+L477+L479+L471+L481+L474+L469</f>
        <v>1855.3000000000006</v>
      </c>
      <c r="M463" s="165">
        <f>M464+M477+M479+M471+M481+M474+M469</f>
        <v>60522.288</v>
      </c>
    </row>
    <row r="464" spans="1:13" s="395" customFormat="1" ht="37.5" customHeight="1">
      <c r="A464" s="150"/>
      <c r="B464" s="166" t="s">
        <v>795</v>
      </c>
      <c r="C464" s="164" t="s">
        <v>609</v>
      </c>
      <c r="D464" s="149" t="s">
        <v>246</v>
      </c>
      <c r="E464" s="149" t="s">
        <v>84</v>
      </c>
      <c r="F464" s="750" t="s">
        <v>59</v>
      </c>
      <c r="G464" s="751" t="s">
        <v>110</v>
      </c>
      <c r="H464" s="751" t="s">
        <v>57</v>
      </c>
      <c r="I464" s="752" t="s">
        <v>112</v>
      </c>
      <c r="J464" s="149"/>
      <c r="K464" s="692">
        <f>K467+K465+K466+K468</f>
        <v>49091.888000000006</v>
      </c>
      <c r="L464" s="165">
        <f>L467+L465+L466+L468</f>
        <v>235.20000000000073</v>
      </c>
      <c r="M464" s="165">
        <f>M467+M465+M466+M468</f>
        <v>49327.088000000003</v>
      </c>
    </row>
    <row r="465" spans="1:25" s="395" customFormat="1" ht="112.5" customHeight="1">
      <c r="A465" s="150"/>
      <c r="B465" s="163" t="s">
        <v>69</v>
      </c>
      <c r="C465" s="164" t="s">
        <v>609</v>
      </c>
      <c r="D465" s="149" t="s">
        <v>246</v>
      </c>
      <c r="E465" s="149" t="s">
        <v>84</v>
      </c>
      <c r="F465" s="750" t="s">
        <v>59</v>
      </c>
      <c r="G465" s="751" t="s">
        <v>110</v>
      </c>
      <c r="H465" s="751" t="s">
        <v>57</v>
      </c>
      <c r="I465" s="752" t="s">
        <v>112</v>
      </c>
      <c r="J465" s="149" t="s">
        <v>70</v>
      </c>
      <c r="K465" s="692">
        <f>26464.4+317.9-7834.7</f>
        <v>18947.600000000002</v>
      </c>
      <c r="L465" s="165">
        <f t="shared" ref="L465:L470" si="103">M465-K465</f>
        <v>0</v>
      </c>
      <c r="M465" s="165">
        <f>26464.4+317.9-7834.7</f>
        <v>18947.600000000002</v>
      </c>
    </row>
    <row r="466" spans="1:25" s="395" customFormat="1" ht="56.25" customHeight="1">
      <c r="A466" s="150"/>
      <c r="B466" s="163" t="s">
        <v>75</v>
      </c>
      <c r="C466" s="164" t="s">
        <v>609</v>
      </c>
      <c r="D466" s="149" t="s">
        <v>246</v>
      </c>
      <c r="E466" s="149" t="s">
        <v>84</v>
      </c>
      <c r="F466" s="750" t="s">
        <v>59</v>
      </c>
      <c r="G466" s="751" t="s">
        <v>110</v>
      </c>
      <c r="H466" s="751" t="s">
        <v>57</v>
      </c>
      <c r="I466" s="752" t="s">
        <v>112</v>
      </c>
      <c r="J466" s="149" t="s">
        <v>76</v>
      </c>
      <c r="K466" s="692">
        <f>2194.4-317.9-336.141+6.888</f>
        <v>1547.2469999999998</v>
      </c>
      <c r="L466" s="165">
        <f t="shared" si="103"/>
        <v>72</v>
      </c>
      <c r="M466" s="165">
        <f>2194.4-317.9-336.141+6.888+72</f>
        <v>1619.2469999999998</v>
      </c>
    </row>
    <row r="467" spans="1:25" s="395" customFormat="1" ht="56.25" customHeight="1">
      <c r="A467" s="150"/>
      <c r="B467" s="163" t="s">
        <v>97</v>
      </c>
      <c r="C467" s="164" t="s">
        <v>609</v>
      </c>
      <c r="D467" s="149" t="s">
        <v>246</v>
      </c>
      <c r="E467" s="149" t="s">
        <v>84</v>
      </c>
      <c r="F467" s="750" t="s">
        <v>59</v>
      </c>
      <c r="G467" s="751" t="s">
        <v>110</v>
      </c>
      <c r="H467" s="751" t="s">
        <v>57</v>
      </c>
      <c r="I467" s="752" t="s">
        <v>112</v>
      </c>
      <c r="J467" s="149" t="s">
        <v>98</v>
      </c>
      <c r="K467" s="692">
        <f>20369.8+8175.797</f>
        <v>28545.596999999998</v>
      </c>
      <c r="L467" s="165">
        <f t="shared" si="103"/>
        <v>123.20000000000073</v>
      </c>
      <c r="M467" s="165">
        <f>20369.8+8175.797+15.2+108</f>
        <v>28668.796999999999</v>
      </c>
    </row>
    <row r="468" spans="1:25" s="395" customFormat="1" ht="18.75" customHeight="1">
      <c r="A468" s="150"/>
      <c r="B468" s="163" t="s">
        <v>77</v>
      </c>
      <c r="C468" s="164" t="s">
        <v>609</v>
      </c>
      <c r="D468" s="149" t="s">
        <v>246</v>
      </c>
      <c r="E468" s="149" t="s">
        <v>84</v>
      </c>
      <c r="F468" s="750" t="s">
        <v>59</v>
      </c>
      <c r="G468" s="751" t="s">
        <v>110</v>
      </c>
      <c r="H468" s="751" t="s">
        <v>57</v>
      </c>
      <c r="I468" s="752" t="s">
        <v>112</v>
      </c>
      <c r="J468" s="149" t="s">
        <v>78</v>
      </c>
      <c r="K468" s="692">
        <f>56.4-4.956</f>
        <v>51.443999999999996</v>
      </c>
      <c r="L468" s="165">
        <f t="shared" si="103"/>
        <v>39.999999999999993</v>
      </c>
      <c r="M468" s="165">
        <f>56.4-4.956+40</f>
        <v>91.443999999999988</v>
      </c>
    </row>
    <row r="469" spans="1:25" s="395" customFormat="1" ht="18.75">
      <c r="A469" s="150"/>
      <c r="B469" s="886" t="s">
        <v>796</v>
      </c>
      <c r="C469" s="887" t="s">
        <v>609</v>
      </c>
      <c r="D469" s="829" t="s">
        <v>246</v>
      </c>
      <c r="E469" s="829" t="s">
        <v>84</v>
      </c>
      <c r="F469" s="830" t="s">
        <v>59</v>
      </c>
      <c r="G469" s="831" t="s">
        <v>110</v>
      </c>
      <c r="H469" s="831" t="s">
        <v>57</v>
      </c>
      <c r="I469" s="832" t="s">
        <v>479</v>
      </c>
      <c r="J469" s="829"/>
      <c r="K469" s="888"/>
      <c r="L469" s="780">
        <f>L470</f>
        <v>660.6</v>
      </c>
      <c r="M469" s="780">
        <f>M470</f>
        <v>660.6</v>
      </c>
    </row>
    <row r="470" spans="1:25" s="395" customFormat="1" ht="54" customHeight="1">
      <c r="A470" s="150"/>
      <c r="B470" s="163" t="s">
        <v>75</v>
      </c>
      <c r="C470" s="887" t="s">
        <v>609</v>
      </c>
      <c r="D470" s="829" t="s">
        <v>246</v>
      </c>
      <c r="E470" s="829" t="s">
        <v>84</v>
      </c>
      <c r="F470" s="830" t="s">
        <v>59</v>
      </c>
      <c r="G470" s="831" t="s">
        <v>110</v>
      </c>
      <c r="H470" s="831" t="s">
        <v>57</v>
      </c>
      <c r="I470" s="832" t="s">
        <v>479</v>
      </c>
      <c r="J470" s="829" t="s">
        <v>76</v>
      </c>
      <c r="K470" s="888"/>
      <c r="L470" s="780">
        <f t="shared" si="103"/>
        <v>660.6</v>
      </c>
      <c r="M470" s="780">
        <v>660.6</v>
      </c>
    </row>
    <row r="471" spans="1:25" s="395" customFormat="1" ht="56.25" customHeight="1">
      <c r="A471" s="150"/>
      <c r="B471" s="163" t="s">
        <v>229</v>
      </c>
      <c r="C471" s="164" t="s">
        <v>609</v>
      </c>
      <c r="D471" s="149" t="s">
        <v>246</v>
      </c>
      <c r="E471" s="149" t="s">
        <v>84</v>
      </c>
      <c r="F471" s="750" t="s">
        <v>59</v>
      </c>
      <c r="G471" s="751" t="s">
        <v>110</v>
      </c>
      <c r="H471" s="751" t="s">
        <v>57</v>
      </c>
      <c r="I471" s="752" t="s">
        <v>313</v>
      </c>
      <c r="J471" s="149"/>
      <c r="K471" s="692">
        <f>K473+K472</f>
        <v>1150.7</v>
      </c>
      <c r="L471" s="165">
        <f>L473+L472</f>
        <v>0</v>
      </c>
      <c r="M471" s="165">
        <f>M473+M472</f>
        <v>1150.7</v>
      </c>
    </row>
    <row r="472" spans="1:25" s="395" customFormat="1" ht="56.25" customHeight="1">
      <c r="A472" s="150"/>
      <c r="B472" s="163" t="s">
        <v>75</v>
      </c>
      <c r="C472" s="164" t="s">
        <v>609</v>
      </c>
      <c r="D472" s="149" t="s">
        <v>246</v>
      </c>
      <c r="E472" s="149" t="s">
        <v>84</v>
      </c>
      <c r="F472" s="750" t="s">
        <v>59</v>
      </c>
      <c r="G472" s="751" t="s">
        <v>110</v>
      </c>
      <c r="H472" s="751" t="s">
        <v>57</v>
      </c>
      <c r="I472" s="752" t="s">
        <v>313</v>
      </c>
      <c r="J472" s="149" t="s">
        <v>76</v>
      </c>
      <c r="K472" s="692">
        <f>627.6-164.4</f>
        <v>463.20000000000005</v>
      </c>
      <c r="L472" s="165">
        <f t="shared" ref="L472:L473" si="104">M472-K472</f>
        <v>0</v>
      </c>
      <c r="M472" s="165">
        <f>627.6-164.4</f>
        <v>463.20000000000005</v>
      </c>
    </row>
    <row r="473" spans="1:25" s="395" customFormat="1" ht="56.25" customHeight="1">
      <c r="A473" s="150"/>
      <c r="B473" s="311" t="s">
        <v>97</v>
      </c>
      <c r="C473" s="164" t="s">
        <v>609</v>
      </c>
      <c r="D473" s="149" t="s">
        <v>246</v>
      </c>
      <c r="E473" s="149" t="s">
        <v>84</v>
      </c>
      <c r="F473" s="750" t="s">
        <v>59</v>
      </c>
      <c r="G473" s="751" t="s">
        <v>110</v>
      </c>
      <c r="H473" s="751" t="s">
        <v>57</v>
      </c>
      <c r="I473" s="752" t="s">
        <v>313</v>
      </c>
      <c r="J473" s="149" t="s">
        <v>98</v>
      </c>
      <c r="K473" s="692">
        <f>523.1+164.4</f>
        <v>687.5</v>
      </c>
      <c r="L473" s="165">
        <f t="shared" si="104"/>
        <v>0</v>
      </c>
      <c r="M473" s="741">
        <f>523.1+164.4</f>
        <v>687.5</v>
      </c>
      <c r="X473" s="532"/>
      <c r="Y473" s="532"/>
    </row>
    <row r="474" spans="1:25" s="395" customFormat="1" ht="37.5" customHeight="1">
      <c r="A474" s="150"/>
      <c r="B474" s="163" t="s">
        <v>230</v>
      </c>
      <c r="C474" s="164" t="s">
        <v>609</v>
      </c>
      <c r="D474" s="149" t="s">
        <v>246</v>
      </c>
      <c r="E474" s="149" t="s">
        <v>84</v>
      </c>
      <c r="F474" s="750" t="s">
        <v>59</v>
      </c>
      <c r="G474" s="751" t="s">
        <v>110</v>
      </c>
      <c r="H474" s="751" t="s">
        <v>57</v>
      </c>
      <c r="I474" s="752" t="s">
        <v>314</v>
      </c>
      <c r="J474" s="149"/>
      <c r="K474" s="692">
        <f>K475+K476</f>
        <v>317</v>
      </c>
      <c r="L474" s="165">
        <f>L475+L476</f>
        <v>959.5</v>
      </c>
      <c r="M474" s="165">
        <f>M475+M476</f>
        <v>1276.5</v>
      </c>
      <c r="X474" s="532"/>
      <c r="Y474" s="532"/>
    </row>
    <row r="475" spans="1:25" s="395" customFormat="1" ht="56.25" customHeight="1">
      <c r="A475" s="150"/>
      <c r="B475" s="163" t="s">
        <v>75</v>
      </c>
      <c r="C475" s="164" t="s">
        <v>609</v>
      </c>
      <c r="D475" s="149" t="s">
        <v>246</v>
      </c>
      <c r="E475" s="149" t="s">
        <v>84</v>
      </c>
      <c r="F475" s="750" t="s">
        <v>59</v>
      </c>
      <c r="G475" s="751" t="s">
        <v>110</v>
      </c>
      <c r="H475" s="751" t="s">
        <v>57</v>
      </c>
      <c r="I475" s="752" t="s">
        <v>314</v>
      </c>
      <c r="J475" s="149" t="s">
        <v>76</v>
      </c>
      <c r="K475" s="692">
        <v>300</v>
      </c>
      <c r="L475" s="165">
        <f t="shared" ref="L475:L476" si="105">M475-K475</f>
        <v>959.5</v>
      </c>
      <c r="M475" s="165">
        <f>300+959.5</f>
        <v>1259.5</v>
      </c>
      <c r="X475" s="532"/>
      <c r="Y475" s="532"/>
    </row>
    <row r="476" spans="1:25" s="395" customFormat="1" ht="56.25" customHeight="1">
      <c r="A476" s="150"/>
      <c r="B476" s="311" t="s">
        <v>97</v>
      </c>
      <c r="C476" s="164" t="s">
        <v>609</v>
      </c>
      <c r="D476" s="149" t="s">
        <v>246</v>
      </c>
      <c r="E476" s="149" t="s">
        <v>84</v>
      </c>
      <c r="F476" s="750" t="s">
        <v>59</v>
      </c>
      <c r="G476" s="751" t="s">
        <v>110</v>
      </c>
      <c r="H476" s="751" t="s">
        <v>57</v>
      </c>
      <c r="I476" s="752" t="s">
        <v>314</v>
      </c>
      <c r="J476" s="149" t="s">
        <v>98</v>
      </c>
      <c r="K476" s="692">
        <v>17</v>
      </c>
      <c r="L476" s="165">
        <f t="shared" si="105"/>
        <v>0</v>
      </c>
      <c r="M476" s="165">
        <v>17</v>
      </c>
      <c r="X476" s="532"/>
      <c r="Y476" s="532"/>
    </row>
    <row r="477" spans="1:25" s="395" customFormat="1" ht="193.5" customHeight="1">
      <c r="A477" s="150"/>
      <c r="B477" s="163" t="s">
        <v>694</v>
      </c>
      <c r="C477" s="164" t="s">
        <v>609</v>
      </c>
      <c r="D477" s="149" t="s">
        <v>246</v>
      </c>
      <c r="E477" s="149" t="s">
        <v>84</v>
      </c>
      <c r="F477" s="750" t="s">
        <v>59</v>
      </c>
      <c r="G477" s="751" t="s">
        <v>110</v>
      </c>
      <c r="H477" s="751" t="s">
        <v>57</v>
      </c>
      <c r="I477" s="752" t="s">
        <v>538</v>
      </c>
      <c r="J477" s="149"/>
      <c r="K477" s="692">
        <f>K478</f>
        <v>124.7</v>
      </c>
      <c r="L477" s="165">
        <f>L478</f>
        <v>0</v>
      </c>
      <c r="M477" s="165">
        <f>M478</f>
        <v>124.7</v>
      </c>
    </row>
    <row r="478" spans="1:25" s="395" customFormat="1" ht="112.5" customHeight="1">
      <c r="A478" s="150"/>
      <c r="B478" s="163" t="s">
        <v>69</v>
      </c>
      <c r="C478" s="164" t="s">
        <v>609</v>
      </c>
      <c r="D478" s="149" t="s">
        <v>246</v>
      </c>
      <c r="E478" s="149" t="s">
        <v>84</v>
      </c>
      <c r="F478" s="750" t="s">
        <v>59</v>
      </c>
      <c r="G478" s="751" t="s">
        <v>110</v>
      </c>
      <c r="H478" s="751" t="s">
        <v>57</v>
      </c>
      <c r="I478" s="752" t="s">
        <v>538</v>
      </c>
      <c r="J478" s="149" t="s">
        <v>70</v>
      </c>
      <c r="K478" s="692">
        <f>125-0.3</f>
        <v>124.7</v>
      </c>
      <c r="L478" s="165">
        <f>M478-K478</f>
        <v>0</v>
      </c>
      <c r="M478" s="165">
        <f>125-0.3</f>
        <v>124.7</v>
      </c>
    </row>
    <row r="479" spans="1:25" s="395" customFormat="1" ht="192" customHeight="1">
      <c r="A479" s="150"/>
      <c r="B479" s="163" t="s">
        <v>308</v>
      </c>
      <c r="C479" s="164" t="s">
        <v>609</v>
      </c>
      <c r="D479" s="149" t="s">
        <v>246</v>
      </c>
      <c r="E479" s="149" t="s">
        <v>84</v>
      </c>
      <c r="F479" s="750" t="s">
        <v>59</v>
      </c>
      <c r="G479" s="751" t="s">
        <v>110</v>
      </c>
      <c r="H479" s="751" t="s">
        <v>57</v>
      </c>
      <c r="I479" s="752" t="s">
        <v>309</v>
      </c>
      <c r="J479" s="149"/>
      <c r="K479" s="692">
        <f>K480</f>
        <v>107.3</v>
      </c>
      <c r="L479" s="165">
        <f>L480</f>
        <v>0</v>
      </c>
      <c r="M479" s="165">
        <f>M480</f>
        <v>107.3</v>
      </c>
    </row>
    <row r="480" spans="1:25" s="395" customFormat="1" ht="35.25" customHeight="1">
      <c r="A480" s="150"/>
      <c r="B480" s="163" t="s">
        <v>97</v>
      </c>
      <c r="C480" s="164" t="s">
        <v>609</v>
      </c>
      <c r="D480" s="149" t="s">
        <v>246</v>
      </c>
      <c r="E480" s="149" t="s">
        <v>84</v>
      </c>
      <c r="F480" s="750" t="s">
        <v>59</v>
      </c>
      <c r="G480" s="751" t="s">
        <v>110</v>
      </c>
      <c r="H480" s="751" t="s">
        <v>57</v>
      </c>
      <c r="I480" s="752" t="s">
        <v>309</v>
      </c>
      <c r="J480" s="149" t="s">
        <v>98</v>
      </c>
      <c r="K480" s="692">
        <v>107.3</v>
      </c>
      <c r="L480" s="165">
        <f t="shared" ref="L480" si="106">M480-K480</f>
        <v>0</v>
      </c>
      <c r="M480" s="165">
        <v>107.3</v>
      </c>
    </row>
    <row r="481" spans="1:13" s="395" customFormat="1" ht="117.75" customHeight="1">
      <c r="A481" s="150"/>
      <c r="B481" s="163" t="s">
        <v>415</v>
      </c>
      <c r="C481" s="164" t="s">
        <v>609</v>
      </c>
      <c r="D481" s="149" t="s">
        <v>246</v>
      </c>
      <c r="E481" s="149" t="s">
        <v>84</v>
      </c>
      <c r="F481" s="750" t="s">
        <v>59</v>
      </c>
      <c r="G481" s="751" t="s">
        <v>110</v>
      </c>
      <c r="H481" s="751" t="s">
        <v>57</v>
      </c>
      <c r="I481" s="752" t="s">
        <v>310</v>
      </c>
      <c r="J481" s="149"/>
      <c r="K481" s="692">
        <f>K482</f>
        <v>7875.4</v>
      </c>
      <c r="L481" s="165">
        <f>L482</f>
        <v>0</v>
      </c>
      <c r="M481" s="165">
        <f>M482</f>
        <v>7875.4</v>
      </c>
    </row>
    <row r="482" spans="1:13" s="395" customFormat="1" ht="56.25" customHeight="1">
      <c r="A482" s="150"/>
      <c r="B482" s="163" t="s">
        <v>97</v>
      </c>
      <c r="C482" s="164" t="s">
        <v>609</v>
      </c>
      <c r="D482" s="149" t="s">
        <v>246</v>
      </c>
      <c r="E482" s="149" t="s">
        <v>84</v>
      </c>
      <c r="F482" s="750" t="s">
        <v>59</v>
      </c>
      <c r="G482" s="751" t="s">
        <v>110</v>
      </c>
      <c r="H482" s="751" t="s">
        <v>57</v>
      </c>
      <c r="I482" s="752" t="s">
        <v>310</v>
      </c>
      <c r="J482" s="149" t="s">
        <v>98</v>
      </c>
      <c r="K482" s="692">
        <v>7875.4</v>
      </c>
      <c r="L482" s="165">
        <f>M482-K482</f>
        <v>0</v>
      </c>
      <c r="M482" s="165">
        <v>7875.4</v>
      </c>
    </row>
    <row r="483" spans="1:13" s="395" customFormat="1" ht="39" customHeight="1">
      <c r="A483" s="150"/>
      <c r="B483" s="163" t="s">
        <v>726</v>
      </c>
      <c r="C483" s="164" t="s">
        <v>609</v>
      </c>
      <c r="D483" s="149" t="s">
        <v>246</v>
      </c>
      <c r="E483" s="149" t="s">
        <v>84</v>
      </c>
      <c r="F483" s="750" t="s">
        <v>59</v>
      </c>
      <c r="G483" s="751" t="s">
        <v>110</v>
      </c>
      <c r="H483" s="751" t="s">
        <v>725</v>
      </c>
      <c r="I483" s="752" t="s">
        <v>64</v>
      </c>
      <c r="J483" s="149"/>
      <c r="K483" s="692">
        <f t="shared" ref="K483:M484" si="107">K484</f>
        <v>150</v>
      </c>
      <c r="L483" s="165">
        <f t="shared" si="107"/>
        <v>0</v>
      </c>
      <c r="M483" s="165">
        <f t="shared" si="107"/>
        <v>150</v>
      </c>
    </row>
    <row r="484" spans="1:13" s="395" customFormat="1" ht="56.25" customHeight="1">
      <c r="A484" s="150"/>
      <c r="B484" s="163" t="s">
        <v>682</v>
      </c>
      <c r="C484" s="164" t="s">
        <v>609</v>
      </c>
      <c r="D484" s="149" t="s">
        <v>246</v>
      </c>
      <c r="E484" s="149" t="s">
        <v>84</v>
      </c>
      <c r="F484" s="750" t="s">
        <v>59</v>
      </c>
      <c r="G484" s="751" t="s">
        <v>110</v>
      </c>
      <c r="H484" s="751" t="s">
        <v>725</v>
      </c>
      <c r="I484" s="752" t="s">
        <v>683</v>
      </c>
      <c r="J484" s="149"/>
      <c r="K484" s="692">
        <f t="shared" si="107"/>
        <v>150</v>
      </c>
      <c r="L484" s="165">
        <f t="shared" si="107"/>
        <v>0</v>
      </c>
      <c r="M484" s="165">
        <f t="shared" si="107"/>
        <v>150</v>
      </c>
    </row>
    <row r="485" spans="1:13" s="395" customFormat="1" ht="56.25" customHeight="1">
      <c r="A485" s="150"/>
      <c r="B485" s="163" t="s">
        <v>97</v>
      </c>
      <c r="C485" s="164" t="s">
        <v>609</v>
      </c>
      <c r="D485" s="149" t="s">
        <v>246</v>
      </c>
      <c r="E485" s="149" t="s">
        <v>84</v>
      </c>
      <c r="F485" s="750" t="s">
        <v>59</v>
      </c>
      <c r="G485" s="751" t="s">
        <v>110</v>
      </c>
      <c r="H485" s="751" t="s">
        <v>725</v>
      </c>
      <c r="I485" s="752" t="s">
        <v>683</v>
      </c>
      <c r="J485" s="149" t="s">
        <v>98</v>
      </c>
      <c r="K485" s="692">
        <v>150</v>
      </c>
      <c r="L485" s="165">
        <f>M485-K485</f>
        <v>0</v>
      </c>
      <c r="M485" s="165">
        <v>150</v>
      </c>
    </row>
    <row r="486" spans="1:13" s="395" customFormat="1" ht="21" customHeight="1">
      <c r="A486" s="150"/>
      <c r="B486" s="163" t="s">
        <v>425</v>
      </c>
      <c r="C486" s="164" t="s">
        <v>609</v>
      </c>
      <c r="D486" s="149" t="s">
        <v>246</v>
      </c>
      <c r="E486" s="149" t="s">
        <v>246</v>
      </c>
      <c r="F486" s="750"/>
      <c r="G486" s="751"/>
      <c r="H486" s="751"/>
      <c r="I486" s="752"/>
      <c r="J486" s="149"/>
      <c r="K486" s="692">
        <f t="shared" ref="K486:M487" si="108">K487</f>
        <v>7252.7999999999993</v>
      </c>
      <c r="L486" s="165">
        <f t="shared" si="108"/>
        <v>666.50000000000011</v>
      </c>
      <c r="M486" s="165">
        <f t="shared" si="108"/>
        <v>7919.2999999999993</v>
      </c>
    </row>
    <row r="487" spans="1:13" s="395" customFormat="1" ht="56.25" customHeight="1">
      <c r="A487" s="150"/>
      <c r="B487" s="163" t="s">
        <v>227</v>
      </c>
      <c r="C487" s="164" t="s">
        <v>609</v>
      </c>
      <c r="D487" s="149" t="s">
        <v>246</v>
      </c>
      <c r="E487" s="149" t="s">
        <v>246</v>
      </c>
      <c r="F487" s="750" t="s">
        <v>59</v>
      </c>
      <c r="G487" s="751" t="s">
        <v>62</v>
      </c>
      <c r="H487" s="751" t="s">
        <v>63</v>
      </c>
      <c r="I487" s="752" t="s">
        <v>64</v>
      </c>
      <c r="J487" s="149"/>
      <c r="K487" s="692">
        <f t="shared" si="108"/>
        <v>7252.7999999999993</v>
      </c>
      <c r="L487" s="165">
        <f t="shared" si="108"/>
        <v>666.50000000000011</v>
      </c>
      <c r="M487" s="165">
        <f t="shared" si="108"/>
        <v>7919.2999999999993</v>
      </c>
    </row>
    <row r="488" spans="1:13" s="395" customFormat="1" ht="56.25" customHeight="1">
      <c r="A488" s="150"/>
      <c r="B488" s="163" t="s">
        <v>234</v>
      </c>
      <c r="C488" s="164" t="s">
        <v>609</v>
      </c>
      <c r="D488" s="149" t="s">
        <v>246</v>
      </c>
      <c r="E488" s="149" t="s">
        <v>246</v>
      </c>
      <c r="F488" s="750" t="s">
        <v>59</v>
      </c>
      <c r="G488" s="751" t="s">
        <v>50</v>
      </c>
      <c r="H488" s="751" t="s">
        <v>63</v>
      </c>
      <c r="I488" s="752" t="s">
        <v>64</v>
      </c>
      <c r="J488" s="149"/>
      <c r="K488" s="692">
        <f>K489</f>
        <v>7252.7999999999993</v>
      </c>
      <c r="L488" s="165">
        <f>L489</f>
        <v>666.50000000000011</v>
      </c>
      <c r="M488" s="165">
        <f>M489</f>
        <v>7919.2999999999993</v>
      </c>
    </row>
    <row r="489" spans="1:13" s="395" customFormat="1" ht="56.25" customHeight="1">
      <c r="A489" s="150"/>
      <c r="B489" s="163" t="s">
        <v>321</v>
      </c>
      <c r="C489" s="164" t="s">
        <v>609</v>
      </c>
      <c r="D489" s="149" t="s">
        <v>246</v>
      </c>
      <c r="E489" s="149" t="s">
        <v>246</v>
      </c>
      <c r="F489" s="750" t="s">
        <v>59</v>
      </c>
      <c r="G489" s="751" t="s">
        <v>50</v>
      </c>
      <c r="H489" s="751" t="s">
        <v>59</v>
      </c>
      <c r="I489" s="752" t="s">
        <v>64</v>
      </c>
      <c r="J489" s="149"/>
      <c r="K489" s="692">
        <f>K490+K492</f>
        <v>7252.7999999999993</v>
      </c>
      <c r="L489" s="165">
        <f>L490+L492</f>
        <v>666.50000000000011</v>
      </c>
      <c r="M489" s="165">
        <f>M490+M492</f>
        <v>7919.2999999999993</v>
      </c>
    </row>
    <row r="490" spans="1:13" s="395" customFormat="1" ht="35.25" customHeight="1">
      <c r="A490" s="150"/>
      <c r="B490" s="163" t="s">
        <v>812</v>
      </c>
      <c r="C490" s="164" t="s">
        <v>609</v>
      </c>
      <c r="D490" s="149" t="s">
        <v>246</v>
      </c>
      <c r="E490" s="149" t="s">
        <v>246</v>
      </c>
      <c r="F490" s="750" t="s">
        <v>59</v>
      </c>
      <c r="G490" s="751" t="s">
        <v>50</v>
      </c>
      <c r="H490" s="751" t="s">
        <v>59</v>
      </c>
      <c r="I490" s="752" t="s">
        <v>811</v>
      </c>
      <c r="J490" s="149"/>
      <c r="K490" s="692">
        <f>K491</f>
        <v>502.9</v>
      </c>
      <c r="L490" s="165">
        <f>L491</f>
        <v>666.50000000000011</v>
      </c>
      <c r="M490" s="165">
        <f>M491</f>
        <v>1169.4000000000001</v>
      </c>
    </row>
    <row r="491" spans="1:13" s="395" customFormat="1" ht="56.25" customHeight="1">
      <c r="A491" s="150"/>
      <c r="B491" s="163" t="s">
        <v>97</v>
      </c>
      <c r="C491" s="164" t="s">
        <v>609</v>
      </c>
      <c r="D491" s="149" t="s">
        <v>246</v>
      </c>
      <c r="E491" s="149" t="s">
        <v>246</v>
      </c>
      <c r="F491" s="750" t="s">
        <v>59</v>
      </c>
      <c r="G491" s="751" t="s">
        <v>50</v>
      </c>
      <c r="H491" s="751" t="s">
        <v>59</v>
      </c>
      <c r="I491" s="752" t="s">
        <v>811</v>
      </c>
      <c r="J491" s="149" t="s">
        <v>98</v>
      </c>
      <c r="K491" s="692">
        <v>502.9</v>
      </c>
      <c r="L491" s="165">
        <f>M491-K491</f>
        <v>666.50000000000011</v>
      </c>
      <c r="M491" s="165">
        <f>502.9+666.5</f>
        <v>1169.4000000000001</v>
      </c>
    </row>
    <row r="492" spans="1:13" s="395" customFormat="1" ht="114.75" customHeight="1">
      <c r="A492" s="150"/>
      <c r="B492" s="163" t="s">
        <v>734</v>
      </c>
      <c r="C492" s="164" t="s">
        <v>609</v>
      </c>
      <c r="D492" s="149" t="s">
        <v>246</v>
      </c>
      <c r="E492" s="149" t="s">
        <v>246</v>
      </c>
      <c r="F492" s="750" t="s">
        <v>59</v>
      </c>
      <c r="G492" s="751" t="s">
        <v>50</v>
      </c>
      <c r="H492" s="751" t="s">
        <v>59</v>
      </c>
      <c r="I492" s="752" t="s">
        <v>733</v>
      </c>
      <c r="J492" s="149"/>
      <c r="K492" s="692">
        <f>K493</f>
        <v>6749.9</v>
      </c>
      <c r="L492" s="165">
        <f>L493</f>
        <v>0</v>
      </c>
      <c r="M492" s="165">
        <f>M493</f>
        <v>6749.9</v>
      </c>
    </row>
    <row r="493" spans="1:13" s="395" customFormat="1" ht="56.25" customHeight="1">
      <c r="A493" s="150"/>
      <c r="B493" s="163" t="s">
        <v>97</v>
      </c>
      <c r="C493" s="164" t="s">
        <v>609</v>
      </c>
      <c r="D493" s="149" t="s">
        <v>246</v>
      </c>
      <c r="E493" s="149" t="s">
        <v>246</v>
      </c>
      <c r="F493" s="750" t="s">
        <v>59</v>
      </c>
      <c r="G493" s="751" t="s">
        <v>50</v>
      </c>
      <c r="H493" s="751" t="s">
        <v>59</v>
      </c>
      <c r="I493" s="752" t="s">
        <v>733</v>
      </c>
      <c r="J493" s="149" t="s">
        <v>98</v>
      </c>
      <c r="K493" s="692">
        <v>6749.9</v>
      </c>
      <c r="L493" s="165">
        <f>M493-K493</f>
        <v>0</v>
      </c>
      <c r="M493" s="165">
        <v>6749.9</v>
      </c>
    </row>
    <row r="494" spans="1:13" s="395" customFormat="1" ht="18.75" customHeight="1">
      <c r="A494" s="150"/>
      <c r="B494" s="163" t="s">
        <v>208</v>
      </c>
      <c r="C494" s="164" t="s">
        <v>609</v>
      </c>
      <c r="D494" s="149" t="s">
        <v>246</v>
      </c>
      <c r="E494" s="149" t="s">
        <v>100</v>
      </c>
      <c r="F494" s="750"/>
      <c r="G494" s="751"/>
      <c r="H494" s="751"/>
      <c r="I494" s="752"/>
      <c r="J494" s="149"/>
      <c r="K494" s="692">
        <f>K495</f>
        <v>62390.472000000009</v>
      </c>
      <c r="L494" s="165">
        <f>L495</f>
        <v>-12.799999999999955</v>
      </c>
      <c r="M494" s="165">
        <f>M495</f>
        <v>62377.672000000006</v>
      </c>
    </row>
    <row r="495" spans="1:13" s="395" customFormat="1" ht="56.25" customHeight="1">
      <c r="A495" s="150"/>
      <c r="B495" s="163" t="s">
        <v>227</v>
      </c>
      <c r="C495" s="164" t="s">
        <v>609</v>
      </c>
      <c r="D495" s="149" t="s">
        <v>246</v>
      </c>
      <c r="E495" s="149" t="s">
        <v>100</v>
      </c>
      <c r="F495" s="750" t="s">
        <v>59</v>
      </c>
      <c r="G495" s="751" t="s">
        <v>62</v>
      </c>
      <c r="H495" s="751" t="s">
        <v>63</v>
      </c>
      <c r="I495" s="752" t="s">
        <v>64</v>
      </c>
      <c r="J495" s="149"/>
      <c r="K495" s="692">
        <f>K500+K496</f>
        <v>62390.472000000009</v>
      </c>
      <c r="L495" s="165">
        <f>L500+L496</f>
        <v>-12.799999999999955</v>
      </c>
      <c r="M495" s="165">
        <f>M500+M496</f>
        <v>62377.672000000006</v>
      </c>
    </row>
    <row r="496" spans="1:13" s="395" customFormat="1" ht="25.5" customHeight="1">
      <c r="A496" s="150"/>
      <c r="B496" s="163" t="s">
        <v>232</v>
      </c>
      <c r="C496" s="164" t="s">
        <v>609</v>
      </c>
      <c r="D496" s="149" t="s">
        <v>246</v>
      </c>
      <c r="E496" s="149" t="s">
        <v>100</v>
      </c>
      <c r="F496" s="750" t="s">
        <v>59</v>
      </c>
      <c r="G496" s="751" t="s">
        <v>110</v>
      </c>
      <c r="H496" s="751" t="s">
        <v>63</v>
      </c>
      <c r="I496" s="752" t="s">
        <v>64</v>
      </c>
      <c r="J496" s="149"/>
      <c r="K496" s="692">
        <f t="shared" ref="K496:M498" si="109">K497</f>
        <v>36</v>
      </c>
      <c r="L496" s="165">
        <f t="shared" si="109"/>
        <v>0</v>
      </c>
      <c r="M496" s="165">
        <f t="shared" si="109"/>
        <v>36</v>
      </c>
    </row>
    <row r="497" spans="1:13" s="395" customFormat="1" ht="18.75" customHeight="1">
      <c r="A497" s="150"/>
      <c r="B497" s="163" t="s">
        <v>317</v>
      </c>
      <c r="C497" s="164" t="s">
        <v>609</v>
      </c>
      <c r="D497" s="149" t="s">
        <v>246</v>
      </c>
      <c r="E497" s="149" t="s">
        <v>100</v>
      </c>
      <c r="F497" s="750" t="s">
        <v>59</v>
      </c>
      <c r="G497" s="751" t="s">
        <v>110</v>
      </c>
      <c r="H497" s="751" t="s">
        <v>59</v>
      </c>
      <c r="I497" s="752" t="s">
        <v>64</v>
      </c>
      <c r="J497" s="149"/>
      <c r="K497" s="692">
        <f t="shared" si="109"/>
        <v>36</v>
      </c>
      <c r="L497" s="165">
        <f t="shared" si="109"/>
        <v>0</v>
      </c>
      <c r="M497" s="165">
        <f t="shared" si="109"/>
        <v>36</v>
      </c>
    </row>
    <row r="498" spans="1:13" s="395" customFormat="1" ht="58.15" customHeight="1">
      <c r="A498" s="150"/>
      <c r="B498" s="163" t="s">
        <v>318</v>
      </c>
      <c r="C498" s="164" t="s">
        <v>609</v>
      </c>
      <c r="D498" s="149" t="s">
        <v>246</v>
      </c>
      <c r="E498" s="149" t="s">
        <v>100</v>
      </c>
      <c r="F498" s="750" t="s">
        <v>59</v>
      </c>
      <c r="G498" s="751" t="s">
        <v>110</v>
      </c>
      <c r="H498" s="751" t="s">
        <v>59</v>
      </c>
      <c r="I498" s="752" t="s">
        <v>319</v>
      </c>
      <c r="J498" s="149"/>
      <c r="K498" s="692">
        <f t="shared" si="109"/>
        <v>36</v>
      </c>
      <c r="L498" s="165">
        <f t="shared" si="109"/>
        <v>0</v>
      </c>
      <c r="M498" s="165">
        <f t="shared" si="109"/>
        <v>36</v>
      </c>
    </row>
    <row r="499" spans="1:13" s="395" customFormat="1" ht="37.5" customHeight="1">
      <c r="A499" s="150"/>
      <c r="B499" s="163" t="s">
        <v>141</v>
      </c>
      <c r="C499" s="164" t="s">
        <v>609</v>
      </c>
      <c r="D499" s="149" t="s">
        <v>246</v>
      </c>
      <c r="E499" s="149" t="s">
        <v>100</v>
      </c>
      <c r="F499" s="750" t="s">
        <v>59</v>
      </c>
      <c r="G499" s="751" t="s">
        <v>110</v>
      </c>
      <c r="H499" s="751" t="s">
        <v>59</v>
      </c>
      <c r="I499" s="752" t="s">
        <v>319</v>
      </c>
      <c r="J499" s="149" t="s">
        <v>142</v>
      </c>
      <c r="K499" s="692">
        <v>36</v>
      </c>
      <c r="L499" s="165">
        <f>M499-K499</f>
        <v>0</v>
      </c>
      <c r="M499" s="165">
        <v>36</v>
      </c>
    </row>
    <row r="500" spans="1:13" s="395" customFormat="1" ht="56.25" customHeight="1">
      <c r="A500" s="150"/>
      <c r="B500" s="163" t="s">
        <v>234</v>
      </c>
      <c r="C500" s="164" t="s">
        <v>609</v>
      </c>
      <c r="D500" s="149" t="s">
        <v>246</v>
      </c>
      <c r="E500" s="149" t="s">
        <v>100</v>
      </c>
      <c r="F500" s="750" t="s">
        <v>59</v>
      </c>
      <c r="G500" s="751" t="s">
        <v>50</v>
      </c>
      <c r="H500" s="751" t="s">
        <v>63</v>
      </c>
      <c r="I500" s="752" t="s">
        <v>64</v>
      </c>
      <c r="J500" s="149"/>
      <c r="K500" s="692">
        <f t="shared" ref="K500:M500" si="110">K501</f>
        <v>62354.472000000009</v>
      </c>
      <c r="L500" s="165">
        <f t="shared" si="110"/>
        <v>-12.799999999999955</v>
      </c>
      <c r="M500" s="165">
        <f t="shared" si="110"/>
        <v>62341.672000000006</v>
      </c>
    </row>
    <row r="501" spans="1:13" s="395" customFormat="1" ht="37.5" customHeight="1">
      <c r="A501" s="150"/>
      <c r="B501" s="163" t="s">
        <v>322</v>
      </c>
      <c r="C501" s="164" t="s">
        <v>609</v>
      </c>
      <c r="D501" s="149" t="s">
        <v>246</v>
      </c>
      <c r="E501" s="149" t="s">
        <v>100</v>
      </c>
      <c r="F501" s="750" t="s">
        <v>59</v>
      </c>
      <c r="G501" s="751" t="s">
        <v>50</v>
      </c>
      <c r="H501" s="751" t="s">
        <v>57</v>
      </c>
      <c r="I501" s="752" t="s">
        <v>64</v>
      </c>
      <c r="J501" s="149"/>
      <c r="K501" s="692">
        <f>K502+K506+K511+K515+K513</f>
        <v>62354.472000000009</v>
      </c>
      <c r="L501" s="165">
        <f>L502+L506+L515+L513+L511</f>
        <v>-12.799999999999955</v>
      </c>
      <c r="M501" s="165">
        <f>M502+M506+M511+M515+M513</f>
        <v>62341.672000000006</v>
      </c>
    </row>
    <row r="502" spans="1:13" s="395" customFormat="1" ht="37.5" customHeight="1">
      <c r="A502" s="150"/>
      <c r="B502" s="163" t="s">
        <v>67</v>
      </c>
      <c r="C502" s="164" t="s">
        <v>609</v>
      </c>
      <c r="D502" s="149" t="s">
        <v>246</v>
      </c>
      <c r="E502" s="149" t="s">
        <v>100</v>
      </c>
      <c r="F502" s="750" t="s">
        <v>59</v>
      </c>
      <c r="G502" s="751" t="s">
        <v>50</v>
      </c>
      <c r="H502" s="751" t="s">
        <v>57</v>
      </c>
      <c r="I502" s="752" t="s">
        <v>68</v>
      </c>
      <c r="J502" s="149"/>
      <c r="K502" s="692">
        <f>K503+K504+K505</f>
        <v>9957.866</v>
      </c>
      <c r="L502" s="165">
        <f>L503+L504+L505</f>
        <v>-12.799999999999955</v>
      </c>
      <c r="M502" s="165">
        <f>M503+M504+M505</f>
        <v>9945.0660000000007</v>
      </c>
    </row>
    <row r="503" spans="1:13" s="395" customFormat="1" ht="112.5" customHeight="1">
      <c r="A503" s="150"/>
      <c r="B503" s="163" t="s">
        <v>69</v>
      </c>
      <c r="C503" s="164" t="s">
        <v>609</v>
      </c>
      <c r="D503" s="149" t="s">
        <v>246</v>
      </c>
      <c r="E503" s="149" t="s">
        <v>100</v>
      </c>
      <c r="F503" s="750" t="s">
        <v>59</v>
      </c>
      <c r="G503" s="751" t="s">
        <v>50</v>
      </c>
      <c r="H503" s="751" t="s">
        <v>57</v>
      </c>
      <c r="I503" s="752" t="s">
        <v>68</v>
      </c>
      <c r="J503" s="149" t="s">
        <v>70</v>
      </c>
      <c r="K503" s="692">
        <v>9265.9</v>
      </c>
      <c r="L503" s="165">
        <f t="shared" ref="L503:L505" si="111">M503-K503</f>
        <v>0</v>
      </c>
      <c r="M503" s="165">
        <v>9265.9</v>
      </c>
    </row>
    <row r="504" spans="1:13" s="395" customFormat="1" ht="56.25" customHeight="1">
      <c r="A504" s="150"/>
      <c r="B504" s="163" t="s">
        <v>75</v>
      </c>
      <c r="C504" s="164" t="s">
        <v>609</v>
      </c>
      <c r="D504" s="149" t="s">
        <v>246</v>
      </c>
      <c r="E504" s="149" t="s">
        <v>100</v>
      </c>
      <c r="F504" s="750" t="s">
        <v>59</v>
      </c>
      <c r="G504" s="751" t="s">
        <v>50</v>
      </c>
      <c r="H504" s="751" t="s">
        <v>57</v>
      </c>
      <c r="I504" s="752" t="s">
        <v>68</v>
      </c>
      <c r="J504" s="149" t="s">
        <v>76</v>
      </c>
      <c r="K504" s="692">
        <f>638.5+31.1+7.466-2.3</f>
        <v>674.76600000000008</v>
      </c>
      <c r="L504" s="165">
        <f t="shared" si="111"/>
        <v>-12.799999999999955</v>
      </c>
      <c r="M504" s="741">
        <f>638.5+31.1+7.466-2.3-12.8</f>
        <v>661.96600000000012</v>
      </c>
    </row>
    <row r="505" spans="1:13" s="395" customFormat="1" ht="18.75" customHeight="1">
      <c r="A505" s="150"/>
      <c r="B505" s="163" t="s">
        <v>77</v>
      </c>
      <c r="C505" s="164" t="s">
        <v>609</v>
      </c>
      <c r="D505" s="149" t="s">
        <v>246</v>
      </c>
      <c r="E505" s="149" t="s">
        <v>100</v>
      </c>
      <c r="F505" s="750" t="s">
        <v>59</v>
      </c>
      <c r="G505" s="751" t="s">
        <v>50</v>
      </c>
      <c r="H505" s="751" t="s">
        <v>57</v>
      </c>
      <c r="I505" s="752" t="s">
        <v>68</v>
      </c>
      <c r="J505" s="149" t="s">
        <v>78</v>
      </c>
      <c r="K505" s="692">
        <f>14.9+2.3</f>
        <v>17.2</v>
      </c>
      <c r="L505" s="165">
        <f t="shared" si="111"/>
        <v>0</v>
      </c>
      <c r="M505" s="165">
        <f>14.9+2.3</f>
        <v>17.2</v>
      </c>
    </row>
    <row r="506" spans="1:13" s="395" customFormat="1" ht="35.25" customHeight="1">
      <c r="A506" s="150"/>
      <c r="B506" s="166" t="s">
        <v>795</v>
      </c>
      <c r="C506" s="164" t="s">
        <v>609</v>
      </c>
      <c r="D506" s="149" t="s">
        <v>246</v>
      </c>
      <c r="E506" s="149" t="s">
        <v>100</v>
      </c>
      <c r="F506" s="750" t="s">
        <v>59</v>
      </c>
      <c r="G506" s="751" t="s">
        <v>50</v>
      </c>
      <c r="H506" s="751" t="s">
        <v>57</v>
      </c>
      <c r="I506" s="752" t="s">
        <v>112</v>
      </c>
      <c r="J506" s="149"/>
      <c r="K506" s="692">
        <f>K507+K508+K510+K509</f>
        <v>46129.406000000003</v>
      </c>
      <c r="L506" s="165">
        <f>L507+L508+L510+L509</f>
        <v>0</v>
      </c>
      <c r="M506" s="165">
        <f>M507+M508+M510+M509</f>
        <v>46129.406000000003</v>
      </c>
    </row>
    <row r="507" spans="1:13" s="395" customFormat="1" ht="112.5" customHeight="1">
      <c r="A507" s="150"/>
      <c r="B507" s="163" t="s">
        <v>69</v>
      </c>
      <c r="C507" s="164" t="s">
        <v>609</v>
      </c>
      <c r="D507" s="149" t="s">
        <v>246</v>
      </c>
      <c r="E507" s="149" t="s">
        <v>100</v>
      </c>
      <c r="F507" s="750" t="s">
        <v>59</v>
      </c>
      <c r="G507" s="751" t="s">
        <v>50</v>
      </c>
      <c r="H507" s="751" t="s">
        <v>57</v>
      </c>
      <c r="I507" s="752" t="s">
        <v>112</v>
      </c>
      <c r="J507" s="149" t="s">
        <v>70</v>
      </c>
      <c r="K507" s="692">
        <v>27266.3</v>
      </c>
      <c r="L507" s="165">
        <f t="shared" ref="L507:L512" si="112">M507-K507</f>
        <v>0</v>
      </c>
      <c r="M507" s="165">
        <f>27266.3-1421.3+1421.3</f>
        <v>27266.3</v>
      </c>
    </row>
    <row r="508" spans="1:13" s="395" customFormat="1" ht="56.25" customHeight="1">
      <c r="A508" s="150"/>
      <c r="B508" s="163" t="s">
        <v>75</v>
      </c>
      <c r="C508" s="164" t="s">
        <v>609</v>
      </c>
      <c r="D508" s="149" t="s">
        <v>246</v>
      </c>
      <c r="E508" s="149" t="s">
        <v>100</v>
      </c>
      <c r="F508" s="750" t="s">
        <v>59</v>
      </c>
      <c r="G508" s="751" t="s">
        <v>50</v>
      </c>
      <c r="H508" s="751" t="s">
        <v>57</v>
      </c>
      <c r="I508" s="752" t="s">
        <v>112</v>
      </c>
      <c r="J508" s="149" t="s">
        <v>76</v>
      </c>
      <c r="K508" s="692">
        <f>2461+8.906</f>
        <v>2469.9059999999999</v>
      </c>
      <c r="L508" s="165">
        <f t="shared" si="112"/>
        <v>0</v>
      </c>
      <c r="M508" s="165">
        <f>2461+8.906</f>
        <v>2469.9059999999999</v>
      </c>
    </row>
    <row r="509" spans="1:13" s="395" customFormat="1" ht="56.25" customHeight="1">
      <c r="A509" s="150"/>
      <c r="B509" s="163" t="s">
        <v>97</v>
      </c>
      <c r="C509" s="164" t="s">
        <v>609</v>
      </c>
      <c r="D509" s="149" t="s">
        <v>246</v>
      </c>
      <c r="E509" s="149" t="s">
        <v>100</v>
      </c>
      <c r="F509" s="750" t="s">
        <v>59</v>
      </c>
      <c r="G509" s="751" t="s">
        <v>50</v>
      </c>
      <c r="H509" s="751" t="s">
        <v>57</v>
      </c>
      <c r="I509" s="752" t="s">
        <v>112</v>
      </c>
      <c r="J509" s="149" t="s">
        <v>98</v>
      </c>
      <c r="K509" s="692">
        <v>16385</v>
      </c>
      <c r="L509" s="165">
        <f t="shared" si="112"/>
        <v>0</v>
      </c>
      <c r="M509" s="165">
        <v>16385</v>
      </c>
    </row>
    <row r="510" spans="1:13" s="395" customFormat="1" ht="18.75" customHeight="1">
      <c r="A510" s="150"/>
      <c r="B510" s="163" t="s">
        <v>77</v>
      </c>
      <c r="C510" s="164" t="s">
        <v>609</v>
      </c>
      <c r="D510" s="149" t="s">
        <v>246</v>
      </c>
      <c r="E510" s="149" t="s">
        <v>100</v>
      </c>
      <c r="F510" s="750" t="s">
        <v>59</v>
      </c>
      <c r="G510" s="751" t="s">
        <v>50</v>
      </c>
      <c r="H510" s="751" t="s">
        <v>57</v>
      </c>
      <c r="I510" s="752" t="s">
        <v>112</v>
      </c>
      <c r="J510" s="149" t="s">
        <v>78</v>
      </c>
      <c r="K510" s="692">
        <v>8.1999999999999993</v>
      </c>
      <c r="L510" s="165">
        <f t="shared" si="112"/>
        <v>0</v>
      </c>
      <c r="M510" s="165">
        <v>8.1999999999999993</v>
      </c>
    </row>
    <row r="511" spans="1:13" s="395" customFormat="1" ht="18.75" customHeight="1">
      <c r="A511" s="150"/>
      <c r="B511" s="163" t="s">
        <v>796</v>
      </c>
      <c r="C511" s="164" t="s">
        <v>609</v>
      </c>
      <c r="D511" s="149" t="s">
        <v>246</v>
      </c>
      <c r="E511" s="149" t="s">
        <v>100</v>
      </c>
      <c r="F511" s="750" t="s">
        <v>59</v>
      </c>
      <c r="G511" s="751" t="s">
        <v>50</v>
      </c>
      <c r="H511" s="751" t="s">
        <v>57</v>
      </c>
      <c r="I511" s="752" t="s">
        <v>479</v>
      </c>
      <c r="J511" s="149"/>
      <c r="K511" s="692">
        <f>K512</f>
        <v>67.3</v>
      </c>
      <c r="L511" s="165">
        <f>L512</f>
        <v>0</v>
      </c>
      <c r="M511" s="165">
        <f>M512</f>
        <v>67.3</v>
      </c>
    </row>
    <row r="512" spans="1:13" s="395" customFormat="1" ht="56.25" customHeight="1">
      <c r="A512" s="150"/>
      <c r="B512" s="163" t="s">
        <v>75</v>
      </c>
      <c r="C512" s="164" t="s">
        <v>609</v>
      </c>
      <c r="D512" s="149" t="s">
        <v>246</v>
      </c>
      <c r="E512" s="149" t="s">
        <v>100</v>
      </c>
      <c r="F512" s="750" t="s">
        <v>59</v>
      </c>
      <c r="G512" s="751" t="s">
        <v>50</v>
      </c>
      <c r="H512" s="751" t="s">
        <v>57</v>
      </c>
      <c r="I512" s="752" t="s">
        <v>479</v>
      </c>
      <c r="J512" s="149" t="s">
        <v>76</v>
      </c>
      <c r="K512" s="692">
        <v>67.3</v>
      </c>
      <c r="L512" s="165">
        <f t="shared" si="112"/>
        <v>0</v>
      </c>
      <c r="M512" s="165">
        <v>67.3</v>
      </c>
    </row>
    <row r="513" spans="1:13" s="395" customFormat="1" ht="34.5" customHeight="1">
      <c r="A513" s="150"/>
      <c r="B513" s="163" t="s">
        <v>230</v>
      </c>
      <c r="C513" s="164" t="s">
        <v>609</v>
      </c>
      <c r="D513" s="149" t="s">
        <v>246</v>
      </c>
      <c r="E513" s="149" t="s">
        <v>100</v>
      </c>
      <c r="F513" s="750" t="s">
        <v>59</v>
      </c>
      <c r="G513" s="751" t="s">
        <v>50</v>
      </c>
      <c r="H513" s="751" t="s">
        <v>57</v>
      </c>
      <c r="I513" s="752" t="s">
        <v>314</v>
      </c>
      <c r="J513" s="149"/>
      <c r="K513" s="692">
        <f>K514</f>
        <v>10</v>
      </c>
      <c r="L513" s="165">
        <f>L514</f>
        <v>0</v>
      </c>
      <c r="M513" s="165">
        <f>M514</f>
        <v>10</v>
      </c>
    </row>
    <row r="514" spans="1:13" s="395" customFormat="1" ht="57" customHeight="1">
      <c r="A514" s="150"/>
      <c r="B514" s="163" t="s">
        <v>75</v>
      </c>
      <c r="C514" s="164" t="s">
        <v>609</v>
      </c>
      <c r="D514" s="149" t="s">
        <v>246</v>
      </c>
      <c r="E514" s="149" t="s">
        <v>100</v>
      </c>
      <c r="F514" s="750" t="s">
        <v>59</v>
      </c>
      <c r="G514" s="751" t="s">
        <v>50</v>
      </c>
      <c r="H514" s="751" t="s">
        <v>57</v>
      </c>
      <c r="I514" s="752" t="s">
        <v>314</v>
      </c>
      <c r="J514" s="149" t="s">
        <v>76</v>
      </c>
      <c r="K514" s="692">
        <v>10</v>
      </c>
      <c r="L514" s="165">
        <f>M514-K514</f>
        <v>0</v>
      </c>
      <c r="M514" s="165">
        <v>10</v>
      </c>
    </row>
    <row r="515" spans="1:13" s="395" customFormat="1" ht="116.25" customHeight="1">
      <c r="A515" s="150"/>
      <c r="B515" s="163" t="s">
        <v>415</v>
      </c>
      <c r="C515" s="164" t="s">
        <v>609</v>
      </c>
      <c r="D515" s="149" t="s">
        <v>246</v>
      </c>
      <c r="E515" s="149" t="s">
        <v>100</v>
      </c>
      <c r="F515" s="750" t="s">
        <v>59</v>
      </c>
      <c r="G515" s="751" t="s">
        <v>50</v>
      </c>
      <c r="H515" s="751" t="s">
        <v>57</v>
      </c>
      <c r="I515" s="752" t="s">
        <v>310</v>
      </c>
      <c r="J515" s="149"/>
      <c r="K515" s="692">
        <f>K516+K517</f>
        <v>6189.9</v>
      </c>
      <c r="L515" s="165">
        <f>L516+L517</f>
        <v>0</v>
      </c>
      <c r="M515" s="165">
        <f>M516+M517</f>
        <v>6189.9</v>
      </c>
    </row>
    <row r="516" spans="1:13" s="395" customFormat="1" ht="112.5" customHeight="1">
      <c r="A516" s="150"/>
      <c r="B516" s="163" t="s">
        <v>69</v>
      </c>
      <c r="C516" s="164" t="s">
        <v>609</v>
      </c>
      <c r="D516" s="149" t="s">
        <v>246</v>
      </c>
      <c r="E516" s="149" t="s">
        <v>100</v>
      </c>
      <c r="F516" s="750" t="s">
        <v>59</v>
      </c>
      <c r="G516" s="751" t="s">
        <v>50</v>
      </c>
      <c r="H516" s="751" t="s">
        <v>57</v>
      </c>
      <c r="I516" s="752" t="s">
        <v>310</v>
      </c>
      <c r="J516" s="149" t="s">
        <v>70</v>
      </c>
      <c r="K516" s="692">
        <v>5863.4</v>
      </c>
      <c r="L516" s="165">
        <f t="shared" ref="L516:L517" si="113">M516-K516</f>
        <v>0</v>
      </c>
      <c r="M516" s="165">
        <v>5863.4</v>
      </c>
    </row>
    <row r="517" spans="1:13" s="395" customFormat="1" ht="56.25" customHeight="1">
      <c r="A517" s="150"/>
      <c r="B517" s="163" t="s">
        <v>75</v>
      </c>
      <c r="C517" s="164" t="s">
        <v>609</v>
      </c>
      <c r="D517" s="149" t="s">
        <v>246</v>
      </c>
      <c r="E517" s="149" t="s">
        <v>100</v>
      </c>
      <c r="F517" s="750" t="s">
        <v>59</v>
      </c>
      <c r="G517" s="751" t="s">
        <v>50</v>
      </c>
      <c r="H517" s="751" t="s">
        <v>57</v>
      </c>
      <c r="I517" s="752" t="s">
        <v>310</v>
      </c>
      <c r="J517" s="149" t="s">
        <v>76</v>
      </c>
      <c r="K517" s="692">
        <v>326.5</v>
      </c>
      <c r="L517" s="165">
        <f t="shared" si="113"/>
        <v>0</v>
      </c>
      <c r="M517" s="165">
        <v>326.5</v>
      </c>
    </row>
    <row r="518" spans="1:13" s="395" customFormat="1" ht="18.75" customHeight="1">
      <c r="A518" s="150"/>
      <c r="B518" s="168" t="s">
        <v>140</v>
      </c>
      <c r="C518" s="164" t="s">
        <v>609</v>
      </c>
      <c r="D518" s="149" t="s">
        <v>125</v>
      </c>
      <c r="E518" s="149"/>
      <c r="F518" s="750"/>
      <c r="G518" s="751"/>
      <c r="H518" s="751"/>
      <c r="I518" s="752"/>
      <c r="J518" s="149"/>
      <c r="K518" s="692">
        <f t="shared" ref="K518:M519" si="114">K519</f>
        <v>8034.2</v>
      </c>
      <c r="L518" s="165">
        <f t="shared" si="114"/>
        <v>0</v>
      </c>
      <c r="M518" s="165">
        <f t="shared" si="114"/>
        <v>8034.2</v>
      </c>
    </row>
    <row r="519" spans="1:13" s="395" customFormat="1" ht="18.75" customHeight="1">
      <c r="A519" s="150"/>
      <c r="B519" s="168" t="s">
        <v>215</v>
      </c>
      <c r="C519" s="164" t="s">
        <v>609</v>
      </c>
      <c r="D519" s="149" t="s">
        <v>125</v>
      </c>
      <c r="E519" s="149" t="s">
        <v>72</v>
      </c>
      <c r="F519" s="750"/>
      <c r="G519" s="751"/>
      <c r="H519" s="751"/>
      <c r="I519" s="752"/>
      <c r="J519" s="149"/>
      <c r="K519" s="692">
        <f t="shared" si="114"/>
        <v>8034.2</v>
      </c>
      <c r="L519" s="165">
        <f t="shared" si="114"/>
        <v>0</v>
      </c>
      <c r="M519" s="165">
        <f t="shared" si="114"/>
        <v>8034.2</v>
      </c>
    </row>
    <row r="520" spans="1:13" s="395" customFormat="1" ht="56.25" customHeight="1">
      <c r="A520" s="150"/>
      <c r="B520" s="163" t="s">
        <v>227</v>
      </c>
      <c r="C520" s="164" t="s">
        <v>609</v>
      </c>
      <c r="D520" s="149" t="s">
        <v>125</v>
      </c>
      <c r="E520" s="149" t="s">
        <v>72</v>
      </c>
      <c r="F520" s="750" t="s">
        <v>59</v>
      </c>
      <c r="G520" s="751" t="s">
        <v>62</v>
      </c>
      <c r="H520" s="751" t="s">
        <v>63</v>
      </c>
      <c r="I520" s="752" t="s">
        <v>64</v>
      </c>
      <c r="J520" s="149"/>
      <c r="K520" s="692">
        <f t="shared" ref="K520:M522" si="115">K521</f>
        <v>8034.2</v>
      </c>
      <c r="L520" s="165">
        <f t="shared" si="115"/>
        <v>0</v>
      </c>
      <c r="M520" s="165">
        <f t="shared" si="115"/>
        <v>8034.2</v>
      </c>
    </row>
    <row r="521" spans="1:13" s="395" customFormat="1" ht="37.5" customHeight="1">
      <c r="A521" s="150"/>
      <c r="B521" s="163" t="s">
        <v>228</v>
      </c>
      <c r="C521" s="164" t="s">
        <v>609</v>
      </c>
      <c r="D521" s="149" t="s">
        <v>125</v>
      </c>
      <c r="E521" s="149" t="s">
        <v>72</v>
      </c>
      <c r="F521" s="750" t="s">
        <v>59</v>
      </c>
      <c r="G521" s="751" t="s">
        <v>65</v>
      </c>
      <c r="H521" s="751" t="s">
        <v>63</v>
      </c>
      <c r="I521" s="752" t="s">
        <v>64</v>
      </c>
      <c r="J521" s="149"/>
      <c r="K521" s="692">
        <f t="shared" si="115"/>
        <v>8034.2</v>
      </c>
      <c r="L521" s="165">
        <f t="shared" si="115"/>
        <v>0</v>
      </c>
      <c r="M521" s="165">
        <f t="shared" si="115"/>
        <v>8034.2</v>
      </c>
    </row>
    <row r="522" spans="1:13" s="395" customFormat="1" ht="37.5" customHeight="1">
      <c r="A522" s="150"/>
      <c r="B522" s="163" t="s">
        <v>307</v>
      </c>
      <c r="C522" s="164" t="s">
        <v>609</v>
      </c>
      <c r="D522" s="149" t="s">
        <v>125</v>
      </c>
      <c r="E522" s="149" t="s">
        <v>72</v>
      </c>
      <c r="F522" s="750" t="s">
        <v>59</v>
      </c>
      <c r="G522" s="751" t="s">
        <v>65</v>
      </c>
      <c r="H522" s="751" t="s">
        <v>57</v>
      </c>
      <c r="I522" s="752" t="s">
        <v>64</v>
      </c>
      <c r="J522" s="149"/>
      <c r="K522" s="692">
        <f t="shared" si="115"/>
        <v>8034.2</v>
      </c>
      <c r="L522" s="165">
        <f t="shared" si="115"/>
        <v>0</v>
      </c>
      <c r="M522" s="165">
        <f t="shared" si="115"/>
        <v>8034.2</v>
      </c>
    </row>
    <row r="523" spans="1:13" s="395" customFormat="1" ht="136.5" customHeight="1">
      <c r="A523" s="150"/>
      <c r="B523" s="163" t="s">
        <v>323</v>
      </c>
      <c r="C523" s="164" t="s">
        <v>609</v>
      </c>
      <c r="D523" s="149" t="s">
        <v>125</v>
      </c>
      <c r="E523" s="149" t="s">
        <v>72</v>
      </c>
      <c r="F523" s="750" t="s">
        <v>59</v>
      </c>
      <c r="G523" s="751" t="s">
        <v>65</v>
      </c>
      <c r="H523" s="751" t="s">
        <v>57</v>
      </c>
      <c r="I523" s="752" t="s">
        <v>324</v>
      </c>
      <c r="J523" s="149"/>
      <c r="K523" s="692">
        <f>K524+K525</f>
        <v>8034.2</v>
      </c>
      <c r="L523" s="165">
        <f>L524+L525</f>
        <v>0</v>
      </c>
      <c r="M523" s="165">
        <f>M524+M525</f>
        <v>8034.2</v>
      </c>
    </row>
    <row r="524" spans="1:13" s="395" customFormat="1" ht="56.25" customHeight="1">
      <c r="A524" s="150"/>
      <c r="B524" s="163" t="s">
        <v>75</v>
      </c>
      <c r="C524" s="164" t="s">
        <v>609</v>
      </c>
      <c r="D524" s="149" t="s">
        <v>125</v>
      </c>
      <c r="E524" s="149" t="s">
        <v>72</v>
      </c>
      <c r="F524" s="750" t="s">
        <v>59</v>
      </c>
      <c r="G524" s="751" t="s">
        <v>65</v>
      </c>
      <c r="H524" s="751" t="s">
        <v>57</v>
      </c>
      <c r="I524" s="752" t="s">
        <v>324</v>
      </c>
      <c r="J524" s="149" t="s">
        <v>76</v>
      </c>
      <c r="K524" s="692">
        <v>118.7</v>
      </c>
      <c r="L524" s="165">
        <f t="shared" ref="L524:L525" si="116">M524-K524</f>
        <v>0</v>
      </c>
      <c r="M524" s="165">
        <v>118.7</v>
      </c>
    </row>
    <row r="525" spans="1:13" s="395" customFormat="1" ht="37.5" customHeight="1">
      <c r="A525" s="150"/>
      <c r="B525" s="167" t="s">
        <v>141</v>
      </c>
      <c r="C525" s="164" t="s">
        <v>609</v>
      </c>
      <c r="D525" s="149" t="s">
        <v>125</v>
      </c>
      <c r="E525" s="149" t="s">
        <v>72</v>
      </c>
      <c r="F525" s="750" t="s">
        <v>59</v>
      </c>
      <c r="G525" s="751" t="s">
        <v>65</v>
      </c>
      <c r="H525" s="751" t="s">
        <v>57</v>
      </c>
      <c r="I525" s="752" t="s">
        <v>324</v>
      </c>
      <c r="J525" s="149" t="s">
        <v>142</v>
      </c>
      <c r="K525" s="692">
        <v>7915.5</v>
      </c>
      <c r="L525" s="165">
        <f t="shared" si="116"/>
        <v>0</v>
      </c>
      <c r="M525" s="165">
        <v>7915.5</v>
      </c>
    </row>
    <row r="526" spans="1:13" s="412" customFormat="1" ht="18.75" customHeight="1">
      <c r="A526" s="407"/>
      <c r="B526" s="362"/>
      <c r="C526" s="449"/>
      <c r="D526" s="450"/>
      <c r="E526" s="450"/>
      <c r="F526" s="451"/>
      <c r="G526" s="452"/>
      <c r="H526" s="452"/>
      <c r="I526" s="453"/>
      <c r="J526" s="450"/>
      <c r="K526" s="693"/>
      <c r="L526" s="715"/>
      <c r="M526" s="411"/>
    </row>
    <row r="527" spans="1:13" s="391" customFormat="1" ht="56.25" customHeight="1">
      <c r="A527" s="390">
        <v>6</v>
      </c>
      <c r="B527" s="428" t="s">
        <v>25</v>
      </c>
      <c r="C527" s="158" t="s">
        <v>377</v>
      </c>
      <c r="D527" s="159"/>
      <c r="E527" s="159"/>
      <c r="F527" s="160"/>
      <c r="G527" s="161"/>
      <c r="H527" s="161"/>
      <c r="I527" s="162"/>
      <c r="J527" s="159"/>
      <c r="K527" s="691">
        <f>K535+K558+K528</f>
        <v>91857.8</v>
      </c>
      <c r="L527" s="188">
        <f>L535+L558+L528</f>
        <v>1707.4</v>
      </c>
      <c r="M527" s="188">
        <f>M535+M558+M528</f>
        <v>93565.2</v>
      </c>
    </row>
    <row r="528" spans="1:13" s="391" customFormat="1" ht="24.75" customHeight="1">
      <c r="A528" s="390"/>
      <c r="B528" s="163" t="s">
        <v>56</v>
      </c>
      <c r="C528" s="164" t="s">
        <v>377</v>
      </c>
      <c r="D528" s="180" t="s">
        <v>57</v>
      </c>
      <c r="E528" s="159"/>
      <c r="F528" s="160"/>
      <c r="G528" s="161"/>
      <c r="H528" s="161"/>
      <c r="I528" s="162"/>
      <c r="J528" s="159"/>
      <c r="K528" s="692">
        <f t="shared" ref="K528:M533" si="117">K529</f>
        <v>131.19999999999999</v>
      </c>
      <c r="L528" s="579">
        <f t="shared" si="117"/>
        <v>0</v>
      </c>
      <c r="M528" s="579">
        <f t="shared" si="117"/>
        <v>131.19999999999999</v>
      </c>
    </row>
    <row r="529" spans="1:13" s="391" customFormat="1" ht="20.25" customHeight="1">
      <c r="A529" s="390"/>
      <c r="B529" s="163" t="s">
        <v>91</v>
      </c>
      <c r="C529" s="164" t="s">
        <v>377</v>
      </c>
      <c r="D529" s="180" t="s">
        <v>57</v>
      </c>
      <c r="E529" s="180" t="s">
        <v>92</v>
      </c>
      <c r="F529" s="160"/>
      <c r="G529" s="161"/>
      <c r="H529" s="161"/>
      <c r="I529" s="162"/>
      <c r="J529" s="159"/>
      <c r="K529" s="692">
        <f>K531</f>
        <v>131.19999999999999</v>
      </c>
      <c r="L529" s="579">
        <f>L531</f>
        <v>0</v>
      </c>
      <c r="M529" s="579">
        <f>M531</f>
        <v>131.19999999999999</v>
      </c>
    </row>
    <row r="530" spans="1:13" s="391" customFormat="1" ht="56.25" customHeight="1">
      <c r="A530" s="390"/>
      <c r="B530" s="169" t="s">
        <v>235</v>
      </c>
      <c r="C530" s="164" t="s">
        <v>377</v>
      </c>
      <c r="D530" s="149" t="s">
        <v>57</v>
      </c>
      <c r="E530" s="149" t="s">
        <v>92</v>
      </c>
      <c r="F530" s="750" t="s">
        <v>84</v>
      </c>
      <c r="G530" s="751" t="s">
        <v>62</v>
      </c>
      <c r="H530" s="751" t="s">
        <v>63</v>
      </c>
      <c r="I530" s="752" t="s">
        <v>64</v>
      </c>
      <c r="J530" s="159"/>
      <c r="K530" s="692">
        <f>K531</f>
        <v>131.19999999999999</v>
      </c>
      <c r="L530" s="579">
        <f>L531</f>
        <v>0</v>
      </c>
      <c r="M530" s="579">
        <f>M531</f>
        <v>131.19999999999999</v>
      </c>
    </row>
    <row r="531" spans="1:13" s="391" customFormat="1" ht="56.25" customHeight="1">
      <c r="A531" s="390"/>
      <c r="B531" s="163" t="s">
        <v>238</v>
      </c>
      <c r="C531" s="164" t="s">
        <v>377</v>
      </c>
      <c r="D531" s="180" t="s">
        <v>57</v>
      </c>
      <c r="E531" s="180" t="s">
        <v>92</v>
      </c>
      <c r="F531" s="576" t="s">
        <v>84</v>
      </c>
      <c r="G531" s="577" t="s">
        <v>50</v>
      </c>
      <c r="H531" s="577" t="s">
        <v>63</v>
      </c>
      <c r="I531" s="578" t="s">
        <v>64</v>
      </c>
      <c r="J531" s="159"/>
      <c r="K531" s="692">
        <f t="shared" si="117"/>
        <v>131.19999999999999</v>
      </c>
      <c r="L531" s="579">
        <f t="shared" si="117"/>
        <v>0</v>
      </c>
      <c r="M531" s="579">
        <f t="shared" si="117"/>
        <v>131.19999999999999</v>
      </c>
    </row>
    <row r="532" spans="1:13" s="391" customFormat="1" ht="37.5" customHeight="1">
      <c r="A532" s="390"/>
      <c r="B532" s="163" t="s">
        <v>428</v>
      </c>
      <c r="C532" s="164" t="s">
        <v>377</v>
      </c>
      <c r="D532" s="180" t="s">
        <v>57</v>
      </c>
      <c r="E532" s="180" t="s">
        <v>92</v>
      </c>
      <c r="F532" s="576" t="s">
        <v>84</v>
      </c>
      <c r="G532" s="577" t="s">
        <v>50</v>
      </c>
      <c r="H532" s="577" t="s">
        <v>59</v>
      </c>
      <c r="I532" s="578" t="s">
        <v>64</v>
      </c>
      <c r="J532" s="159"/>
      <c r="K532" s="692">
        <f t="shared" si="117"/>
        <v>131.19999999999999</v>
      </c>
      <c r="L532" s="579">
        <f t="shared" si="117"/>
        <v>0</v>
      </c>
      <c r="M532" s="579">
        <f t="shared" si="117"/>
        <v>131.19999999999999</v>
      </c>
    </row>
    <row r="533" spans="1:13" s="391" customFormat="1" ht="54.75" customHeight="1">
      <c r="A533" s="390"/>
      <c r="B533" s="163" t="s">
        <v>429</v>
      </c>
      <c r="C533" s="164" t="s">
        <v>377</v>
      </c>
      <c r="D533" s="180" t="s">
        <v>57</v>
      </c>
      <c r="E533" s="180" t="s">
        <v>92</v>
      </c>
      <c r="F533" s="576" t="s">
        <v>84</v>
      </c>
      <c r="G533" s="577" t="s">
        <v>50</v>
      </c>
      <c r="H533" s="577" t="s">
        <v>59</v>
      </c>
      <c r="I533" s="578" t="s">
        <v>126</v>
      </c>
      <c r="J533" s="159"/>
      <c r="K533" s="692">
        <f t="shared" si="117"/>
        <v>131.19999999999999</v>
      </c>
      <c r="L533" s="579">
        <f t="shared" si="117"/>
        <v>0</v>
      </c>
      <c r="M533" s="579">
        <f t="shared" si="117"/>
        <v>131.19999999999999</v>
      </c>
    </row>
    <row r="534" spans="1:13" s="391" customFormat="1" ht="56.25" customHeight="1">
      <c r="A534" s="390"/>
      <c r="B534" s="163" t="s">
        <v>75</v>
      </c>
      <c r="C534" s="164" t="s">
        <v>377</v>
      </c>
      <c r="D534" s="180" t="s">
        <v>57</v>
      </c>
      <c r="E534" s="180" t="s">
        <v>92</v>
      </c>
      <c r="F534" s="576" t="s">
        <v>84</v>
      </c>
      <c r="G534" s="577" t="s">
        <v>50</v>
      </c>
      <c r="H534" s="577" t="s">
        <v>59</v>
      </c>
      <c r="I534" s="578" t="s">
        <v>126</v>
      </c>
      <c r="J534" s="180" t="s">
        <v>76</v>
      </c>
      <c r="K534" s="692">
        <f>50.7+80.5</f>
        <v>131.19999999999999</v>
      </c>
      <c r="L534" s="165">
        <f>M534-K534</f>
        <v>0</v>
      </c>
      <c r="M534" s="579">
        <f>50.7+80.5</f>
        <v>131.19999999999999</v>
      </c>
    </row>
    <row r="535" spans="1:13" s="146" customFormat="1" ht="18.75" customHeight="1">
      <c r="A535" s="150"/>
      <c r="B535" s="169" t="s">
        <v>201</v>
      </c>
      <c r="C535" s="164" t="s">
        <v>377</v>
      </c>
      <c r="D535" s="149" t="s">
        <v>246</v>
      </c>
      <c r="E535" s="149"/>
      <c r="F535" s="750"/>
      <c r="G535" s="751"/>
      <c r="H535" s="751"/>
      <c r="I535" s="752"/>
      <c r="J535" s="149"/>
      <c r="K535" s="692">
        <f>K536+K552+K546</f>
        <v>56748</v>
      </c>
      <c r="L535" s="165">
        <f>L536+L552+L546</f>
        <v>1110.3</v>
      </c>
      <c r="M535" s="165">
        <f>M536+M552+M546</f>
        <v>57858.3</v>
      </c>
    </row>
    <row r="536" spans="1:13" s="391" customFormat="1" ht="18.75" customHeight="1">
      <c r="A536" s="150"/>
      <c r="B536" s="169" t="s">
        <v>424</v>
      </c>
      <c r="C536" s="164" t="s">
        <v>377</v>
      </c>
      <c r="D536" s="149" t="s">
        <v>246</v>
      </c>
      <c r="E536" s="149" t="s">
        <v>84</v>
      </c>
      <c r="F536" s="750"/>
      <c r="G536" s="751"/>
      <c r="H536" s="751"/>
      <c r="I536" s="752"/>
      <c r="J536" s="149"/>
      <c r="K536" s="692">
        <f t="shared" ref="K536:M537" si="118">K537</f>
        <v>56272.1</v>
      </c>
      <c r="L536" s="165">
        <f t="shared" si="118"/>
        <v>1110.3</v>
      </c>
      <c r="M536" s="165">
        <f t="shared" si="118"/>
        <v>57382.400000000001</v>
      </c>
    </row>
    <row r="537" spans="1:13" s="391" customFormat="1" ht="56.25" customHeight="1">
      <c r="A537" s="150"/>
      <c r="B537" s="169" t="s">
        <v>235</v>
      </c>
      <c r="C537" s="164" t="s">
        <v>377</v>
      </c>
      <c r="D537" s="149" t="s">
        <v>246</v>
      </c>
      <c r="E537" s="149" t="s">
        <v>84</v>
      </c>
      <c r="F537" s="750" t="s">
        <v>84</v>
      </c>
      <c r="G537" s="751" t="s">
        <v>62</v>
      </c>
      <c r="H537" s="751" t="s">
        <v>63</v>
      </c>
      <c r="I537" s="752" t="s">
        <v>64</v>
      </c>
      <c r="J537" s="149"/>
      <c r="K537" s="692">
        <f t="shared" si="118"/>
        <v>56272.1</v>
      </c>
      <c r="L537" s="165">
        <f t="shared" si="118"/>
        <v>1110.3</v>
      </c>
      <c r="M537" s="165">
        <f t="shared" si="118"/>
        <v>57382.400000000001</v>
      </c>
    </row>
    <row r="538" spans="1:13" s="391" customFormat="1" ht="75" customHeight="1">
      <c r="A538" s="150"/>
      <c r="B538" s="169" t="s">
        <v>236</v>
      </c>
      <c r="C538" s="164" t="s">
        <v>377</v>
      </c>
      <c r="D538" s="149" t="s">
        <v>246</v>
      </c>
      <c r="E538" s="149" t="s">
        <v>84</v>
      </c>
      <c r="F538" s="750" t="s">
        <v>84</v>
      </c>
      <c r="G538" s="751" t="s">
        <v>65</v>
      </c>
      <c r="H538" s="751" t="s">
        <v>63</v>
      </c>
      <c r="I538" s="752" t="s">
        <v>64</v>
      </c>
      <c r="J538" s="149"/>
      <c r="K538" s="692">
        <f>K539</f>
        <v>56272.1</v>
      </c>
      <c r="L538" s="165">
        <f>L539</f>
        <v>1110.3</v>
      </c>
      <c r="M538" s="165">
        <f>M539</f>
        <v>57382.400000000001</v>
      </c>
    </row>
    <row r="539" spans="1:13" s="391" customFormat="1" ht="37.5" customHeight="1">
      <c r="A539" s="150"/>
      <c r="B539" s="169" t="s">
        <v>316</v>
      </c>
      <c r="C539" s="164" t="s">
        <v>377</v>
      </c>
      <c r="D539" s="149" t="s">
        <v>246</v>
      </c>
      <c r="E539" s="149" t="s">
        <v>84</v>
      </c>
      <c r="F539" s="750" t="s">
        <v>84</v>
      </c>
      <c r="G539" s="751" t="s">
        <v>65</v>
      </c>
      <c r="H539" s="751" t="s">
        <v>57</v>
      </c>
      <c r="I539" s="752" t="s">
        <v>64</v>
      </c>
      <c r="J539" s="149"/>
      <c r="K539" s="692">
        <f>K540+K544+K542</f>
        <v>56272.1</v>
      </c>
      <c r="L539" s="165">
        <f>L540+L544+L542</f>
        <v>1110.3</v>
      </c>
      <c r="M539" s="165">
        <f>M540+M544+M542</f>
        <v>57382.400000000001</v>
      </c>
    </row>
    <row r="540" spans="1:13" s="391" customFormat="1" ht="37.5" customHeight="1">
      <c r="A540" s="150"/>
      <c r="B540" s="166" t="s">
        <v>795</v>
      </c>
      <c r="C540" s="164" t="s">
        <v>377</v>
      </c>
      <c r="D540" s="149" t="s">
        <v>246</v>
      </c>
      <c r="E540" s="149" t="s">
        <v>84</v>
      </c>
      <c r="F540" s="750" t="s">
        <v>84</v>
      </c>
      <c r="G540" s="751" t="s">
        <v>65</v>
      </c>
      <c r="H540" s="751" t="s">
        <v>57</v>
      </c>
      <c r="I540" s="752" t="s">
        <v>112</v>
      </c>
      <c r="J540" s="149"/>
      <c r="K540" s="692">
        <f>K541</f>
        <v>54070.9</v>
      </c>
      <c r="L540" s="165">
        <f>L541</f>
        <v>0</v>
      </c>
      <c r="M540" s="165">
        <f>M541</f>
        <v>54070.9</v>
      </c>
    </row>
    <row r="541" spans="1:13" s="146" customFormat="1" ht="56.25" customHeight="1">
      <c r="A541" s="150"/>
      <c r="B541" s="167" t="s">
        <v>97</v>
      </c>
      <c r="C541" s="164" t="s">
        <v>377</v>
      </c>
      <c r="D541" s="149" t="s">
        <v>246</v>
      </c>
      <c r="E541" s="149" t="s">
        <v>84</v>
      </c>
      <c r="F541" s="750" t="s">
        <v>84</v>
      </c>
      <c r="G541" s="751" t="s">
        <v>65</v>
      </c>
      <c r="H541" s="751" t="s">
        <v>57</v>
      </c>
      <c r="I541" s="752" t="s">
        <v>112</v>
      </c>
      <c r="J541" s="149" t="s">
        <v>98</v>
      </c>
      <c r="K541" s="692">
        <f>53968.8+65+37.1</f>
        <v>54070.9</v>
      </c>
      <c r="L541" s="165">
        <f>M541-K541</f>
        <v>0</v>
      </c>
      <c r="M541" s="780">
        <f>53968.8+65+37.1-382.4+382.4</f>
        <v>54070.9</v>
      </c>
    </row>
    <row r="542" spans="1:13" s="146" customFormat="1" ht="21" customHeight="1">
      <c r="A542" s="150"/>
      <c r="B542" s="167" t="s">
        <v>796</v>
      </c>
      <c r="C542" s="164" t="s">
        <v>377</v>
      </c>
      <c r="D542" s="149" t="s">
        <v>246</v>
      </c>
      <c r="E542" s="149" t="s">
        <v>84</v>
      </c>
      <c r="F542" s="750" t="s">
        <v>84</v>
      </c>
      <c r="G542" s="751" t="s">
        <v>65</v>
      </c>
      <c r="H542" s="751" t="s">
        <v>57</v>
      </c>
      <c r="I542" s="752" t="s">
        <v>479</v>
      </c>
      <c r="J542" s="149"/>
      <c r="K542" s="692">
        <f>K543</f>
        <v>337.2</v>
      </c>
      <c r="L542" s="165">
        <f>L543</f>
        <v>592.39999999999986</v>
      </c>
      <c r="M542" s="165">
        <f>M543</f>
        <v>929.59999999999991</v>
      </c>
    </row>
    <row r="543" spans="1:13" s="146" customFormat="1" ht="56.25" customHeight="1">
      <c r="A543" s="150"/>
      <c r="B543" s="167" t="s">
        <v>97</v>
      </c>
      <c r="C543" s="164" t="s">
        <v>377</v>
      </c>
      <c r="D543" s="149" t="s">
        <v>246</v>
      </c>
      <c r="E543" s="149" t="s">
        <v>84</v>
      </c>
      <c r="F543" s="750" t="s">
        <v>84</v>
      </c>
      <c r="G543" s="751" t="s">
        <v>65</v>
      </c>
      <c r="H543" s="751" t="s">
        <v>57</v>
      </c>
      <c r="I543" s="752" t="s">
        <v>479</v>
      </c>
      <c r="J543" s="149" t="s">
        <v>98</v>
      </c>
      <c r="K543" s="692">
        <v>337.2</v>
      </c>
      <c r="L543" s="165">
        <f>M543-K543</f>
        <v>592.39999999999986</v>
      </c>
      <c r="M543" s="165">
        <f>337.2+592.4</f>
        <v>929.59999999999991</v>
      </c>
    </row>
    <row r="544" spans="1:13" s="146" customFormat="1" ht="37.5" customHeight="1">
      <c r="A544" s="150"/>
      <c r="B544" s="167" t="s">
        <v>378</v>
      </c>
      <c r="C544" s="164" t="s">
        <v>377</v>
      </c>
      <c r="D544" s="149" t="s">
        <v>246</v>
      </c>
      <c r="E544" s="149" t="s">
        <v>84</v>
      </c>
      <c r="F544" s="750" t="s">
        <v>84</v>
      </c>
      <c r="G544" s="751" t="s">
        <v>65</v>
      </c>
      <c r="H544" s="751" t="s">
        <v>57</v>
      </c>
      <c r="I544" s="752" t="s">
        <v>379</v>
      </c>
      <c r="J544" s="149"/>
      <c r="K544" s="692">
        <f>K545</f>
        <v>1864</v>
      </c>
      <c r="L544" s="165">
        <f>L545</f>
        <v>517.90000000000009</v>
      </c>
      <c r="M544" s="165">
        <f>M545</f>
        <v>2381.9</v>
      </c>
    </row>
    <row r="545" spans="1:13" s="146" customFormat="1" ht="56.25" customHeight="1">
      <c r="A545" s="150"/>
      <c r="B545" s="167" t="s">
        <v>97</v>
      </c>
      <c r="C545" s="164" t="s">
        <v>377</v>
      </c>
      <c r="D545" s="149" t="s">
        <v>246</v>
      </c>
      <c r="E545" s="149" t="s">
        <v>84</v>
      </c>
      <c r="F545" s="750" t="s">
        <v>84</v>
      </c>
      <c r="G545" s="751" t="s">
        <v>65</v>
      </c>
      <c r="H545" s="751" t="s">
        <v>57</v>
      </c>
      <c r="I545" s="752" t="s">
        <v>379</v>
      </c>
      <c r="J545" s="149" t="s">
        <v>98</v>
      </c>
      <c r="K545" s="692">
        <v>1864</v>
      </c>
      <c r="L545" s="165">
        <f>M545-K545</f>
        <v>517.90000000000009</v>
      </c>
      <c r="M545" s="780">
        <f>1864+382.4+135.5</f>
        <v>2381.9</v>
      </c>
    </row>
    <row r="546" spans="1:13" s="146" customFormat="1" ht="22.5" customHeight="1">
      <c r="A546" s="150"/>
      <c r="B546" s="167" t="s">
        <v>810</v>
      </c>
      <c r="C546" s="164" t="s">
        <v>377</v>
      </c>
      <c r="D546" s="149" t="s">
        <v>246</v>
      </c>
      <c r="E546" s="149" t="s">
        <v>246</v>
      </c>
      <c r="F546" s="750"/>
      <c r="G546" s="751"/>
      <c r="H546" s="751"/>
      <c r="I546" s="752"/>
      <c r="J546" s="149"/>
      <c r="K546" s="692">
        <f t="shared" ref="K546:M550" si="119">K547</f>
        <v>277.89999999999998</v>
      </c>
      <c r="L546" s="165">
        <f t="shared" si="119"/>
        <v>0</v>
      </c>
      <c r="M546" s="165">
        <f t="shared" si="119"/>
        <v>277.89999999999998</v>
      </c>
    </row>
    <row r="547" spans="1:13" s="146" customFormat="1" ht="56.25" customHeight="1">
      <c r="A547" s="150"/>
      <c r="B547" s="169" t="s">
        <v>235</v>
      </c>
      <c r="C547" s="164" t="s">
        <v>377</v>
      </c>
      <c r="D547" s="149" t="s">
        <v>246</v>
      </c>
      <c r="E547" s="149" t="s">
        <v>246</v>
      </c>
      <c r="F547" s="750" t="s">
        <v>84</v>
      </c>
      <c r="G547" s="751" t="s">
        <v>62</v>
      </c>
      <c r="H547" s="751" t="s">
        <v>63</v>
      </c>
      <c r="I547" s="752" t="s">
        <v>64</v>
      </c>
      <c r="J547" s="149"/>
      <c r="K547" s="692">
        <f t="shared" si="119"/>
        <v>277.89999999999998</v>
      </c>
      <c r="L547" s="165">
        <f t="shared" si="119"/>
        <v>0</v>
      </c>
      <c r="M547" s="165">
        <f t="shared" si="119"/>
        <v>277.89999999999998</v>
      </c>
    </row>
    <row r="548" spans="1:13" s="146" customFormat="1" ht="74.25" customHeight="1">
      <c r="A548" s="150"/>
      <c r="B548" s="169" t="s">
        <v>236</v>
      </c>
      <c r="C548" s="164" t="s">
        <v>377</v>
      </c>
      <c r="D548" s="149" t="s">
        <v>246</v>
      </c>
      <c r="E548" s="149" t="s">
        <v>246</v>
      </c>
      <c r="F548" s="750" t="s">
        <v>84</v>
      </c>
      <c r="G548" s="751" t="s">
        <v>65</v>
      </c>
      <c r="H548" s="751" t="s">
        <v>63</v>
      </c>
      <c r="I548" s="752" t="s">
        <v>64</v>
      </c>
      <c r="J548" s="149"/>
      <c r="K548" s="692">
        <f t="shared" si="119"/>
        <v>277.89999999999998</v>
      </c>
      <c r="L548" s="165">
        <f t="shared" si="119"/>
        <v>0</v>
      </c>
      <c r="M548" s="165">
        <f t="shared" si="119"/>
        <v>277.89999999999998</v>
      </c>
    </row>
    <row r="549" spans="1:13" s="146" customFormat="1" ht="54.75" customHeight="1">
      <c r="A549" s="150"/>
      <c r="B549" s="167" t="s">
        <v>321</v>
      </c>
      <c r="C549" s="164" t="s">
        <v>377</v>
      </c>
      <c r="D549" s="149" t="s">
        <v>246</v>
      </c>
      <c r="E549" s="149" t="s">
        <v>246</v>
      </c>
      <c r="F549" s="750" t="s">
        <v>84</v>
      </c>
      <c r="G549" s="751" t="s">
        <v>65</v>
      </c>
      <c r="H549" s="751" t="s">
        <v>86</v>
      </c>
      <c r="I549" s="752" t="s">
        <v>64</v>
      </c>
      <c r="J549" s="149"/>
      <c r="K549" s="692">
        <f t="shared" si="119"/>
        <v>277.89999999999998</v>
      </c>
      <c r="L549" s="165">
        <f t="shared" si="119"/>
        <v>0</v>
      </c>
      <c r="M549" s="165">
        <f t="shared" si="119"/>
        <v>277.89999999999998</v>
      </c>
    </row>
    <row r="550" spans="1:13" s="146" customFormat="1" ht="36.75" customHeight="1">
      <c r="A550" s="150"/>
      <c r="B550" s="167" t="s">
        <v>812</v>
      </c>
      <c r="C550" s="164" t="s">
        <v>377</v>
      </c>
      <c r="D550" s="149" t="s">
        <v>246</v>
      </c>
      <c r="E550" s="149" t="s">
        <v>246</v>
      </c>
      <c r="F550" s="750" t="s">
        <v>84</v>
      </c>
      <c r="G550" s="751" t="s">
        <v>65</v>
      </c>
      <c r="H550" s="751" t="s">
        <v>86</v>
      </c>
      <c r="I550" s="752" t="s">
        <v>811</v>
      </c>
      <c r="J550" s="149"/>
      <c r="K550" s="692">
        <f t="shared" si="119"/>
        <v>277.89999999999998</v>
      </c>
      <c r="L550" s="165">
        <f t="shared" si="119"/>
        <v>0</v>
      </c>
      <c r="M550" s="165">
        <f t="shared" si="119"/>
        <v>277.89999999999998</v>
      </c>
    </row>
    <row r="551" spans="1:13" s="146" customFormat="1" ht="56.25" customHeight="1">
      <c r="A551" s="150"/>
      <c r="B551" s="167" t="s">
        <v>97</v>
      </c>
      <c r="C551" s="164" t="s">
        <v>377</v>
      </c>
      <c r="D551" s="149" t="s">
        <v>246</v>
      </c>
      <c r="E551" s="149" t="s">
        <v>246</v>
      </c>
      <c r="F551" s="750" t="s">
        <v>84</v>
      </c>
      <c r="G551" s="751" t="s">
        <v>65</v>
      </c>
      <c r="H551" s="751" t="s">
        <v>86</v>
      </c>
      <c r="I551" s="752" t="s">
        <v>811</v>
      </c>
      <c r="J551" s="149" t="s">
        <v>98</v>
      </c>
      <c r="K551" s="692">
        <v>277.89999999999998</v>
      </c>
      <c r="L551" s="165">
        <f>M551-K551</f>
        <v>0</v>
      </c>
      <c r="M551" s="165">
        <v>277.89999999999998</v>
      </c>
    </row>
    <row r="552" spans="1:13" s="146" customFormat="1" ht="18.75" customHeight="1">
      <c r="A552" s="150"/>
      <c r="B552" s="163" t="s">
        <v>208</v>
      </c>
      <c r="C552" s="164" t="s">
        <v>377</v>
      </c>
      <c r="D552" s="149" t="s">
        <v>246</v>
      </c>
      <c r="E552" s="149" t="s">
        <v>100</v>
      </c>
      <c r="F552" s="750"/>
      <c r="G552" s="751"/>
      <c r="H552" s="751"/>
      <c r="I552" s="752"/>
      <c r="J552" s="149"/>
      <c r="K552" s="692">
        <f t="shared" ref="K552:M556" si="120">K553</f>
        <v>198</v>
      </c>
      <c r="L552" s="165">
        <f t="shared" si="120"/>
        <v>0</v>
      </c>
      <c r="M552" s="165">
        <f t="shared" si="120"/>
        <v>198</v>
      </c>
    </row>
    <row r="553" spans="1:13" s="146" customFormat="1" ht="56.25" customHeight="1">
      <c r="A553" s="150"/>
      <c r="B553" s="169" t="s">
        <v>235</v>
      </c>
      <c r="C553" s="164" t="s">
        <v>377</v>
      </c>
      <c r="D553" s="149" t="s">
        <v>246</v>
      </c>
      <c r="E553" s="149" t="s">
        <v>100</v>
      </c>
      <c r="F553" s="750" t="s">
        <v>84</v>
      </c>
      <c r="G553" s="751" t="s">
        <v>62</v>
      </c>
      <c r="H553" s="751" t="s">
        <v>63</v>
      </c>
      <c r="I553" s="752" t="s">
        <v>64</v>
      </c>
      <c r="J553" s="149"/>
      <c r="K553" s="692">
        <f t="shared" si="120"/>
        <v>198</v>
      </c>
      <c r="L553" s="165">
        <f t="shared" si="120"/>
        <v>0</v>
      </c>
      <c r="M553" s="165">
        <f t="shared" si="120"/>
        <v>198</v>
      </c>
    </row>
    <row r="554" spans="1:13" s="146" customFormat="1" ht="75" customHeight="1">
      <c r="A554" s="150"/>
      <c r="B554" s="169" t="s">
        <v>236</v>
      </c>
      <c r="C554" s="164" t="s">
        <v>377</v>
      </c>
      <c r="D554" s="149" t="s">
        <v>246</v>
      </c>
      <c r="E554" s="149" t="s">
        <v>100</v>
      </c>
      <c r="F554" s="750" t="s">
        <v>84</v>
      </c>
      <c r="G554" s="751" t="s">
        <v>65</v>
      </c>
      <c r="H554" s="751" t="s">
        <v>63</v>
      </c>
      <c r="I554" s="752" t="s">
        <v>64</v>
      </c>
      <c r="J554" s="149"/>
      <c r="K554" s="692">
        <f t="shared" si="120"/>
        <v>198</v>
      </c>
      <c r="L554" s="165">
        <f t="shared" si="120"/>
        <v>0</v>
      </c>
      <c r="M554" s="165">
        <f t="shared" si="120"/>
        <v>198</v>
      </c>
    </row>
    <row r="555" spans="1:13" s="146" customFormat="1" ht="18.75" customHeight="1">
      <c r="A555" s="150"/>
      <c r="B555" s="167" t="s">
        <v>317</v>
      </c>
      <c r="C555" s="164" t="s">
        <v>377</v>
      </c>
      <c r="D555" s="149" t="s">
        <v>246</v>
      </c>
      <c r="E555" s="149" t="s">
        <v>100</v>
      </c>
      <c r="F555" s="750" t="s">
        <v>84</v>
      </c>
      <c r="G555" s="751" t="s">
        <v>65</v>
      </c>
      <c r="H555" s="751" t="s">
        <v>59</v>
      </c>
      <c r="I555" s="752" t="s">
        <v>64</v>
      </c>
      <c r="J555" s="149"/>
      <c r="K555" s="692">
        <f t="shared" si="120"/>
        <v>198</v>
      </c>
      <c r="L555" s="165">
        <f t="shared" si="120"/>
        <v>0</v>
      </c>
      <c r="M555" s="165">
        <f t="shared" si="120"/>
        <v>198</v>
      </c>
    </row>
    <row r="556" spans="1:13" s="146" customFormat="1" ht="40.5" customHeight="1">
      <c r="A556" s="150"/>
      <c r="B556" s="167" t="s">
        <v>233</v>
      </c>
      <c r="C556" s="164" t="s">
        <v>377</v>
      </c>
      <c r="D556" s="149" t="s">
        <v>246</v>
      </c>
      <c r="E556" s="149" t="s">
        <v>100</v>
      </c>
      <c r="F556" s="750" t="s">
        <v>84</v>
      </c>
      <c r="G556" s="751" t="s">
        <v>65</v>
      </c>
      <c r="H556" s="751" t="s">
        <v>59</v>
      </c>
      <c r="I556" s="752" t="s">
        <v>319</v>
      </c>
      <c r="J556" s="149"/>
      <c r="K556" s="692">
        <f t="shared" si="120"/>
        <v>198</v>
      </c>
      <c r="L556" s="165">
        <f t="shared" si="120"/>
        <v>0</v>
      </c>
      <c r="M556" s="165">
        <f t="shared" si="120"/>
        <v>198</v>
      </c>
    </row>
    <row r="557" spans="1:13" s="146" customFormat="1" ht="37.5" customHeight="1">
      <c r="A557" s="150"/>
      <c r="B557" s="167" t="s">
        <v>141</v>
      </c>
      <c r="C557" s="164" t="s">
        <v>377</v>
      </c>
      <c r="D557" s="149" t="s">
        <v>246</v>
      </c>
      <c r="E557" s="149" t="s">
        <v>100</v>
      </c>
      <c r="F557" s="750" t="s">
        <v>84</v>
      </c>
      <c r="G557" s="751" t="s">
        <v>65</v>
      </c>
      <c r="H557" s="751" t="s">
        <v>59</v>
      </c>
      <c r="I557" s="752" t="s">
        <v>319</v>
      </c>
      <c r="J557" s="149" t="s">
        <v>142</v>
      </c>
      <c r="K557" s="692">
        <f>180+18</f>
        <v>198</v>
      </c>
      <c r="L557" s="165">
        <f>M557-K557</f>
        <v>0</v>
      </c>
      <c r="M557" s="165">
        <f>180+18</f>
        <v>198</v>
      </c>
    </row>
    <row r="558" spans="1:13" s="146" customFormat="1" ht="18.75" customHeight="1">
      <c r="A558" s="150"/>
      <c r="B558" s="163" t="s">
        <v>210</v>
      </c>
      <c r="C558" s="164" t="s">
        <v>377</v>
      </c>
      <c r="D558" s="149" t="s">
        <v>248</v>
      </c>
      <c r="E558" s="149"/>
      <c r="F558" s="750"/>
      <c r="G558" s="751"/>
      <c r="H558" s="751"/>
      <c r="I558" s="752"/>
      <c r="J558" s="149"/>
      <c r="K558" s="692">
        <f>K559+K584</f>
        <v>34978.600000000006</v>
      </c>
      <c r="L558" s="165">
        <f>L559+L584</f>
        <v>597.1</v>
      </c>
      <c r="M558" s="165">
        <f>M559+M584</f>
        <v>35575.699999999997</v>
      </c>
    </row>
    <row r="559" spans="1:13" s="146" customFormat="1" ht="18.75" customHeight="1">
      <c r="A559" s="150"/>
      <c r="B559" s="163" t="s">
        <v>212</v>
      </c>
      <c r="C559" s="164" t="s">
        <v>377</v>
      </c>
      <c r="D559" s="149" t="s">
        <v>248</v>
      </c>
      <c r="E559" s="149" t="s">
        <v>57</v>
      </c>
      <c r="F559" s="750"/>
      <c r="G559" s="751"/>
      <c r="H559" s="751"/>
      <c r="I559" s="752"/>
      <c r="J559" s="149"/>
      <c r="K559" s="692">
        <f>K560</f>
        <v>24731.300000000003</v>
      </c>
      <c r="L559" s="165">
        <f>L560</f>
        <v>302.10000000000042</v>
      </c>
      <c r="M559" s="165">
        <f>M560</f>
        <v>25033.4</v>
      </c>
    </row>
    <row r="560" spans="1:13" s="146" customFormat="1" ht="56.25" customHeight="1">
      <c r="A560" s="150"/>
      <c r="B560" s="169" t="s">
        <v>235</v>
      </c>
      <c r="C560" s="164" t="s">
        <v>377</v>
      </c>
      <c r="D560" s="149" t="s">
        <v>248</v>
      </c>
      <c r="E560" s="149" t="s">
        <v>57</v>
      </c>
      <c r="F560" s="750" t="s">
        <v>84</v>
      </c>
      <c r="G560" s="751" t="s">
        <v>62</v>
      </c>
      <c r="H560" s="751" t="s">
        <v>63</v>
      </c>
      <c r="I560" s="752" t="s">
        <v>64</v>
      </c>
      <c r="J560" s="149"/>
      <c r="K560" s="692">
        <f>K561+K578</f>
        <v>24731.300000000003</v>
      </c>
      <c r="L560" s="165">
        <f>L561+L578</f>
        <v>302.10000000000042</v>
      </c>
      <c r="M560" s="165">
        <f>M561+M578</f>
        <v>25033.4</v>
      </c>
    </row>
    <row r="561" spans="1:13" s="146" customFormat="1" ht="75" customHeight="1">
      <c r="A561" s="150"/>
      <c r="B561" s="169" t="s">
        <v>236</v>
      </c>
      <c r="C561" s="164" t="s">
        <v>377</v>
      </c>
      <c r="D561" s="149" t="s">
        <v>248</v>
      </c>
      <c r="E561" s="149" t="s">
        <v>57</v>
      </c>
      <c r="F561" s="179" t="s">
        <v>84</v>
      </c>
      <c r="G561" s="320" t="s">
        <v>65</v>
      </c>
      <c r="H561" s="320" t="s">
        <v>63</v>
      </c>
      <c r="I561" s="321" t="s">
        <v>64</v>
      </c>
      <c r="J561" s="322"/>
      <c r="K561" s="692">
        <f>K562+K571</f>
        <v>24671.300000000003</v>
      </c>
      <c r="L561" s="165">
        <f>L562+L571</f>
        <v>302.10000000000042</v>
      </c>
      <c r="M561" s="165">
        <f>M562+M571</f>
        <v>24973.4</v>
      </c>
    </row>
    <row r="562" spans="1:13" s="146" customFormat="1" ht="18.75" customHeight="1">
      <c r="A562" s="150"/>
      <c r="B562" s="163" t="s">
        <v>380</v>
      </c>
      <c r="C562" s="164" t="s">
        <v>377</v>
      </c>
      <c r="D562" s="149" t="s">
        <v>248</v>
      </c>
      <c r="E562" s="149" t="s">
        <v>57</v>
      </c>
      <c r="F562" s="179" t="s">
        <v>84</v>
      </c>
      <c r="G562" s="320" t="s">
        <v>65</v>
      </c>
      <c r="H562" s="320" t="s">
        <v>84</v>
      </c>
      <c r="I562" s="321" t="s">
        <v>64</v>
      </c>
      <c r="J562" s="322"/>
      <c r="K562" s="692">
        <f>K563+K567+K569+K565</f>
        <v>11861.2</v>
      </c>
      <c r="L562" s="165">
        <f t="shared" ref="L562:M562" si="121">L563+L567+L569+L565</f>
        <v>174.00000000000037</v>
      </c>
      <c r="M562" s="165">
        <f t="shared" si="121"/>
        <v>12035.2</v>
      </c>
    </row>
    <row r="563" spans="1:13" s="146" customFormat="1" ht="35.25" customHeight="1">
      <c r="A563" s="150"/>
      <c r="B563" s="166" t="s">
        <v>795</v>
      </c>
      <c r="C563" s="164" t="s">
        <v>377</v>
      </c>
      <c r="D563" s="149" t="s">
        <v>248</v>
      </c>
      <c r="E563" s="149" t="s">
        <v>57</v>
      </c>
      <c r="F563" s="179" t="s">
        <v>84</v>
      </c>
      <c r="G563" s="320" t="s">
        <v>65</v>
      </c>
      <c r="H563" s="320" t="s">
        <v>84</v>
      </c>
      <c r="I563" s="321" t="s">
        <v>112</v>
      </c>
      <c r="J563" s="322"/>
      <c r="K563" s="692">
        <f>K564</f>
        <v>11215.2</v>
      </c>
      <c r="L563" s="165">
        <f>L564</f>
        <v>48.600000000000364</v>
      </c>
      <c r="M563" s="165">
        <f>M564</f>
        <v>11263.800000000001</v>
      </c>
    </row>
    <row r="564" spans="1:13" s="146" customFormat="1" ht="56.25" customHeight="1">
      <c r="A564" s="150"/>
      <c r="B564" s="167" t="s">
        <v>97</v>
      </c>
      <c r="C564" s="164" t="s">
        <v>377</v>
      </c>
      <c r="D564" s="149" t="s">
        <v>248</v>
      </c>
      <c r="E564" s="149" t="s">
        <v>57</v>
      </c>
      <c r="F564" s="750" t="s">
        <v>84</v>
      </c>
      <c r="G564" s="751" t="s">
        <v>65</v>
      </c>
      <c r="H564" s="751" t="s">
        <v>84</v>
      </c>
      <c r="I564" s="752" t="s">
        <v>112</v>
      </c>
      <c r="J564" s="149" t="s">
        <v>98</v>
      </c>
      <c r="K564" s="692">
        <f>11139.6+62.6+13</f>
        <v>11215.2</v>
      </c>
      <c r="L564" s="165">
        <f>M564-K564</f>
        <v>48.600000000000364</v>
      </c>
      <c r="M564" s="165">
        <f>11139.6+62.6+13+10.1+38.5</f>
        <v>11263.800000000001</v>
      </c>
    </row>
    <row r="565" spans="1:13" s="814" customFormat="1" ht="18.75" customHeight="1">
      <c r="A565" s="796"/>
      <c r="B565" s="811" t="s">
        <v>796</v>
      </c>
      <c r="C565" s="798" t="s">
        <v>377</v>
      </c>
      <c r="D565" s="799" t="s">
        <v>248</v>
      </c>
      <c r="E565" s="799" t="s">
        <v>57</v>
      </c>
      <c r="F565" s="800" t="s">
        <v>84</v>
      </c>
      <c r="G565" s="801" t="s">
        <v>65</v>
      </c>
      <c r="H565" s="801" t="s">
        <v>84</v>
      </c>
      <c r="I565" s="802" t="s">
        <v>479</v>
      </c>
      <c r="J565" s="799"/>
      <c r="K565" s="839">
        <f>K566</f>
        <v>0</v>
      </c>
      <c r="L565" s="793">
        <f t="shared" ref="L565" si="122">L566</f>
        <v>125.4</v>
      </c>
      <c r="M565" s="793">
        <f t="shared" ref="M565" si="123">M566</f>
        <v>125.4</v>
      </c>
    </row>
    <row r="566" spans="1:13" s="814" customFormat="1" ht="56.25" customHeight="1">
      <c r="A566" s="796"/>
      <c r="B566" s="797" t="s">
        <v>97</v>
      </c>
      <c r="C566" s="798" t="s">
        <v>377</v>
      </c>
      <c r="D566" s="799" t="s">
        <v>248</v>
      </c>
      <c r="E566" s="799" t="s">
        <v>57</v>
      </c>
      <c r="F566" s="800" t="s">
        <v>84</v>
      </c>
      <c r="G566" s="801" t="s">
        <v>65</v>
      </c>
      <c r="H566" s="801" t="s">
        <v>84</v>
      </c>
      <c r="I566" s="802" t="s">
        <v>479</v>
      </c>
      <c r="J566" s="799" t="s">
        <v>98</v>
      </c>
      <c r="K566" s="839"/>
      <c r="L566" s="793">
        <f t="shared" ref="L566" si="124">M566-K566</f>
        <v>125.4</v>
      </c>
      <c r="M566" s="793">
        <v>125.4</v>
      </c>
    </row>
    <row r="567" spans="1:13" s="146" customFormat="1" ht="37.5" customHeight="1">
      <c r="A567" s="150"/>
      <c r="B567" s="167" t="s">
        <v>378</v>
      </c>
      <c r="C567" s="164" t="s">
        <v>377</v>
      </c>
      <c r="D567" s="149" t="s">
        <v>248</v>
      </c>
      <c r="E567" s="149" t="s">
        <v>57</v>
      </c>
      <c r="F567" s="179" t="s">
        <v>84</v>
      </c>
      <c r="G567" s="320" t="s">
        <v>65</v>
      </c>
      <c r="H567" s="320" t="s">
        <v>84</v>
      </c>
      <c r="I567" s="321" t="s">
        <v>379</v>
      </c>
      <c r="J567" s="322"/>
      <c r="K567" s="692">
        <f>K568</f>
        <v>205</v>
      </c>
      <c r="L567" s="165">
        <f>L568</f>
        <v>0</v>
      </c>
      <c r="M567" s="165">
        <f>M568</f>
        <v>205</v>
      </c>
    </row>
    <row r="568" spans="1:13" s="902" customFormat="1" ht="56.25" customHeight="1">
      <c r="A568" s="892"/>
      <c r="B568" s="893" t="s">
        <v>97</v>
      </c>
      <c r="C568" s="894" t="s">
        <v>377</v>
      </c>
      <c r="D568" s="895" t="s">
        <v>248</v>
      </c>
      <c r="E568" s="895" t="s">
        <v>57</v>
      </c>
      <c r="F568" s="896" t="s">
        <v>84</v>
      </c>
      <c r="G568" s="897" t="s">
        <v>65</v>
      </c>
      <c r="H568" s="897" t="s">
        <v>84</v>
      </c>
      <c r="I568" s="898" t="s">
        <v>379</v>
      </c>
      <c r="J568" s="899" t="s">
        <v>98</v>
      </c>
      <c r="K568" s="900">
        <f>150+55</f>
        <v>205</v>
      </c>
      <c r="L568" s="901">
        <f>M568-K568</f>
        <v>0</v>
      </c>
      <c r="M568" s="901">
        <f>150+55</f>
        <v>205</v>
      </c>
    </row>
    <row r="569" spans="1:13" s="146" customFormat="1" ht="56.25" customHeight="1">
      <c r="A569" s="150"/>
      <c r="B569" s="167" t="s">
        <v>237</v>
      </c>
      <c r="C569" s="164" t="s">
        <v>377</v>
      </c>
      <c r="D569" s="149" t="s">
        <v>248</v>
      </c>
      <c r="E569" s="149" t="s">
        <v>57</v>
      </c>
      <c r="F569" s="750" t="s">
        <v>84</v>
      </c>
      <c r="G569" s="751" t="s">
        <v>65</v>
      </c>
      <c r="H569" s="751" t="s">
        <v>84</v>
      </c>
      <c r="I569" s="752" t="s">
        <v>381</v>
      </c>
      <c r="J569" s="149"/>
      <c r="K569" s="692">
        <f>K570</f>
        <v>441</v>
      </c>
      <c r="L569" s="165">
        <f>L570</f>
        <v>0</v>
      </c>
      <c r="M569" s="165">
        <f>M570</f>
        <v>441</v>
      </c>
    </row>
    <row r="570" spans="1:13" s="146" customFormat="1" ht="56.25" customHeight="1">
      <c r="A570" s="150"/>
      <c r="B570" s="167" t="s">
        <v>97</v>
      </c>
      <c r="C570" s="164" t="s">
        <v>377</v>
      </c>
      <c r="D570" s="149" t="s">
        <v>248</v>
      </c>
      <c r="E570" s="149" t="s">
        <v>57</v>
      </c>
      <c r="F570" s="750" t="s">
        <v>84</v>
      </c>
      <c r="G570" s="751" t="s">
        <v>65</v>
      </c>
      <c r="H570" s="751" t="s">
        <v>84</v>
      </c>
      <c r="I570" s="752" t="s">
        <v>381</v>
      </c>
      <c r="J570" s="149" t="s">
        <v>98</v>
      </c>
      <c r="K570" s="692">
        <v>441</v>
      </c>
      <c r="L570" s="165">
        <f>M570-K570</f>
        <v>0</v>
      </c>
      <c r="M570" s="165">
        <v>441</v>
      </c>
    </row>
    <row r="571" spans="1:13" s="146" customFormat="1" ht="37.5" customHeight="1">
      <c r="A571" s="150"/>
      <c r="B571" s="167" t="s">
        <v>382</v>
      </c>
      <c r="C571" s="164" t="s">
        <v>377</v>
      </c>
      <c r="D571" s="149" t="s">
        <v>248</v>
      </c>
      <c r="E571" s="149" t="s">
        <v>57</v>
      </c>
      <c r="F571" s="179" t="s">
        <v>84</v>
      </c>
      <c r="G571" s="320" t="s">
        <v>65</v>
      </c>
      <c r="H571" s="320" t="s">
        <v>72</v>
      </c>
      <c r="I571" s="752" t="s">
        <v>64</v>
      </c>
      <c r="J571" s="149"/>
      <c r="K571" s="692">
        <f>K572+K576</f>
        <v>12810.1</v>
      </c>
      <c r="L571" s="165">
        <f t="shared" ref="L571:M571" si="125">L572+L576</f>
        <v>128.10000000000005</v>
      </c>
      <c r="M571" s="165">
        <f t="shared" si="125"/>
        <v>12938.2</v>
      </c>
    </row>
    <row r="572" spans="1:13" s="146" customFormat="1" ht="44.25" customHeight="1">
      <c r="A572" s="150"/>
      <c r="B572" s="166" t="s">
        <v>795</v>
      </c>
      <c r="C572" s="164" t="s">
        <v>377</v>
      </c>
      <c r="D572" s="149" t="s">
        <v>248</v>
      </c>
      <c r="E572" s="149" t="s">
        <v>57</v>
      </c>
      <c r="F572" s="179" t="s">
        <v>84</v>
      </c>
      <c r="G572" s="320" t="s">
        <v>65</v>
      </c>
      <c r="H572" s="320" t="s">
        <v>72</v>
      </c>
      <c r="I572" s="321" t="s">
        <v>112</v>
      </c>
      <c r="J572" s="322"/>
      <c r="K572" s="692">
        <f>K573+K574+K575</f>
        <v>12810.1</v>
      </c>
      <c r="L572" s="165">
        <f>L573+L574+L575</f>
        <v>80.700000000000045</v>
      </c>
      <c r="M572" s="165">
        <f>M573+M574+M575</f>
        <v>12890.800000000001</v>
      </c>
    </row>
    <row r="573" spans="1:13" s="146" customFormat="1" ht="87" customHeight="1">
      <c r="A573" s="150"/>
      <c r="B573" s="163" t="s">
        <v>69</v>
      </c>
      <c r="C573" s="164" t="s">
        <v>377</v>
      </c>
      <c r="D573" s="149" t="s">
        <v>248</v>
      </c>
      <c r="E573" s="149" t="s">
        <v>57</v>
      </c>
      <c r="F573" s="750" t="s">
        <v>84</v>
      </c>
      <c r="G573" s="751" t="s">
        <v>65</v>
      </c>
      <c r="H573" s="751" t="s">
        <v>72</v>
      </c>
      <c r="I573" s="752" t="s">
        <v>112</v>
      </c>
      <c r="J573" s="149" t="s">
        <v>70</v>
      </c>
      <c r="K573" s="692">
        <v>11426.1</v>
      </c>
      <c r="L573" s="165">
        <f t="shared" ref="L573:L575" si="126">M573-K573</f>
        <v>0</v>
      </c>
      <c r="M573" s="165">
        <v>11426.1</v>
      </c>
    </row>
    <row r="574" spans="1:13" s="146" customFormat="1" ht="40.5" customHeight="1">
      <c r="A574" s="150"/>
      <c r="B574" s="163" t="s">
        <v>75</v>
      </c>
      <c r="C574" s="164" t="s">
        <v>377</v>
      </c>
      <c r="D574" s="149" t="s">
        <v>248</v>
      </c>
      <c r="E574" s="149" t="s">
        <v>57</v>
      </c>
      <c r="F574" s="750" t="s">
        <v>84</v>
      </c>
      <c r="G574" s="751" t="s">
        <v>65</v>
      </c>
      <c r="H574" s="751" t="s">
        <v>72</v>
      </c>
      <c r="I574" s="752" t="s">
        <v>112</v>
      </c>
      <c r="J574" s="149" t="s">
        <v>76</v>
      </c>
      <c r="K574" s="692">
        <f>918.9+405.1+13</f>
        <v>1337</v>
      </c>
      <c r="L574" s="165">
        <f t="shared" si="126"/>
        <v>80.700000000000045</v>
      </c>
      <c r="M574" s="165">
        <f>918.9+405.1+13+80.7</f>
        <v>1417.7</v>
      </c>
    </row>
    <row r="575" spans="1:13" s="146" customFormat="1" ht="18.75" customHeight="1">
      <c r="A575" s="150"/>
      <c r="B575" s="163" t="s">
        <v>77</v>
      </c>
      <c r="C575" s="164" t="s">
        <v>377</v>
      </c>
      <c r="D575" s="149" t="s">
        <v>248</v>
      </c>
      <c r="E575" s="149" t="s">
        <v>57</v>
      </c>
      <c r="F575" s="750" t="s">
        <v>84</v>
      </c>
      <c r="G575" s="751" t="s">
        <v>65</v>
      </c>
      <c r="H575" s="751" t="s">
        <v>72</v>
      </c>
      <c r="I575" s="752" t="s">
        <v>112</v>
      </c>
      <c r="J575" s="149" t="s">
        <v>78</v>
      </c>
      <c r="K575" s="692">
        <f>21.4+25.6</f>
        <v>47</v>
      </c>
      <c r="L575" s="165">
        <f t="shared" si="126"/>
        <v>0</v>
      </c>
      <c r="M575" s="165">
        <f>21.4+25.6</f>
        <v>47</v>
      </c>
    </row>
    <row r="576" spans="1:13" s="814" customFormat="1" ht="18.75" customHeight="1">
      <c r="A576" s="796"/>
      <c r="B576" s="811" t="s">
        <v>796</v>
      </c>
      <c r="C576" s="798" t="s">
        <v>377</v>
      </c>
      <c r="D576" s="799" t="s">
        <v>248</v>
      </c>
      <c r="E576" s="799" t="s">
        <v>57</v>
      </c>
      <c r="F576" s="800" t="s">
        <v>84</v>
      </c>
      <c r="G576" s="801" t="s">
        <v>65</v>
      </c>
      <c r="H576" s="801" t="s">
        <v>72</v>
      </c>
      <c r="I576" s="802" t="s">
        <v>479</v>
      </c>
      <c r="J576" s="799"/>
      <c r="K576" s="839">
        <f>K577</f>
        <v>0</v>
      </c>
      <c r="L576" s="793">
        <f t="shared" ref="L576:M576" si="127">L577</f>
        <v>47.4</v>
      </c>
      <c r="M576" s="793">
        <f t="shared" si="127"/>
        <v>47.4</v>
      </c>
    </row>
    <row r="577" spans="1:13" s="814" customFormat="1" ht="56.25" customHeight="1">
      <c r="A577" s="796"/>
      <c r="B577" s="163" t="s">
        <v>75</v>
      </c>
      <c r="C577" s="798" t="s">
        <v>377</v>
      </c>
      <c r="D577" s="799" t="s">
        <v>248</v>
      </c>
      <c r="E577" s="799" t="s">
        <v>57</v>
      </c>
      <c r="F577" s="800" t="s">
        <v>84</v>
      </c>
      <c r="G577" s="801" t="s">
        <v>65</v>
      </c>
      <c r="H577" s="801" t="s">
        <v>72</v>
      </c>
      <c r="I577" s="802" t="s">
        <v>479</v>
      </c>
      <c r="J577" s="799" t="s">
        <v>76</v>
      </c>
      <c r="K577" s="839"/>
      <c r="L577" s="793">
        <f t="shared" ref="L577" si="128">M577-K577</f>
        <v>47.4</v>
      </c>
      <c r="M577" s="793">
        <v>47.4</v>
      </c>
    </row>
    <row r="578" spans="1:13" s="146" customFormat="1" ht="37.5" customHeight="1">
      <c r="A578" s="150"/>
      <c r="B578" s="163" t="s">
        <v>391</v>
      </c>
      <c r="C578" s="164" t="s">
        <v>377</v>
      </c>
      <c r="D578" s="149" t="s">
        <v>248</v>
      </c>
      <c r="E578" s="149" t="s">
        <v>57</v>
      </c>
      <c r="F578" s="179" t="s">
        <v>84</v>
      </c>
      <c r="G578" s="320" t="s">
        <v>110</v>
      </c>
      <c r="H578" s="320" t="s">
        <v>63</v>
      </c>
      <c r="I578" s="752" t="s">
        <v>64</v>
      </c>
      <c r="J578" s="149"/>
      <c r="K578" s="692">
        <f>K579</f>
        <v>60</v>
      </c>
      <c r="L578" s="165">
        <f>L579</f>
        <v>0</v>
      </c>
      <c r="M578" s="165">
        <f>M579</f>
        <v>60</v>
      </c>
    </row>
    <row r="579" spans="1:13" s="146" customFormat="1" ht="92.25" customHeight="1">
      <c r="A579" s="150"/>
      <c r="B579" s="167" t="s">
        <v>383</v>
      </c>
      <c r="C579" s="164" t="s">
        <v>377</v>
      </c>
      <c r="D579" s="149" t="s">
        <v>248</v>
      </c>
      <c r="E579" s="149" t="s">
        <v>57</v>
      </c>
      <c r="F579" s="179" t="s">
        <v>84</v>
      </c>
      <c r="G579" s="320" t="s">
        <v>110</v>
      </c>
      <c r="H579" s="320" t="s">
        <v>84</v>
      </c>
      <c r="I579" s="752" t="s">
        <v>64</v>
      </c>
      <c r="J579" s="149"/>
      <c r="K579" s="692">
        <f>K580+K582</f>
        <v>60</v>
      </c>
      <c r="L579" s="165">
        <f>L580+L582</f>
        <v>0</v>
      </c>
      <c r="M579" s="165">
        <f>M580+M582</f>
        <v>60</v>
      </c>
    </row>
    <row r="580" spans="1:13" s="146" customFormat="1" ht="37.5" customHeight="1">
      <c r="A580" s="150"/>
      <c r="B580" s="167" t="s">
        <v>378</v>
      </c>
      <c r="C580" s="164" t="s">
        <v>377</v>
      </c>
      <c r="D580" s="149" t="s">
        <v>248</v>
      </c>
      <c r="E580" s="149" t="s">
        <v>57</v>
      </c>
      <c r="F580" s="179" t="s">
        <v>84</v>
      </c>
      <c r="G580" s="320" t="s">
        <v>110</v>
      </c>
      <c r="H580" s="320" t="s">
        <v>84</v>
      </c>
      <c r="I580" s="321" t="s">
        <v>379</v>
      </c>
      <c r="J580" s="322"/>
      <c r="K580" s="692">
        <f>K581</f>
        <v>17.899999999999999</v>
      </c>
      <c r="L580" s="165">
        <f>L581</f>
        <v>0</v>
      </c>
      <c r="M580" s="165">
        <f>M581</f>
        <v>17.899999999999999</v>
      </c>
    </row>
    <row r="581" spans="1:13" s="146" customFormat="1" ht="56.25" customHeight="1">
      <c r="A581" s="150"/>
      <c r="B581" s="167" t="s">
        <v>97</v>
      </c>
      <c r="C581" s="164" t="s">
        <v>377</v>
      </c>
      <c r="D581" s="149" t="s">
        <v>248</v>
      </c>
      <c r="E581" s="149" t="s">
        <v>57</v>
      </c>
      <c r="F581" s="750" t="s">
        <v>84</v>
      </c>
      <c r="G581" s="751" t="s">
        <v>110</v>
      </c>
      <c r="H581" s="751" t="s">
        <v>84</v>
      </c>
      <c r="I581" s="752" t="s">
        <v>379</v>
      </c>
      <c r="J581" s="149" t="s">
        <v>98</v>
      </c>
      <c r="K581" s="692">
        <v>17.899999999999999</v>
      </c>
      <c r="L581" s="165">
        <f>M581-K581</f>
        <v>0</v>
      </c>
      <c r="M581" s="165">
        <v>17.899999999999999</v>
      </c>
    </row>
    <row r="582" spans="1:13" s="146" customFormat="1" ht="56.25" customHeight="1">
      <c r="A582" s="150"/>
      <c r="B582" s="167" t="s">
        <v>586</v>
      </c>
      <c r="C582" s="164" t="s">
        <v>377</v>
      </c>
      <c r="D582" s="149" t="s">
        <v>248</v>
      </c>
      <c r="E582" s="149" t="s">
        <v>57</v>
      </c>
      <c r="F582" s="750" t="s">
        <v>84</v>
      </c>
      <c r="G582" s="751" t="s">
        <v>110</v>
      </c>
      <c r="H582" s="751" t="s">
        <v>84</v>
      </c>
      <c r="I582" s="752" t="s">
        <v>587</v>
      </c>
      <c r="J582" s="149"/>
      <c r="K582" s="692">
        <f>K583</f>
        <v>42.1</v>
      </c>
      <c r="L582" s="165">
        <f>L583</f>
        <v>0</v>
      </c>
      <c r="M582" s="165">
        <f>M583</f>
        <v>42.1</v>
      </c>
    </row>
    <row r="583" spans="1:13" s="146" customFormat="1" ht="56.25" customHeight="1">
      <c r="A583" s="150"/>
      <c r="B583" s="167" t="s">
        <v>97</v>
      </c>
      <c r="C583" s="164" t="s">
        <v>377</v>
      </c>
      <c r="D583" s="149" t="s">
        <v>248</v>
      </c>
      <c r="E583" s="149" t="s">
        <v>57</v>
      </c>
      <c r="F583" s="750" t="s">
        <v>84</v>
      </c>
      <c r="G583" s="751" t="s">
        <v>110</v>
      </c>
      <c r="H583" s="751" t="s">
        <v>84</v>
      </c>
      <c r="I583" s="752" t="s">
        <v>587</v>
      </c>
      <c r="J583" s="149" t="s">
        <v>98</v>
      </c>
      <c r="K583" s="692">
        <v>42.1</v>
      </c>
      <c r="L583" s="165">
        <f>M583-K583</f>
        <v>0</v>
      </c>
      <c r="M583" s="165">
        <v>42.1</v>
      </c>
    </row>
    <row r="584" spans="1:13" s="146" customFormat="1" ht="37.5" customHeight="1">
      <c r="A584" s="150"/>
      <c r="B584" s="163" t="s">
        <v>384</v>
      </c>
      <c r="C584" s="164" t="s">
        <v>377</v>
      </c>
      <c r="D584" s="149" t="s">
        <v>248</v>
      </c>
      <c r="E584" s="149" t="s">
        <v>72</v>
      </c>
      <c r="F584" s="179"/>
      <c r="G584" s="320"/>
      <c r="H584" s="320"/>
      <c r="I584" s="321"/>
      <c r="J584" s="322"/>
      <c r="K584" s="692">
        <f>K585</f>
        <v>10247.299999999999</v>
      </c>
      <c r="L584" s="165">
        <f>L585</f>
        <v>294.9999999999996</v>
      </c>
      <c r="M584" s="165">
        <f>M585</f>
        <v>10542.3</v>
      </c>
    </row>
    <row r="585" spans="1:13" s="146" customFormat="1" ht="56.25" customHeight="1">
      <c r="A585" s="150"/>
      <c r="B585" s="169" t="s">
        <v>235</v>
      </c>
      <c r="C585" s="164" t="s">
        <v>377</v>
      </c>
      <c r="D585" s="149" t="s">
        <v>248</v>
      </c>
      <c r="E585" s="149" t="s">
        <v>72</v>
      </c>
      <c r="F585" s="179" t="s">
        <v>84</v>
      </c>
      <c r="G585" s="320" t="s">
        <v>62</v>
      </c>
      <c r="H585" s="320" t="s">
        <v>63</v>
      </c>
      <c r="I585" s="321" t="s">
        <v>64</v>
      </c>
      <c r="J585" s="322"/>
      <c r="K585" s="692">
        <f>K590+K586</f>
        <v>10247.299999999999</v>
      </c>
      <c r="L585" s="165">
        <f>L590+L586</f>
        <v>294.9999999999996</v>
      </c>
      <c r="M585" s="165">
        <f>M590+M586</f>
        <v>10542.3</v>
      </c>
    </row>
    <row r="586" spans="1:13" s="146" customFormat="1" ht="56.25" customHeight="1">
      <c r="A586" s="150"/>
      <c r="B586" s="163" t="s">
        <v>391</v>
      </c>
      <c r="C586" s="164" t="s">
        <v>377</v>
      </c>
      <c r="D586" s="149" t="s">
        <v>248</v>
      </c>
      <c r="E586" s="149" t="s">
        <v>72</v>
      </c>
      <c r="F586" s="750" t="s">
        <v>84</v>
      </c>
      <c r="G586" s="751" t="s">
        <v>110</v>
      </c>
      <c r="H586" s="751" t="s">
        <v>63</v>
      </c>
      <c r="I586" s="752" t="s">
        <v>64</v>
      </c>
      <c r="J586" s="149"/>
      <c r="K586" s="692">
        <f t="shared" ref="K586:M588" si="129">K587</f>
        <v>932.9</v>
      </c>
      <c r="L586" s="165">
        <f t="shared" si="129"/>
        <v>211.89999999999998</v>
      </c>
      <c r="M586" s="165">
        <f t="shared" si="129"/>
        <v>1144.8</v>
      </c>
    </row>
    <row r="587" spans="1:13" s="146" customFormat="1" ht="87" customHeight="1">
      <c r="A587" s="150"/>
      <c r="B587" s="305" t="s">
        <v>383</v>
      </c>
      <c r="C587" s="164" t="s">
        <v>377</v>
      </c>
      <c r="D587" s="149" t="s">
        <v>248</v>
      </c>
      <c r="E587" s="149" t="s">
        <v>72</v>
      </c>
      <c r="F587" s="750" t="s">
        <v>84</v>
      </c>
      <c r="G587" s="751" t="s">
        <v>110</v>
      </c>
      <c r="H587" s="751" t="s">
        <v>84</v>
      </c>
      <c r="I587" s="752" t="s">
        <v>64</v>
      </c>
      <c r="J587" s="149"/>
      <c r="K587" s="692">
        <f t="shared" si="129"/>
        <v>932.9</v>
      </c>
      <c r="L587" s="165">
        <f t="shared" si="129"/>
        <v>211.89999999999998</v>
      </c>
      <c r="M587" s="165">
        <f t="shared" si="129"/>
        <v>1144.8</v>
      </c>
    </row>
    <row r="588" spans="1:13" s="146" customFormat="1" ht="37.5" customHeight="1">
      <c r="A588" s="150"/>
      <c r="B588" s="167" t="s">
        <v>378</v>
      </c>
      <c r="C588" s="164" t="s">
        <v>377</v>
      </c>
      <c r="D588" s="149" t="s">
        <v>248</v>
      </c>
      <c r="E588" s="149" t="s">
        <v>72</v>
      </c>
      <c r="F588" s="750" t="s">
        <v>84</v>
      </c>
      <c r="G588" s="751" t="s">
        <v>110</v>
      </c>
      <c r="H588" s="751" t="s">
        <v>84</v>
      </c>
      <c r="I588" s="752" t="s">
        <v>379</v>
      </c>
      <c r="J588" s="149"/>
      <c r="K588" s="692">
        <f t="shared" si="129"/>
        <v>932.9</v>
      </c>
      <c r="L588" s="165">
        <f t="shared" si="129"/>
        <v>211.89999999999998</v>
      </c>
      <c r="M588" s="165">
        <f t="shared" si="129"/>
        <v>1144.8</v>
      </c>
    </row>
    <row r="589" spans="1:13" s="902" customFormat="1" ht="50.25" customHeight="1">
      <c r="A589" s="892"/>
      <c r="B589" s="903" t="s">
        <v>75</v>
      </c>
      <c r="C589" s="894" t="s">
        <v>377</v>
      </c>
      <c r="D589" s="895" t="s">
        <v>248</v>
      </c>
      <c r="E589" s="895" t="s">
        <v>72</v>
      </c>
      <c r="F589" s="904" t="s">
        <v>84</v>
      </c>
      <c r="G589" s="905" t="s">
        <v>110</v>
      </c>
      <c r="H589" s="905" t="s">
        <v>84</v>
      </c>
      <c r="I589" s="906" t="s">
        <v>379</v>
      </c>
      <c r="J589" s="895" t="s">
        <v>76</v>
      </c>
      <c r="K589" s="900">
        <f>733.9+199</f>
        <v>932.9</v>
      </c>
      <c r="L589" s="901">
        <f>M589-K589</f>
        <v>211.89999999999998</v>
      </c>
      <c r="M589" s="901">
        <f>733.9+199+211.9</f>
        <v>1144.8</v>
      </c>
    </row>
    <row r="590" spans="1:13" s="146" customFormat="1" ht="56.25" customHeight="1">
      <c r="A590" s="150"/>
      <c r="B590" s="163" t="s">
        <v>238</v>
      </c>
      <c r="C590" s="164" t="s">
        <v>377</v>
      </c>
      <c r="D590" s="149" t="s">
        <v>248</v>
      </c>
      <c r="E590" s="149" t="s">
        <v>72</v>
      </c>
      <c r="F590" s="750" t="s">
        <v>84</v>
      </c>
      <c r="G590" s="751" t="s">
        <v>50</v>
      </c>
      <c r="H590" s="751" t="s">
        <v>63</v>
      </c>
      <c r="I590" s="752" t="s">
        <v>64</v>
      </c>
      <c r="J590" s="149"/>
      <c r="K590" s="692">
        <f>K591</f>
        <v>9314.4</v>
      </c>
      <c r="L590" s="165">
        <f>L591</f>
        <v>83.099999999999639</v>
      </c>
      <c r="M590" s="165">
        <f>M591</f>
        <v>9397.5</v>
      </c>
    </row>
    <row r="591" spans="1:13" s="146" customFormat="1" ht="37.5" customHeight="1">
      <c r="A591" s="150"/>
      <c r="B591" s="163" t="s">
        <v>322</v>
      </c>
      <c r="C591" s="164" t="s">
        <v>377</v>
      </c>
      <c r="D591" s="149" t="s">
        <v>248</v>
      </c>
      <c r="E591" s="149" t="s">
        <v>72</v>
      </c>
      <c r="F591" s="750" t="s">
        <v>84</v>
      </c>
      <c r="G591" s="751" t="s">
        <v>50</v>
      </c>
      <c r="H591" s="751" t="s">
        <v>57</v>
      </c>
      <c r="I591" s="752" t="s">
        <v>64</v>
      </c>
      <c r="J591" s="149"/>
      <c r="K591" s="692">
        <f>K592+K596+K600</f>
        <v>9314.4</v>
      </c>
      <c r="L591" s="165">
        <f>L592+L596+L600</f>
        <v>83.099999999999639</v>
      </c>
      <c r="M591" s="165">
        <f>M592+M596+M600</f>
        <v>9397.5</v>
      </c>
    </row>
    <row r="592" spans="1:13" s="146" customFormat="1" ht="37.5" customHeight="1">
      <c r="A592" s="150"/>
      <c r="B592" s="163" t="s">
        <v>67</v>
      </c>
      <c r="C592" s="164" t="s">
        <v>377</v>
      </c>
      <c r="D592" s="149" t="s">
        <v>248</v>
      </c>
      <c r="E592" s="149" t="s">
        <v>72</v>
      </c>
      <c r="F592" s="750" t="s">
        <v>84</v>
      </c>
      <c r="G592" s="751" t="s">
        <v>50</v>
      </c>
      <c r="H592" s="751" t="s">
        <v>57</v>
      </c>
      <c r="I592" s="752" t="s">
        <v>68</v>
      </c>
      <c r="J592" s="322"/>
      <c r="K592" s="692">
        <f>K593+K594+K595</f>
        <v>2859.3000000000006</v>
      </c>
      <c r="L592" s="165">
        <f>L593+L594+L595</f>
        <v>0</v>
      </c>
      <c r="M592" s="165">
        <f>M593+M594+M595</f>
        <v>2859.3000000000006</v>
      </c>
    </row>
    <row r="593" spans="1:13" s="146" customFormat="1" ht="112.5" customHeight="1">
      <c r="A593" s="150"/>
      <c r="B593" s="163" t="s">
        <v>69</v>
      </c>
      <c r="C593" s="164" t="s">
        <v>377</v>
      </c>
      <c r="D593" s="149" t="s">
        <v>248</v>
      </c>
      <c r="E593" s="149" t="s">
        <v>72</v>
      </c>
      <c r="F593" s="750" t="s">
        <v>84</v>
      </c>
      <c r="G593" s="751" t="s">
        <v>50</v>
      </c>
      <c r="H593" s="751" t="s">
        <v>57</v>
      </c>
      <c r="I593" s="752" t="s">
        <v>68</v>
      </c>
      <c r="J593" s="322" t="s">
        <v>70</v>
      </c>
      <c r="K593" s="692">
        <f>2530.3+86.3</f>
        <v>2616.6000000000004</v>
      </c>
      <c r="L593" s="165">
        <f t="shared" ref="L593:L595" si="130">M593-K593</f>
        <v>0</v>
      </c>
      <c r="M593" s="165">
        <f>2530.3+86.3</f>
        <v>2616.6000000000004</v>
      </c>
    </row>
    <row r="594" spans="1:13" s="146" customFormat="1" ht="56.25" customHeight="1">
      <c r="A594" s="150"/>
      <c r="B594" s="163" t="s">
        <v>75</v>
      </c>
      <c r="C594" s="164" t="s">
        <v>377</v>
      </c>
      <c r="D594" s="149" t="s">
        <v>248</v>
      </c>
      <c r="E594" s="149" t="s">
        <v>72</v>
      </c>
      <c r="F594" s="750" t="s">
        <v>84</v>
      </c>
      <c r="G594" s="751" t="s">
        <v>50</v>
      </c>
      <c r="H594" s="751" t="s">
        <v>57</v>
      </c>
      <c r="I594" s="752" t="s">
        <v>68</v>
      </c>
      <c r="J594" s="322" t="s">
        <v>76</v>
      </c>
      <c r="K594" s="692">
        <f>225.3+13</f>
        <v>238.3</v>
      </c>
      <c r="L594" s="165">
        <f t="shared" si="130"/>
        <v>0</v>
      </c>
      <c r="M594" s="165">
        <f>225.3+13</f>
        <v>238.3</v>
      </c>
    </row>
    <row r="595" spans="1:13" s="146" customFormat="1" ht="18.75" customHeight="1">
      <c r="A595" s="150"/>
      <c r="B595" s="163" t="s">
        <v>77</v>
      </c>
      <c r="C595" s="164" t="s">
        <v>377</v>
      </c>
      <c r="D595" s="149" t="s">
        <v>248</v>
      </c>
      <c r="E595" s="149" t="s">
        <v>72</v>
      </c>
      <c r="F595" s="750" t="s">
        <v>84</v>
      </c>
      <c r="G595" s="751" t="s">
        <v>50</v>
      </c>
      <c r="H595" s="751" t="s">
        <v>57</v>
      </c>
      <c r="I595" s="752" t="s">
        <v>68</v>
      </c>
      <c r="J595" s="149" t="s">
        <v>78</v>
      </c>
      <c r="K595" s="692">
        <v>4.4000000000000004</v>
      </c>
      <c r="L595" s="165">
        <f t="shared" si="130"/>
        <v>0</v>
      </c>
      <c r="M595" s="165">
        <v>4.4000000000000004</v>
      </c>
    </row>
    <row r="596" spans="1:13" s="146" customFormat="1" ht="39" customHeight="1">
      <c r="A596" s="150"/>
      <c r="B596" s="166" t="s">
        <v>795</v>
      </c>
      <c r="C596" s="164" t="s">
        <v>377</v>
      </c>
      <c r="D596" s="149" t="s">
        <v>248</v>
      </c>
      <c r="E596" s="149" t="s">
        <v>72</v>
      </c>
      <c r="F596" s="750" t="s">
        <v>84</v>
      </c>
      <c r="G596" s="751" t="s">
        <v>50</v>
      </c>
      <c r="H596" s="751" t="s">
        <v>57</v>
      </c>
      <c r="I596" s="752" t="s">
        <v>112</v>
      </c>
      <c r="J596" s="149"/>
      <c r="K596" s="692">
        <f>K597+K598+K599</f>
        <v>6363.8</v>
      </c>
      <c r="L596" s="165">
        <f>L597+L598+L599</f>
        <v>45.399999999999636</v>
      </c>
      <c r="M596" s="165">
        <f>M597+M598+M599</f>
        <v>6409.2</v>
      </c>
    </row>
    <row r="597" spans="1:13" s="146" customFormat="1" ht="112.5" customHeight="1">
      <c r="A597" s="150"/>
      <c r="B597" s="163" t="s">
        <v>69</v>
      </c>
      <c r="C597" s="429" t="s">
        <v>377</v>
      </c>
      <c r="D597" s="322" t="s">
        <v>248</v>
      </c>
      <c r="E597" s="322" t="s">
        <v>72</v>
      </c>
      <c r="F597" s="750" t="s">
        <v>84</v>
      </c>
      <c r="G597" s="751" t="s">
        <v>50</v>
      </c>
      <c r="H597" s="751" t="s">
        <v>57</v>
      </c>
      <c r="I597" s="752" t="s">
        <v>112</v>
      </c>
      <c r="J597" s="322" t="s">
        <v>70</v>
      </c>
      <c r="K597" s="692">
        <v>5786.6</v>
      </c>
      <c r="L597" s="165">
        <f t="shared" ref="L597:L599" si="131">M597-K597</f>
        <v>45.399999999999636</v>
      </c>
      <c r="M597" s="165">
        <f>5786.6+45.4</f>
        <v>5832</v>
      </c>
    </row>
    <row r="598" spans="1:13" s="146" customFormat="1" ht="56.25" customHeight="1">
      <c r="A598" s="150"/>
      <c r="B598" s="163" t="s">
        <v>75</v>
      </c>
      <c r="C598" s="429" t="s">
        <v>377</v>
      </c>
      <c r="D598" s="322" t="s">
        <v>248</v>
      </c>
      <c r="E598" s="322" t="s">
        <v>72</v>
      </c>
      <c r="F598" s="750" t="s">
        <v>84</v>
      </c>
      <c r="G598" s="751" t="s">
        <v>50</v>
      </c>
      <c r="H598" s="751" t="s">
        <v>57</v>
      </c>
      <c r="I598" s="752" t="s">
        <v>112</v>
      </c>
      <c r="J598" s="322" t="s">
        <v>76</v>
      </c>
      <c r="K598" s="692">
        <f>529.6+32.9+13</f>
        <v>575.5</v>
      </c>
      <c r="L598" s="165">
        <f t="shared" si="131"/>
        <v>0</v>
      </c>
      <c r="M598" s="165">
        <f>529.6+32.9+13</f>
        <v>575.5</v>
      </c>
    </row>
    <row r="599" spans="1:13" s="146" customFormat="1" ht="18.75" customHeight="1">
      <c r="A599" s="150"/>
      <c r="B599" s="163" t="s">
        <v>77</v>
      </c>
      <c r="C599" s="429" t="s">
        <v>377</v>
      </c>
      <c r="D599" s="322" t="s">
        <v>248</v>
      </c>
      <c r="E599" s="322" t="s">
        <v>72</v>
      </c>
      <c r="F599" s="750" t="s">
        <v>84</v>
      </c>
      <c r="G599" s="751" t="s">
        <v>50</v>
      </c>
      <c r="H599" s="751" t="s">
        <v>57</v>
      </c>
      <c r="I599" s="752" t="s">
        <v>112</v>
      </c>
      <c r="J599" s="149" t="s">
        <v>78</v>
      </c>
      <c r="K599" s="692">
        <v>1.7</v>
      </c>
      <c r="L599" s="165">
        <f t="shared" si="131"/>
        <v>0</v>
      </c>
      <c r="M599" s="165">
        <v>1.7</v>
      </c>
    </row>
    <row r="600" spans="1:13" s="412" customFormat="1" ht="18.75" customHeight="1">
      <c r="A600" s="585"/>
      <c r="B600" s="586" t="s">
        <v>796</v>
      </c>
      <c r="C600" s="429" t="s">
        <v>377</v>
      </c>
      <c r="D600" s="322" t="s">
        <v>248</v>
      </c>
      <c r="E600" s="322" t="s">
        <v>72</v>
      </c>
      <c r="F600" s="750" t="s">
        <v>84</v>
      </c>
      <c r="G600" s="751" t="s">
        <v>50</v>
      </c>
      <c r="H600" s="751" t="s">
        <v>57</v>
      </c>
      <c r="I600" s="453" t="s">
        <v>479</v>
      </c>
      <c r="J600" s="582"/>
      <c r="K600" s="851">
        <f>K601</f>
        <v>91.3</v>
      </c>
      <c r="L600" s="533">
        <f>L601</f>
        <v>37.700000000000003</v>
      </c>
      <c r="M600" s="533">
        <f>M601</f>
        <v>129</v>
      </c>
    </row>
    <row r="601" spans="1:13" s="412" customFormat="1" ht="55.5" customHeight="1">
      <c r="A601" s="587"/>
      <c r="B601" s="163" t="s">
        <v>75</v>
      </c>
      <c r="C601" s="429" t="s">
        <v>377</v>
      </c>
      <c r="D601" s="322" t="s">
        <v>248</v>
      </c>
      <c r="E601" s="322" t="s">
        <v>72</v>
      </c>
      <c r="F601" s="750" t="s">
        <v>84</v>
      </c>
      <c r="G601" s="751" t="s">
        <v>50</v>
      </c>
      <c r="H601" s="751" t="s">
        <v>57</v>
      </c>
      <c r="I601" s="584" t="s">
        <v>479</v>
      </c>
      <c r="J601" s="583" t="s">
        <v>76</v>
      </c>
      <c r="K601" s="854">
        <v>91.3</v>
      </c>
      <c r="L601" s="165">
        <f>M601-K601</f>
        <v>37.700000000000003</v>
      </c>
      <c r="M601" s="717">
        <f>91.3+37.7</f>
        <v>129</v>
      </c>
    </row>
    <row r="602" spans="1:13" s="412" customFormat="1" ht="18.75" customHeight="1">
      <c r="A602" s="587"/>
      <c r="B602" s="580"/>
      <c r="C602" s="429"/>
      <c r="D602" s="322"/>
      <c r="E602" s="322"/>
      <c r="F602" s="750"/>
      <c r="G602" s="751"/>
      <c r="H602" s="751"/>
      <c r="I602" s="581"/>
      <c r="J602" s="583"/>
      <c r="K602" s="854"/>
      <c r="L602" s="718"/>
      <c r="M602" s="717"/>
    </row>
    <row r="603" spans="1:13" s="391" customFormat="1" ht="56.25" customHeight="1">
      <c r="A603" s="390">
        <v>7</v>
      </c>
      <c r="B603" s="157" t="s">
        <v>26</v>
      </c>
      <c r="C603" s="158" t="s">
        <v>331</v>
      </c>
      <c r="D603" s="159"/>
      <c r="E603" s="159"/>
      <c r="F603" s="160"/>
      <c r="G603" s="161"/>
      <c r="H603" s="161"/>
      <c r="I603" s="162"/>
      <c r="J603" s="159"/>
      <c r="K603" s="691">
        <f>K611+K604</f>
        <v>39149.800000000003</v>
      </c>
      <c r="L603" s="188">
        <f>L611+L604</f>
        <v>1195.0999999999988</v>
      </c>
      <c r="M603" s="188">
        <f>M611+M604</f>
        <v>40344.9</v>
      </c>
    </row>
    <row r="604" spans="1:13" s="391" customFormat="1" ht="29.25" customHeight="1">
      <c r="A604" s="390"/>
      <c r="B604" s="592" t="s">
        <v>56</v>
      </c>
      <c r="C604" s="593" t="s">
        <v>331</v>
      </c>
      <c r="D604" s="180" t="s">
        <v>57</v>
      </c>
      <c r="E604" s="180"/>
      <c r="F604" s="576"/>
      <c r="G604" s="577"/>
      <c r="H604" s="577"/>
      <c r="I604" s="578"/>
      <c r="J604" s="180"/>
      <c r="K604" s="692">
        <f t="shared" ref="K604:M608" si="132">K605</f>
        <v>35.299999999999997</v>
      </c>
      <c r="L604" s="579">
        <f t="shared" si="132"/>
        <v>0</v>
      </c>
      <c r="M604" s="579">
        <f t="shared" si="132"/>
        <v>35.299999999999997</v>
      </c>
    </row>
    <row r="605" spans="1:13" s="391" customFormat="1" ht="23.25" customHeight="1">
      <c r="A605" s="390"/>
      <c r="B605" s="592" t="s">
        <v>91</v>
      </c>
      <c r="C605" s="593" t="s">
        <v>331</v>
      </c>
      <c r="D605" s="180" t="s">
        <v>57</v>
      </c>
      <c r="E605" s="180" t="s">
        <v>92</v>
      </c>
      <c r="F605" s="576"/>
      <c r="G605" s="577"/>
      <c r="H605" s="577"/>
      <c r="I605" s="578"/>
      <c r="J605" s="180"/>
      <c r="K605" s="692">
        <f t="shared" si="132"/>
        <v>35.299999999999997</v>
      </c>
      <c r="L605" s="579">
        <f t="shared" si="132"/>
        <v>0</v>
      </c>
      <c r="M605" s="579">
        <f t="shared" si="132"/>
        <v>35.299999999999997</v>
      </c>
    </row>
    <row r="606" spans="1:13" s="391" customFormat="1" ht="56.25" customHeight="1">
      <c r="A606" s="390"/>
      <c r="B606" s="163" t="s">
        <v>239</v>
      </c>
      <c r="C606" s="593" t="s">
        <v>331</v>
      </c>
      <c r="D606" s="180" t="s">
        <v>57</v>
      </c>
      <c r="E606" s="180" t="s">
        <v>92</v>
      </c>
      <c r="F606" s="576" t="s">
        <v>72</v>
      </c>
      <c r="G606" s="577" t="s">
        <v>62</v>
      </c>
      <c r="H606" s="577" t="s">
        <v>63</v>
      </c>
      <c r="I606" s="578" t="s">
        <v>64</v>
      </c>
      <c r="J606" s="180"/>
      <c r="K606" s="692">
        <f t="shared" si="132"/>
        <v>35.299999999999997</v>
      </c>
      <c r="L606" s="579">
        <f t="shared" si="132"/>
        <v>0</v>
      </c>
      <c r="M606" s="579">
        <f t="shared" si="132"/>
        <v>35.299999999999997</v>
      </c>
    </row>
    <row r="607" spans="1:13" s="391" customFormat="1" ht="37.5" customHeight="1">
      <c r="A607" s="390"/>
      <c r="B607" s="163" t="s">
        <v>242</v>
      </c>
      <c r="C607" s="593" t="s">
        <v>331</v>
      </c>
      <c r="D607" s="180" t="s">
        <v>57</v>
      </c>
      <c r="E607" s="180" t="s">
        <v>92</v>
      </c>
      <c r="F607" s="576" t="s">
        <v>72</v>
      </c>
      <c r="G607" s="577" t="s">
        <v>110</v>
      </c>
      <c r="H607" s="577" t="s">
        <v>63</v>
      </c>
      <c r="I607" s="578" t="s">
        <v>64</v>
      </c>
      <c r="J607" s="180"/>
      <c r="K607" s="692">
        <f t="shared" si="132"/>
        <v>35.299999999999997</v>
      </c>
      <c r="L607" s="579">
        <f t="shared" si="132"/>
        <v>0</v>
      </c>
      <c r="M607" s="579">
        <f t="shared" si="132"/>
        <v>35.299999999999997</v>
      </c>
    </row>
    <row r="608" spans="1:13" s="391" customFormat="1" ht="41.25" customHeight="1">
      <c r="A608" s="390"/>
      <c r="B608" s="592" t="s">
        <v>428</v>
      </c>
      <c r="C608" s="593" t="s">
        <v>331</v>
      </c>
      <c r="D608" s="180" t="s">
        <v>57</v>
      </c>
      <c r="E608" s="180" t="s">
        <v>92</v>
      </c>
      <c r="F608" s="576" t="s">
        <v>72</v>
      </c>
      <c r="G608" s="577" t="s">
        <v>110</v>
      </c>
      <c r="H608" s="577" t="s">
        <v>84</v>
      </c>
      <c r="I608" s="578" t="s">
        <v>64</v>
      </c>
      <c r="J608" s="180"/>
      <c r="K608" s="692">
        <f t="shared" si="132"/>
        <v>35.299999999999997</v>
      </c>
      <c r="L608" s="579">
        <f t="shared" si="132"/>
        <v>0</v>
      </c>
      <c r="M608" s="579">
        <f t="shared" si="132"/>
        <v>35.299999999999997</v>
      </c>
    </row>
    <row r="609" spans="1:13" s="391" customFormat="1" ht="56.25" customHeight="1">
      <c r="A609" s="390"/>
      <c r="B609" s="656" t="s">
        <v>429</v>
      </c>
      <c r="C609" s="593" t="s">
        <v>331</v>
      </c>
      <c r="D609" s="180" t="s">
        <v>57</v>
      </c>
      <c r="E609" s="180" t="s">
        <v>92</v>
      </c>
      <c r="F609" s="576" t="s">
        <v>72</v>
      </c>
      <c r="G609" s="577" t="s">
        <v>110</v>
      </c>
      <c r="H609" s="577" t="s">
        <v>84</v>
      </c>
      <c r="I609" s="578" t="s">
        <v>126</v>
      </c>
      <c r="J609" s="180"/>
      <c r="K609" s="692">
        <f>K610</f>
        <v>35.299999999999997</v>
      </c>
      <c r="L609" s="579">
        <f>L610</f>
        <v>0</v>
      </c>
      <c r="M609" s="579">
        <f>M610</f>
        <v>35.299999999999997</v>
      </c>
    </row>
    <row r="610" spans="1:13" s="391" customFormat="1" ht="56.25" customHeight="1">
      <c r="A610" s="390"/>
      <c r="B610" s="163" t="s">
        <v>75</v>
      </c>
      <c r="C610" s="593" t="s">
        <v>331</v>
      </c>
      <c r="D610" s="180" t="s">
        <v>57</v>
      </c>
      <c r="E610" s="180" t="s">
        <v>92</v>
      </c>
      <c r="F610" s="576" t="s">
        <v>72</v>
      </c>
      <c r="G610" s="577" t="s">
        <v>110</v>
      </c>
      <c r="H610" s="577" t="s">
        <v>84</v>
      </c>
      <c r="I610" s="578" t="s">
        <v>126</v>
      </c>
      <c r="J610" s="180" t="s">
        <v>76</v>
      </c>
      <c r="K610" s="692">
        <v>35.299999999999997</v>
      </c>
      <c r="L610" s="165">
        <f>M610-K610</f>
        <v>0</v>
      </c>
      <c r="M610" s="579">
        <v>35.299999999999997</v>
      </c>
    </row>
    <row r="611" spans="1:13" s="146" customFormat="1" ht="18.75" customHeight="1">
      <c r="A611" s="150"/>
      <c r="B611" s="169" t="s">
        <v>385</v>
      </c>
      <c r="C611" s="164" t="s">
        <v>331</v>
      </c>
      <c r="D611" s="149" t="s">
        <v>88</v>
      </c>
      <c r="E611" s="149"/>
      <c r="F611" s="750"/>
      <c r="G611" s="751"/>
      <c r="H611" s="751"/>
      <c r="I611" s="752"/>
      <c r="J611" s="149"/>
      <c r="K611" s="692">
        <f>K612+K636+K643</f>
        <v>39114.5</v>
      </c>
      <c r="L611" s="165">
        <f>L612+L636+L643</f>
        <v>1195.0999999999988</v>
      </c>
      <c r="M611" s="165">
        <f>M612+M636+M643</f>
        <v>40309.599999999999</v>
      </c>
    </row>
    <row r="612" spans="1:13" s="391" customFormat="1" ht="18.75" customHeight="1">
      <c r="A612" s="150"/>
      <c r="B612" s="169" t="s">
        <v>443</v>
      </c>
      <c r="C612" s="164" t="s">
        <v>331</v>
      </c>
      <c r="D612" s="149" t="s">
        <v>88</v>
      </c>
      <c r="E612" s="149" t="s">
        <v>57</v>
      </c>
      <c r="F612" s="750"/>
      <c r="G612" s="751"/>
      <c r="H612" s="751"/>
      <c r="I612" s="752"/>
      <c r="J612" s="149"/>
      <c r="K612" s="692">
        <f>K613</f>
        <v>36092.1</v>
      </c>
      <c r="L612" s="165">
        <f>L613</f>
        <v>1078.3999999999987</v>
      </c>
      <c r="M612" s="165">
        <f>M613</f>
        <v>37170.499999999993</v>
      </c>
    </row>
    <row r="613" spans="1:13" s="391" customFormat="1" ht="57" customHeight="1">
      <c r="A613" s="150"/>
      <c r="B613" s="163" t="s">
        <v>239</v>
      </c>
      <c r="C613" s="164" t="s">
        <v>331</v>
      </c>
      <c r="D613" s="149" t="s">
        <v>88</v>
      </c>
      <c r="E613" s="149" t="s">
        <v>57</v>
      </c>
      <c r="F613" s="750" t="s">
        <v>72</v>
      </c>
      <c r="G613" s="751" t="s">
        <v>62</v>
      </c>
      <c r="H613" s="751" t="s">
        <v>63</v>
      </c>
      <c r="I613" s="752" t="s">
        <v>64</v>
      </c>
      <c r="J613" s="149"/>
      <c r="K613" s="692">
        <f>K614+K618+K632</f>
        <v>36092.1</v>
      </c>
      <c r="L613" s="165">
        <f>L614+L618+L632</f>
        <v>1078.3999999999987</v>
      </c>
      <c r="M613" s="165">
        <f>M614+M618+M632</f>
        <v>37170.499999999993</v>
      </c>
    </row>
    <row r="614" spans="1:13" s="391" customFormat="1" ht="37.5" customHeight="1">
      <c r="A614" s="150"/>
      <c r="B614" s="169" t="s">
        <v>240</v>
      </c>
      <c r="C614" s="164" t="s">
        <v>331</v>
      </c>
      <c r="D614" s="149" t="s">
        <v>88</v>
      </c>
      <c r="E614" s="149" t="s">
        <v>57</v>
      </c>
      <c r="F614" s="750" t="s">
        <v>72</v>
      </c>
      <c r="G614" s="751" t="s">
        <v>65</v>
      </c>
      <c r="H614" s="751" t="s">
        <v>63</v>
      </c>
      <c r="I614" s="752" t="s">
        <v>64</v>
      </c>
      <c r="J614" s="149"/>
      <c r="K614" s="692">
        <f>K615</f>
        <v>144</v>
      </c>
      <c r="L614" s="165">
        <f>L615</f>
        <v>0</v>
      </c>
      <c r="M614" s="165">
        <f>M615</f>
        <v>144</v>
      </c>
    </row>
    <row r="615" spans="1:13" s="391" customFormat="1" ht="18.75" customHeight="1">
      <c r="A615" s="150"/>
      <c r="B615" s="163" t="s">
        <v>317</v>
      </c>
      <c r="C615" s="164" t="s">
        <v>331</v>
      </c>
      <c r="D615" s="149" t="s">
        <v>88</v>
      </c>
      <c r="E615" s="149" t="s">
        <v>57</v>
      </c>
      <c r="F615" s="750" t="s">
        <v>72</v>
      </c>
      <c r="G615" s="751" t="s">
        <v>65</v>
      </c>
      <c r="H615" s="751" t="s">
        <v>57</v>
      </c>
      <c r="I615" s="752" t="s">
        <v>64</v>
      </c>
      <c r="J615" s="149"/>
      <c r="K615" s="692">
        <f t="shared" ref="K615:M616" si="133">K616</f>
        <v>144</v>
      </c>
      <c r="L615" s="165">
        <f t="shared" si="133"/>
        <v>0</v>
      </c>
      <c r="M615" s="165">
        <f t="shared" si="133"/>
        <v>144</v>
      </c>
    </row>
    <row r="616" spans="1:13" s="391" customFormat="1" ht="56.25">
      <c r="A616" s="150"/>
      <c r="B616" s="163" t="s">
        <v>318</v>
      </c>
      <c r="C616" s="164" t="s">
        <v>331</v>
      </c>
      <c r="D616" s="149" t="s">
        <v>88</v>
      </c>
      <c r="E616" s="149" t="s">
        <v>57</v>
      </c>
      <c r="F616" s="750" t="s">
        <v>72</v>
      </c>
      <c r="G616" s="751" t="s">
        <v>65</v>
      </c>
      <c r="H616" s="751" t="s">
        <v>57</v>
      </c>
      <c r="I616" s="752" t="s">
        <v>319</v>
      </c>
      <c r="J616" s="149"/>
      <c r="K616" s="692">
        <f t="shared" si="133"/>
        <v>144</v>
      </c>
      <c r="L616" s="165">
        <f t="shared" si="133"/>
        <v>0</v>
      </c>
      <c r="M616" s="165">
        <f t="shared" si="133"/>
        <v>144</v>
      </c>
    </row>
    <row r="617" spans="1:13" s="391" customFormat="1" ht="37.5" customHeight="1">
      <c r="A617" s="150"/>
      <c r="B617" s="163" t="s">
        <v>141</v>
      </c>
      <c r="C617" s="164" t="s">
        <v>331</v>
      </c>
      <c r="D617" s="149" t="s">
        <v>88</v>
      </c>
      <c r="E617" s="149" t="s">
        <v>57</v>
      </c>
      <c r="F617" s="750" t="s">
        <v>72</v>
      </c>
      <c r="G617" s="751" t="s">
        <v>65</v>
      </c>
      <c r="H617" s="751" t="s">
        <v>57</v>
      </c>
      <c r="I617" s="752" t="s">
        <v>319</v>
      </c>
      <c r="J617" s="149" t="s">
        <v>142</v>
      </c>
      <c r="K617" s="692">
        <v>144</v>
      </c>
      <c r="L617" s="165">
        <f>M617-K617</f>
        <v>0</v>
      </c>
      <c r="M617" s="165">
        <v>144</v>
      </c>
    </row>
    <row r="618" spans="1:13" s="146" customFormat="1" ht="37.5" customHeight="1">
      <c r="A618" s="150"/>
      <c r="B618" s="163" t="s">
        <v>242</v>
      </c>
      <c r="C618" s="164" t="s">
        <v>331</v>
      </c>
      <c r="D618" s="149" t="s">
        <v>88</v>
      </c>
      <c r="E618" s="149" t="s">
        <v>57</v>
      </c>
      <c r="F618" s="750" t="s">
        <v>72</v>
      </c>
      <c r="G618" s="751" t="s">
        <v>110</v>
      </c>
      <c r="H618" s="751" t="s">
        <v>63</v>
      </c>
      <c r="I618" s="752" t="s">
        <v>64</v>
      </c>
      <c r="J618" s="149"/>
      <c r="K618" s="692">
        <f>K619</f>
        <v>30048</v>
      </c>
      <c r="L618" s="165">
        <f>L619</f>
        <v>1023.7999999999984</v>
      </c>
      <c r="M618" s="165">
        <f>M619</f>
        <v>31071.799999999996</v>
      </c>
    </row>
    <row r="619" spans="1:13" s="391" customFormat="1" ht="36.6" customHeight="1">
      <c r="A619" s="150"/>
      <c r="B619" s="163" t="s">
        <v>444</v>
      </c>
      <c r="C619" s="164" t="s">
        <v>331</v>
      </c>
      <c r="D619" s="149" t="s">
        <v>88</v>
      </c>
      <c r="E619" s="149" t="s">
        <v>57</v>
      </c>
      <c r="F619" s="750" t="s">
        <v>72</v>
      </c>
      <c r="G619" s="751" t="s">
        <v>110</v>
      </c>
      <c r="H619" s="751" t="s">
        <v>59</v>
      </c>
      <c r="I619" s="752" t="s">
        <v>64</v>
      </c>
      <c r="J619" s="149"/>
      <c r="K619" s="692">
        <f>K620+K624+K630+K626+K628</f>
        <v>30048</v>
      </c>
      <c r="L619" s="165">
        <f>L620+L624+L630+L626+L628</f>
        <v>1023.7999999999984</v>
      </c>
      <c r="M619" s="165">
        <f>M620+M624+M630+M626+M628</f>
        <v>31071.799999999996</v>
      </c>
    </row>
    <row r="620" spans="1:13" s="391" customFormat="1" ht="39" customHeight="1">
      <c r="A620" s="150"/>
      <c r="B620" s="166" t="s">
        <v>795</v>
      </c>
      <c r="C620" s="164" t="s">
        <v>331</v>
      </c>
      <c r="D620" s="149" t="s">
        <v>88</v>
      </c>
      <c r="E620" s="149" t="s">
        <v>57</v>
      </c>
      <c r="F620" s="750" t="s">
        <v>72</v>
      </c>
      <c r="G620" s="751" t="s">
        <v>110</v>
      </c>
      <c r="H620" s="751" t="s">
        <v>59</v>
      </c>
      <c r="I620" s="752" t="s">
        <v>112</v>
      </c>
      <c r="J620" s="149"/>
      <c r="K620" s="692">
        <f>K621+K622+K623</f>
        <v>24343.600000000002</v>
      </c>
      <c r="L620" s="165">
        <f>L621+L622+L623</f>
        <v>1023.7999999999984</v>
      </c>
      <c r="M620" s="165">
        <f>M621+M622+M623</f>
        <v>25367.399999999998</v>
      </c>
    </row>
    <row r="621" spans="1:13" s="391" customFormat="1" ht="112.5" customHeight="1">
      <c r="A621" s="150"/>
      <c r="B621" s="163" t="s">
        <v>69</v>
      </c>
      <c r="C621" s="164" t="s">
        <v>331</v>
      </c>
      <c r="D621" s="149" t="s">
        <v>88</v>
      </c>
      <c r="E621" s="149" t="s">
        <v>57</v>
      </c>
      <c r="F621" s="750" t="s">
        <v>72</v>
      </c>
      <c r="G621" s="751" t="s">
        <v>110</v>
      </c>
      <c r="H621" s="751" t="s">
        <v>59</v>
      </c>
      <c r="I621" s="752" t="s">
        <v>112</v>
      </c>
      <c r="J621" s="149" t="s">
        <v>70</v>
      </c>
      <c r="K621" s="692">
        <f>17673+972.7+215</f>
        <v>18860.7</v>
      </c>
      <c r="L621" s="165">
        <f t="shared" ref="L621:L623" si="134">M621-K621</f>
        <v>557.59999999999854</v>
      </c>
      <c r="M621" s="780">
        <f>17673+972.7+215+289+268.6</f>
        <v>19418.3</v>
      </c>
    </row>
    <row r="622" spans="1:13" s="146" customFormat="1" ht="56.25" customHeight="1">
      <c r="A622" s="150"/>
      <c r="B622" s="163" t="s">
        <v>75</v>
      </c>
      <c r="C622" s="164" t="s">
        <v>331</v>
      </c>
      <c r="D622" s="149" t="s">
        <v>88</v>
      </c>
      <c r="E622" s="149" t="s">
        <v>57</v>
      </c>
      <c r="F622" s="750" t="s">
        <v>72</v>
      </c>
      <c r="G622" s="751" t="s">
        <v>110</v>
      </c>
      <c r="H622" s="751" t="s">
        <v>59</v>
      </c>
      <c r="I622" s="752" t="s">
        <v>112</v>
      </c>
      <c r="J622" s="149" t="s">
        <v>76</v>
      </c>
      <c r="K622" s="692">
        <f>5643.8-972.7+750</f>
        <v>5421.1</v>
      </c>
      <c r="L622" s="165">
        <f t="shared" si="134"/>
        <v>466.19999999999982</v>
      </c>
      <c r="M622" s="780">
        <f>5643.8-972.7+750-289+211.9+69+140.1+45.2+289</f>
        <v>5887.3</v>
      </c>
    </row>
    <row r="623" spans="1:13" s="391" customFormat="1" ht="18.75" customHeight="1">
      <c r="A623" s="150"/>
      <c r="B623" s="163" t="s">
        <v>77</v>
      </c>
      <c r="C623" s="164" t="s">
        <v>331</v>
      </c>
      <c r="D623" s="149" t="s">
        <v>88</v>
      </c>
      <c r="E623" s="149" t="s">
        <v>57</v>
      </c>
      <c r="F623" s="750" t="s">
        <v>72</v>
      </c>
      <c r="G623" s="751" t="s">
        <v>110</v>
      </c>
      <c r="H623" s="751" t="s">
        <v>59</v>
      </c>
      <c r="I623" s="752" t="s">
        <v>112</v>
      </c>
      <c r="J623" s="149" t="s">
        <v>78</v>
      </c>
      <c r="K623" s="692">
        <v>61.8</v>
      </c>
      <c r="L623" s="165">
        <f t="shared" si="134"/>
        <v>0</v>
      </c>
      <c r="M623" s="165">
        <v>61.8</v>
      </c>
    </row>
    <row r="624" spans="1:13" s="391" customFormat="1" ht="22.5" customHeight="1">
      <c r="A624" s="150"/>
      <c r="B624" s="163" t="s">
        <v>796</v>
      </c>
      <c r="C624" s="164" t="s">
        <v>331</v>
      </c>
      <c r="D624" s="149" t="s">
        <v>88</v>
      </c>
      <c r="E624" s="149" t="s">
        <v>57</v>
      </c>
      <c r="F624" s="750" t="s">
        <v>72</v>
      </c>
      <c r="G624" s="751" t="s">
        <v>110</v>
      </c>
      <c r="H624" s="751" t="s">
        <v>59</v>
      </c>
      <c r="I624" s="752" t="s">
        <v>479</v>
      </c>
      <c r="J624" s="149"/>
      <c r="K624" s="692">
        <f>K625</f>
        <v>2355.8000000000002</v>
      </c>
      <c r="L624" s="165">
        <f>L625</f>
        <v>0</v>
      </c>
      <c r="M624" s="165">
        <f>M625</f>
        <v>2355.8000000000002</v>
      </c>
    </row>
    <row r="625" spans="1:14" s="391" customFormat="1" ht="56.25" customHeight="1">
      <c r="A625" s="150"/>
      <c r="B625" s="163" t="s">
        <v>75</v>
      </c>
      <c r="C625" s="164" t="s">
        <v>331</v>
      </c>
      <c r="D625" s="149" t="s">
        <v>88</v>
      </c>
      <c r="E625" s="149" t="s">
        <v>57</v>
      </c>
      <c r="F625" s="750" t="s">
        <v>72</v>
      </c>
      <c r="G625" s="751" t="s">
        <v>110</v>
      </c>
      <c r="H625" s="751" t="s">
        <v>59</v>
      </c>
      <c r="I625" s="752" t="s">
        <v>479</v>
      </c>
      <c r="J625" s="149" t="s">
        <v>76</v>
      </c>
      <c r="K625" s="692">
        <v>2355.8000000000002</v>
      </c>
      <c r="L625" s="165">
        <f>M625-K625</f>
        <v>0</v>
      </c>
      <c r="M625" s="165">
        <v>2355.8000000000002</v>
      </c>
    </row>
    <row r="626" spans="1:14" s="391" customFormat="1" ht="56.25" customHeight="1">
      <c r="A626" s="150"/>
      <c r="B626" s="163" t="s">
        <v>241</v>
      </c>
      <c r="C626" s="164" t="s">
        <v>331</v>
      </c>
      <c r="D626" s="149" t="s">
        <v>88</v>
      </c>
      <c r="E626" s="149" t="s">
        <v>57</v>
      </c>
      <c r="F626" s="750" t="s">
        <v>72</v>
      </c>
      <c r="G626" s="751" t="s">
        <v>110</v>
      </c>
      <c r="H626" s="751" t="s">
        <v>59</v>
      </c>
      <c r="I626" s="752" t="s">
        <v>333</v>
      </c>
      <c r="J626" s="149"/>
      <c r="K626" s="692">
        <f t="shared" ref="K626:M626" si="135">K627</f>
        <v>2325.8000000000002</v>
      </c>
      <c r="L626" s="165">
        <f t="shared" si="135"/>
        <v>0</v>
      </c>
      <c r="M626" s="165">
        <f t="shared" si="135"/>
        <v>2325.8000000000002</v>
      </c>
    </row>
    <row r="627" spans="1:14" s="391" customFormat="1" ht="56.25" customHeight="1">
      <c r="A627" s="150"/>
      <c r="B627" s="163" t="s">
        <v>75</v>
      </c>
      <c r="C627" s="164" t="s">
        <v>331</v>
      </c>
      <c r="D627" s="149" t="s">
        <v>88</v>
      </c>
      <c r="E627" s="149" t="s">
        <v>57</v>
      </c>
      <c r="F627" s="750" t="s">
        <v>72</v>
      </c>
      <c r="G627" s="751" t="s">
        <v>110</v>
      </c>
      <c r="H627" s="751" t="s">
        <v>59</v>
      </c>
      <c r="I627" s="752" t="s">
        <v>333</v>
      </c>
      <c r="J627" s="149" t="s">
        <v>76</v>
      </c>
      <c r="K627" s="692">
        <v>2325.8000000000002</v>
      </c>
      <c r="L627" s="165">
        <f>M627-K627</f>
        <v>0</v>
      </c>
      <c r="M627" s="165">
        <f>2325.8-211.9+211.9</f>
        <v>2325.8000000000002</v>
      </c>
    </row>
    <row r="628" spans="1:14" s="391" customFormat="1" ht="193.5" customHeight="1">
      <c r="A628" s="150"/>
      <c r="B628" s="163" t="s">
        <v>694</v>
      </c>
      <c r="C628" s="164" t="s">
        <v>331</v>
      </c>
      <c r="D628" s="149" t="s">
        <v>88</v>
      </c>
      <c r="E628" s="149" t="s">
        <v>57</v>
      </c>
      <c r="F628" s="750" t="s">
        <v>72</v>
      </c>
      <c r="G628" s="751" t="s">
        <v>110</v>
      </c>
      <c r="H628" s="751" t="s">
        <v>59</v>
      </c>
      <c r="I628" s="752" t="s">
        <v>538</v>
      </c>
      <c r="J628" s="149"/>
      <c r="K628" s="692">
        <f>K629</f>
        <v>125</v>
      </c>
      <c r="L628" s="165">
        <f>L629</f>
        <v>0</v>
      </c>
      <c r="M628" s="165">
        <f>M629</f>
        <v>125</v>
      </c>
    </row>
    <row r="629" spans="1:14" s="391" customFormat="1" ht="109.5" customHeight="1">
      <c r="A629" s="150"/>
      <c r="B629" s="163" t="s">
        <v>69</v>
      </c>
      <c r="C629" s="164" t="s">
        <v>331</v>
      </c>
      <c r="D629" s="149" t="s">
        <v>88</v>
      </c>
      <c r="E629" s="149" t="s">
        <v>57</v>
      </c>
      <c r="F629" s="750" t="s">
        <v>72</v>
      </c>
      <c r="G629" s="751" t="s">
        <v>110</v>
      </c>
      <c r="H629" s="751" t="s">
        <v>59</v>
      </c>
      <c r="I629" s="752" t="s">
        <v>538</v>
      </c>
      <c r="J629" s="149" t="s">
        <v>70</v>
      </c>
      <c r="K629" s="692">
        <v>125</v>
      </c>
      <c r="L629" s="165">
        <f>M629-K629</f>
        <v>0</v>
      </c>
      <c r="M629" s="165">
        <v>125</v>
      </c>
    </row>
    <row r="630" spans="1:14" s="391" customFormat="1" ht="58.5" customHeight="1">
      <c r="A630" s="150"/>
      <c r="B630" s="163" t="s">
        <v>729</v>
      </c>
      <c r="C630" s="164" t="s">
        <v>331</v>
      </c>
      <c r="D630" s="149" t="s">
        <v>88</v>
      </c>
      <c r="E630" s="149" t="s">
        <v>57</v>
      </c>
      <c r="F630" s="750" t="s">
        <v>72</v>
      </c>
      <c r="G630" s="751" t="s">
        <v>110</v>
      </c>
      <c r="H630" s="751" t="s">
        <v>59</v>
      </c>
      <c r="I630" s="752" t="s">
        <v>583</v>
      </c>
      <c r="J630" s="149"/>
      <c r="K630" s="692">
        <f>K631</f>
        <v>897.8</v>
      </c>
      <c r="L630" s="165">
        <f>L631</f>
        <v>0</v>
      </c>
      <c r="M630" s="165">
        <f>M631</f>
        <v>897.8</v>
      </c>
    </row>
    <row r="631" spans="1:14" s="391" customFormat="1" ht="112.5" customHeight="1">
      <c r="A631" s="150"/>
      <c r="B631" s="163" t="s">
        <v>69</v>
      </c>
      <c r="C631" s="164" t="s">
        <v>331</v>
      </c>
      <c r="D631" s="149" t="s">
        <v>88</v>
      </c>
      <c r="E631" s="149" t="s">
        <v>57</v>
      </c>
      <c r="F631" s="750" t="s">
        <v>72</v>
      </c>
      <c r="G631" s="751" t="s">
        <v>110</v>
      </c>
      <c r="H631" s="751" t="s">
        <v>59</v>
      </c>
      <c r="I631" s="752" t="s">
        <v>583</v>
      </c>
      <c r="J631" s="149" t="s">
        <v>70</v>
      </c>
      <c r="K631" s="692">
        <v>897.8</v>
      </c>
      <c r="L631" s="165">
        <f>M631-K631</f>
        <v>0</v>
      </c>
      <c r="M631" s="165">
        <v>897.8</v>
      </c>
    </row>
    <row r="632" spans="1:14" s="146" customFormat="1" ht="37.5" customHeight="1">
      <c r="A632" s="150"/>
      <c r="B632" s="163" t="s">
        <v>404</v>
      </c>
      <c r="C632" s="164" t="s">
        <v>331</v>
      </c>
      <c r="D632" s="149" t="s">
        <v>88</v>
      </c>
      <c r="E632" s="149" t="s">
        <v>57</v>
      </c>
      <c r="F632" s="750" t="s">
        <v>72</v>
      </c>
      <c r="G632" s="751" t="s">
        <v>51</v>
      </c>
      <c r="H632" s="751" t="s">
        <v>63</v>
      </c>
      <c r="I632" s="752" t="s">
        <v>64</v>
      </c>
      <c r="J632" s="149"/>
      <c r="K632" s="692">
        <f t="shared" ref="K632:M634" si="136">K633</f>
        <v>5900.0999999999995</v>
      </c>
      <c r="L632" s="165">
        <f t="shared" si="136"/>
        <v>54.600000000000364</v>
      </c>
      <c r="M632" s="165">
        <f t="shared" si="136"/>
        <v>5954.7</v>
      </c>
    </row>
    <row r="633" spans="1:14" s="391" customFormat="1" ht="75" customHeight="1">
      <c r="A633" s="150"/>
      <c r="B633" s="163" t="s">
        <v>584</v>
      </c>
      <c r="C633" s="164" t="s">
        <v>331</v>
      </c>
      <c r="D633" s="149" t="s">
        <v>88</v>
      </c>
      <c r="E633" s="149" t="s">
        <v>57</v>
      </c>
      <c r="F633" s="750" t="s">
        <v>72</v>
      </c>
      <c r="G633" s="751" t="s">
        <v>51</v>
      </c>
      <c r="H633" s="751" t="s">
        <v>84</v>
      </c>
      <c r="I633" s="752" t="s">
        <v>64</v>
      </c>
      <c r="J633" s="149"/>
      <c r="K633" s="692">
        <f t="shared" si="136"/>
        <v>5900.0999999999995</v>
      </c>
      <c r="L633" s="165">
        <f t="shared" si="136"/>
        <v>54.600000000000364</v>
      </c>
      <c r="M633" s="165">
        <f t="shared" si="136"/>
        <v>5954.7</v>
      </c>
    </row>
    <row r="634" spans="1:14" s="391" customFormat="1" ht="56.25" customHeight="1">
      <c r="A634" s="150"/>
      <c r="B634" s="163" t="s">
        <v>241</v>
      </c>
      <c r="C634" s="164" t="s">
        <v>331</v>
      </c>
      <c r="D634" s="149" t="s">
        <v>88</v>
      </c>
      <c r="E634" s="149" t="s">
        <v>57</v>
      </c>
      <c r="F634" s="750" t="s">
        <v>72</v>
      </c>
      <c r="G634" s="751" t="s">
        <v>51</v>
      </c>
      <c r="H634" s="751" t="s">
        <v>84</v>
      </c>
      <c r="I634" s="752" t="s">
        <v>333</v>
      </c>
      <c r="J634" s="149"/>
      <c r="K634" s="692">
        <f t="shared" si="136"/>
        <v>5900.0999999999995</v>
      </c>
      <c r="L634" s="165">
        <f t="shared" si="136"/>
        <v>54.600000000000364</v>
      </c>
      <c r="M634" s="165">
        <f t="shared" si="136"/>
        <v>5954.7</v>
      </c>
    </row>
    <row r="635" spans="1:14" s="391" customFormat="1" ht="56.25" customHeight="1">
      <c r="A635" s="150"/>
      <c r="B635" s="163" t="s">
        <v>225</v>
      </c>
      <c r="C635" s="164" t="s">
        <v>331</v>
      </c>
      <c r="D635" s="149" t="s">
        <v>88</v>
      </c>
      <c r="E635" s="149" t="s">
        <v>57</v>
      </c>
      <c r="F635" s="750" t="s">
        <v>72</v>
      </c>
      <c r="G635" s="751" t="s">
        <v>51</v>
      </c>
      <c r="H635" s="751" t="s">
        <v>84</v>
      </c>
      <c r="I635" s="752" t="s">
        <v>333</v>
      </c>
      <c r="J635" s="149" t="s">
        <v>226</v>
      </c>
      <c r="K635" s="692">
        <f>1500+1556.9+1100+1743.2</f>
        <v>5900.0999999999995</v>
      </c>
      <c r="L635" s="165">
        <f>M635-K635</f>
        <v>54.600000000000364</v>
      </c>
      <c r="M635" s="165">
        <f>1500+1556.9+1100+1743.2+54.6</f>
        <v>5954.7</v>
      </c>
    </row>
    <row r="636" spans="1:14" s="146" customFormat="1" ht="18.75" customHeight="1">
      <c r="A636" s="150"/>
      <c r="B636" s="169" t="s">
        <v>334</v>
      </c>
      <c r="C636" s="164" t="s">
        <v>331</v>
      </c>
      <c r="D636" s="149" t="s">
        <v>88</v>
      </c>
      <c r="E636" s="149" t="s">
        <v>59</v>
      </c>
      <c r="F636" s="750"/>
      <c r="G636" s="751"/>
      <c r="H636" s="751"/>
      <c r="I636" s="752"/>
      <c r="J636" s="149"/>
      <c r="K636" s="692">
        <f t="shared" ref="K636:M636" si="137">K637</f>
        <v>597.09999999999991</v>
      </c>
      <c r="L636" s="165">
        <f t="shared" si="137"/>
        <v>116.7</v>
      </c>
      <c r="M636" s="165">
        <f t="shared" si="137"/>
        <v>713.8</v>
      </c>
      <c r="N636" s="443"/>
    </row>
    <row r="637" spans="1:14" s="146" customFormat="1" ht="56.25" customHeight="1">
      <c r="A637" s="150"/>
      <c r="B637" s="163" t="s">
        <v>239</v>
      </c>
      <c r="C637" s="164" t="s">
        <v>331</v>
      </c>
      <c r="D637" s="149" t="s">
        <v>88</v>
      </c>
      <c r="E637" s="149" t="s">
        <v>59</v>
      </c>
      <c r="F637" s="750" t="s">
        <v>72</v>
      </c>
      <c r="G637" s="751" t="s">
        <v>62</v>
      </c>
      <c r="H637" s="751" t="s">
        <v>63</v>
      </c>
      <c r="I637" s="752" t="s">
        <v>64</v>
      </c>
      <c r="J637" s="149"/>
      <c r="K637" s="692">
        <f>K638</f>
        <v>597.09999999999991</v>
      </c>
      <c r="L637" s="165">
        <f>L638</f>
        <v>116.7</v>
      </c>
      <c r="M637" s="165">
        <f>M638</f>
        <v>713.8</v>
      </c>
    </row>
    <row r="638" spans="1:14" s="146" customFormat="1" ht="37.5" customHeight="1">
      <c r="A638" s="150"/>
      <c r="B638" s="169" t="s">
        <v>240</v>
      </c>
      <c r="C638" s="164" t="s">
        <v>331</v>
      </c>
      <c r="D638" s="149" t="s">
        <v>88</v>
      </c>
      <c r="E638" s="149" t="s">
        <v>59</v>
      </c>
      <c r="F638" s="750" t="s">
        <v>72</v>
      </c>
      <c r="G638" s="751" t="s">
        <v>65</v>
      </c>
      <c r="H638" s="751" t="s">
        <v>63</v>
      </c>
      <c r="I638" s="752" t="s">
        <v>64</v>
      </c>
      <c r="J638" s="149"/>
      <c r="K638" s="692">
        <f t="shared" ref="K638:M639" si="138">K639</f>
        <v>597.09999999999991</v>
      </c>
      <c r="L638" s="165">
        <f t="shared" si="138"/>
        <v>116.7</v>
      </c>
      <c r="M638" s="165">
        <f t="shared" si="138"/>
        <v>713.8</v>
      </c>
      <c r="N638" s="443"/>
    </row>
    <row r="639" spans="1:14" s="146" customFormat="1" ht="56.25" customHeight="1">
      <c r="A639" s="150"/>
      <c r="B639" s="163" t="s">
        <v>332</v>
      </c>
      <c r="C639" s="164" t="s">
        <v>331</v>
      </c>
      <c r="D639" s="149" t="s">
        <v>88</v>
      </c>
      <c r="E639" s="149" t="s">
        <v>59</v>
      </c>
      <c r="F639" s="750" t="s">
        <v>72</v>
      </c>
      <c r="G639" s="751" t="s">
        <v>65</v>
      </c>
      <c r="H639" s="751" t="s">
        <v>59</v>
      </c>
      <c r="I639" s="752" t="s">
        <v>64</v>
      </c>
      <c r="J639" s="149"/>
      <c r="K639" s="692">
        <f t="shared" si="138"/>
        <v>597.09999999999991</v>
      </c>
      <c r="L639" s="165">
        <f t="shared" si="138"/>
        <v>116.7</v>
      </c>
      <c r="M639" s="165">
        <f t="shared" si="138"/>
        <v>713.8</v>
      </c>
      <c r="N639" s="443"/>
    </row>
    <row r="640" spans="1:14" s="146" customFormat="1" ht="56.25" customHeight="1">
      <c r="A640" s="150"/>
      <c r="B640" s="163" t="s">
        <v>241</v>
      </c>
      <c r="C640" s="164" t="s">
        <v>331</v>
      </c>
      <c r="D640" s="149" t="s">
        <v>88</v>
      </c>
      <c r="E640" s="149" t="s">
        <v>59</v>
      </c>
      <c r="F640" s="750" t="s">
        <v>72</v>
      </c>
      <c r="G640" s="751" t="s">
        <v>65</v>
      </c>
      <c r="H640" s="751" t="s">
        <v>59</v>
      </c>
      <c r="I640" s="752" t="s">
        <v>333</v>
      </c>
      <c r="J640" s="149"/>
      <c r="K640" s="692">
        <f t="shared" ref="K640:M640" si="139">SUM(K641:K642)</f>
        <v>597.09999999999991</v>
      </c>
      <c r="L640" s="165">
        <f t="shared" ref="L640" si="140">SUM(L641:L642)</f>
        <v>116.7</v>
      </c>
      <c r="M640" s="165">
        <f t="shared" si="139"/>
        <v>713.8</v>
      </c>
    </row>
    <row r="641" spans="1:14" s="146" customFormat="1" ht="112.5" customHeight="1">
      <c r="A641" s="150"/>
      <c r="B641" s="163" t="s">
        <v>69</v>
      </c>
      <c r="C641" s="164" t="s">
        <v>331</v>
      </c>
      <c r="D641" s="149" t="s">
        <v>88</v>
      </c>
      <c r="E641" s="149" t="s">
        <v>59</v>
      </c>
      <c r="F641" s="750" t="s">
        <v>72</v>
      </c>
      <c r="G641" s="751" t="s">
        <v>65</v>
      </c>
      <c r="H641" s="751" t="s">
        <v>59</v>
      </c>
      <c r="I641" s="752" t="s">
        <v>333</v>
      </c>
      <c r="J641" s="149" t="s">
        <v>70</v>
      </c>
      <c r="K641" s="692">
        <v>549.79999999999995</v>
      </c>
      <c r="L641" s="165">
        <f t="shared" ref="L641:L642" si="141">M641-K641</f>
        <v>0</v>
      </c>
      <c r="M641" s="165">
        <f>549.8-116.7+116.7</f>
        <v>549.79999999999995</v>
      </c>
    </row>
    <row r="642" spans="1:14" s="146" customFormat="1" ht="56.25" customHeight="1">
      <c r="A642" s="150"/>
      <c r="B642" s="163" t="s">
        <v>75</v>
      </c>
      <c r="C642" s="164" t="s">
        <v>331</v>
      </c>
      <c r="D642" s="149" t="s">
        <v>88</v>
      </c>
      <c r="E642" s="149" t="s">
        <v>59</v>
      </c>
      <c r="F642" s="750" t="s">
        <v>72</v>
      </c>
      <c r="G642" s="751" t="s">
        <v>65</v>
      </c>
      <c r="H642" s="751" t="s">
        <v>59</v>
      </c>
      <c r="I642" s="752" t="s">
        <v>333</v>
      </c>
      <c r="J642" s="149" t="s">
        <v>76</v>
      </c>
      <c r="K642" s="692">
        <v>47.3</v>
      </c>
      <c r="L642" s="165">
        <f t="shared" si="141"/>
        <v>116.7</v>
      </c>
      <c r="M642" s="165">
        <f>47.3+116.7</f>
        <v>164</v>
      </c>
      <c r="N642" s="443"/>
    </row>
    <row r="643" spans="1:14" s="146" customFormat="1" ht="37.5" customHeight="1">
      <c r="A643" s="150"/>
      <c r="B643" s="169" t="s">
        <v>221</v>
      </c>
      <c r="C643" s="164" t="s">
        <v>331</v>
      </c>
      <c r="D643" s="149" t="s">
        <v>88</v>
      </c>
      <c r="E643" s="149" t="s">
        <v>86</v>
      </c>
      <c r="F643" s="750"/>
      <c r="G643" s="751"/>
      <c r="H643" s="751"/>
      <c r="I643" s="752"/>
      <c r="J643" s="149"/>
      <c r="K643" s="692">
        <f t="shared" ref="K643:M646" si="142">K644</f>
        <v>2425.3000000000002</v>
      </c>
      <c r="L643" s="165">
        <f t="shared" si="142"/>
        <v>0</v>
      </c>
      <c r="M643" s="165">
        <f t="shared" si="142"/>
        <v>2425.3000000000002</v>
      </c>
      <c r="N643" s="443"/>
    </row>
    <row r="644" spans="1:14" s="146" customFormat="1" ht="61.5" customHeight="1">
      <c r="A644" s="150"/>
      <c r="B644" s="163" t="s">
        <v>239</v>
      </c>
      <c r="C644" s="164" t="s">
        <v>331</v>
      </c>
      <c r="D644" s="149" t="s">
        <v>88</v>
      </c>
      <c r="E644" s="149" t="s">
        <v>86</v>
      </c>
      <c r="F644" s="750" t="s">
        <v>72</v>
      </c>
      <c r="G644" s="751" t="s">
        <v>62</v>
      </c>
      <c r="H644" s="751" t="s">
        <v>63</v>
      </c>
      <c r="I644" s="752" t="s">
        <v>64</v>
      </c>
      <c r="J644" s="149"/>
      <c r="K644" s="692">
        <f t="shared" si="142"/>
        <v>2425.3000000000002</v>
      </c>
      <c r="L644" s="165">
        <f t="shared" si="142"/>
        <v>0</v>
      </c>
      <c r="M644" s="165">
        <f t="shared" si="142"/>
        <v>2425.3000000000002</v>
      </c>
      <c r="N644" s="443"/>
    </row>
    <row r="645" spans="1:14" s="146" customFormat="1" ht="37.5" customHeight="1">
      <c r="A645" s="150"/>
      <c r="B645" s="167" t="s">
        <v>242</v>
      </c>
      <c r="C645" s="164" t="s">
        <v>331</v>
      </c>
      <c r="D645" s="149" t="s">
        <v>88</v>
      </c>
      <c r="E645" s="149" t="s">
        <v>86</v>
      </c>
      <c r="F645" s="750" t="s">
        <v>72</v>
      </c>
      <c r="G645" s="751" t="s">
        <v>110</v>
      </c>
      <c r="H645" s="751" t="s">
        <v>63</v>
      </c>
      <c r="I645" s="752" t="s">
        <v>64</v>
      </c>
      <c r="J645" s="149"/>
      <c r="K645" s="692">
        <f t="shared" si="142"/>
        <v>2425.3000000000002</v>
      </c>
      <c r="L645" s="165">
        <f t="shared" si="142"/>
        <v>0</v>
      </c>
      <c r="M645" s="165">
        <f t="shared" si="142"/>
        <v>2425.3000000000002</v>
      </c>
      <c r="N645" s="443"/>
    </row>
    <row r="646" spans="1:14" s="146" customFormat="1" ht="37.5" customHeight="1">
      <c r="A646" s="150"/>
      <c r="B646" s="163" t="s">
        <v>322</v>
      </c>
      <c r="C646" s="164" t="s">
        <v>331</v>
      </c>
      <c r="D646" s="149" t="s">
        <v>88</v>
      </c>
      <c r="E646" s="149" t="s">
        <v>86</v>
      </c>
      <c r="F646" s="750" t="s">
        <v>72</v>
      </c>
      <c r="G646" s="751" t="s">
        <v>110</v>
      </c>
      <c r="H646" s="751" t="s">
        <v>57</v>
      </c>
      <c r="I646" s="752" t="s">
        <v>64</v>
      </c>
      <c r="J646" s="149"/>
      <c r="K646" s="692">
        <f t="shared" si="142"/>
        <v>2425.3000000000002</v>
      </c>
      <c r="L646" s="165">
        <f t="shared" si="142"/>
        <v>0</v>
      </c>
      <c r="M646" s="165">
        <f t="shared" si="142"/>
        <v>2425.3000000000002</v>
      </c>
      <c r="N646" s="443"/>
    </row>
    <row r="647" spans="1:14" s="146" customFormat="1" ht="37.5" customHeight="1">
      <c r="A647" s="150"/>
      <c r="B647" s="163" t="s">
        <v>67</v>
      </c>
      <c r="C647" s="164" t="s">
        <v>331</v>
      </c>
      <c r="D647" s="149" t="s">
        <v>88</v>
      </c>
      <c r="E647" s="149" t="s">
        <v>86</v>
      </c>
      <c r="F647" s="750" t="s">
        <v>72</v>
      </c>
      <c r="G647" s="751" t="s">
        <v>110</v>
      </c>
      <c r="H647" s="751" t="s">
        <v>57</v>
      </c>
      <c r="I647" s="752" t="s">
        <v>68</v>
      </c>
      <c r="J647" s="149"/>
      <c r="K647" s="692">
        <f>K648+K649+K650</f>
        <v>2425.3000000000002</v>
      </c>
      <c r="L647" s="165">
        <f>L648+L649+L650</f>
        <v>0</v>
      </c>
      <c r="M647" s="165">
        <f>M648+M649+M650</f>
        <v>2425.3000000000002</v>
      </c>
      <c r="N647" s="443"/>
    </row>
    <row r="648" spans="1:14" s="146" customFormat="1" ht="112.5" customHeight="1">
      <c r="A648" s="150"/>
      <c r="B648" s="163" t="s">
        <v>69</v>
      </c>
      <c r="C648" s="164" t="s">
        <v>331</v>
      </c>
      <c r="D648" s="149" t="s">
        <v>88</v>
      </c>
      <c r="E648" s="149" t="s">
        <v>86</v>
      </c>
      <c r="F648" s="750" t="s">
        <v>72</v>
      </c>
      <c r="G648" s="751" t="s">
        <v>110</v>
      </c>
      <c r="H648" s="751" t="s">
        <v>57</v>
      </c>
      <c r="I648" s="752" t="s">
        <v>68</v>
      </c>
      <c r="J648" s="149" t="s">
        <v>70</v>
      </c>
      <c r="K648" s="692">
        <v>2371.8000000000002</v>
      </c>
      <c r="L648" s="165">
        <f t="shared" ref="L648:L650" si="143">M648-K648</f>
        <v>0</v>
      </c>
      <c r="M648" s="165">
        <v>2371.8000000000002</v>
      </c>
      <c r="N648" s="443"/>
    </row>
    <row r="649" spans="1:14" s="146" customFormat="1" ht="56.25" customHeight="1">
      <c r="A649" s="150"/>
      <c r="B649" s="163" t="s">
        <v>75</v>
      </c>
      <c r="C649" s="164" t="s">
        <v>331</v>
      </c>
      <c r="D649" s="149" t="s">
        <v>88</v>
      </c>
      <c r="E649" s="149" t="s">
        <v>86</v>
      </c>
      <c r="F649" s="750" t="s">
        <v>72</v>
      </c>
      <c r="G649" s="751" t="s">
        <v>110</v>
      </c>
      <c r="H649" s="751" t="s">
        <v>57</v>
      </c>
      <c r="I649" s="752" t="s">
        <v>68</v>
      </c>
      <c r="J649" s="149" t="s">
        <v>76</v>
      </c>
      <c r="K649" s="692">
        <v>51.4</v>
      </c>
      <c r="L649" s="165">
        <f t="shared" si="143"/>
        <v>0</v>
      </c>
      <c r="M649" s="165">
        <v>51.4</v>
      </c>
      <c r="N649" s="443"/>
    </row>
    <row r="650" spans="1:14" s="146" customFormat="1" ht="18.75" customHeight="1">
      <c r="A650" s="150"/>
      <c r="B650" s="163" t="s">
        <v>77</v>
      </c>
      <c r="C650" s="164" t="s">
        <v>331</v>
      </c>
      <c r="D650" s="149" t="s">
        <v>88</v>
      </c>
      <c r="E650" s="149" t="s">
        <v>86</v>
      </c>
      <c r="F650" s="750" t="s">
        <v>72</v>
      </c>
      <c r="G650" s="751" t="s">
        <v>110</v>
      </c>
      <c r="H650" s="751" t="s">
        <v>57</v>
      </c>
      <c r="I650" s="752" t="s">
        <v>68</v>
      </c>
      <c r="J650" s="149" t="s">
        <v>78</v>
      </c>
      <c r="K650" s="692">
        <v>2.1</v>
      </c>
      <c r="L650" s="165">
        <f t="shared" si="143"/>
        <v>0</v>
      </c>
      <c r="M650" s="165">
        <v>2.1</v>
      </c>
      <c r="N650" s="443"/>
    </row>
    <row r="651" spans="1:14" s="146" customFormat="1" ht="18.75" customHeight="1">
      <c r="A651" s="150"/>
      <c r="B651" s="163"/>
      <c r="C651" s="164"/>
      <c r="D651" s="149"/>
      <c r="E651" s="149"/>
      <c r="F651" s="750"/>
      <c r="G651" s="751"/>
      <c r="H651" s="751"/>
      <c r="I651" s="752"/>
      <c r="J651" s="149"/>
      <c r="K651" s="692"/>
      <c r="L651" s="713"/>
      <c r="M651" s="165"/>
      <c r="N651" s="443"/>
    </row>
    <row r="652" spans="1:14" s="391" customFormat="1" ht="56.25" customHeight="1">
      <c r="A652" s="390">
        <v>8</v>
      </c>
      <c r="B652" s="157" t="s">
        <v>27</v>
      </c>
      <c r="C652" s="158" t="s">
        <v>327</v>
      </c>
      <c r="D652" s="159"/>
      <c r="E652" s="159"/>
      <c r="F652" s="160"/>
      <c r="G652" s="161"/>
      <c r="H652" s="161"/>
      <c r="I652" s="162"/>
      <c r="J652" s="159"/>
      <c r="K652" s="691">
        <f>K666+K653</f>
        <v>7038.3999999999987</v>
      </c>
      <c r="L652" s="188">
        <f>L666+L653</f>
        <v>0</v>
      </c>
      <c r="M652" s="188">
        <f>M666+M653</f>
        <v>7038.3999999999987</v>
      </c>
    </row>
    <row r="653" spans="1:14" s="391" customFormat="1" ht="18.75" customHeight="1">
      <c r="A653" s="390"/>
      <c r="B653" s="163" t="s">
        <v>56</v>
      </c>
      <c r="C653" s="164" t="s">
        <v>327</v>
      </c>
      <c r="D653" s="149" t="s">
        <v>57</v>
      </c>
      <c r="E653" s="149"/>
      <c r="F653" s="750"/>
      <c r="G653" s="751"/>
      <c r="H653" s="751"/>
      <c r="I653" s="752"/>
      <c r="J653" s="149"/>
      <c r="K653" s="692">
        <f t="shared" ref="K653:M655" si="144">K654</f>
        <v>120.2</v>
      </c>
      <c r="L653" s="579">
        <f t="shared" si="144"/>
        <v>0</v>
      </c>
      <c r="M653" s="579">
        <f t="shared" si="144"/>
        <v>120.2</v>
      </c>
    </row>
    <row r="654" spans="1:14" s="391" customFormat="1" ht="21.75" customHeight="1">
      <c r="A654" s="390"/>
      <c r="B654" s="163" t="s">
        <v>91</v>
      </c>
      <c r="C654" s="164" t="s">
        <v>327</v>
      </c>
      <c r="D654" s="149" t="s">
        <v>57</v>
      </c>
      <c r="E654" s="149" t="s">
        <v>92</v>
      </c>
      <c r="F654" s="750"/>
      <c r="G654" s="751"/>
      <c r="H654" s="751"/>
      <c r="I654" s="752"/>
      <c r="J654" s="149"/>
      <c r="K654" s="692">
        <f t="shared" si="144"/>
        <v>120.2</v>
      </c>
      <c r="L654" s="579">
        <f t="shared" si="144"/>
        <v>0</v>
      </c>
      <c r="M654" s="579">
        <f t="shared" si="144"/>
        <v>120.2</v>
      </c>
    </row>
    <row r="655" spans="1:14" s="391" customFormat="1" ht="56.25" customHeight="1">
      <c r="A655" s="390"/>
      <c r="B655" s="163" t="s">
        <v>243</v>
      </c>
      <c r="C655" s="164" t="s">
        <v>327</v>
      </c>
      <c r="D655" s="149" t="s">
        <v>57</v>
      </c>
      <c r="E655" s="149" t="s">
        <v>92</v>
      </c>
      <c r="F655" s="750" t="s">
        <v>86</v>
      </c>
      <c r="G655" s="751" t="s">
        <v>62</v>
      </c>
      <c r="H655" s="751" t="s">
        <v>63</v>
      </c>
      <c r="I655" s="752" t="s">
        <v>64</v>
      </c>
      <c r="J655" s="149"/>
      <c r="K655" s="692">
        <f t="shared" si="144"/>
        <v>120.2</v>
      </c>
      <c r="L655" s="579">
        <f t="shared" si="144"/>
        <v>0</v>
      </c>
      <c r="M655" s="579">
        <f t="shared" si="144"/>
        <v>120.2</v>
      </c>
    </row>
    <row r="656" spans="1:14" s="391" customFormat="1" ht="33" customHeight="1">
      <c r="A656" s="390"/>
      <c r="B656" s="163" t="s">
        <v>242</v>
      </c>
      <c r="C656" s="164" t="s">
        <v>327</v>
      </c>
      <c r="D656" s="149" t="s">
        <v>57</v>
      </c>
      <c r="E656" s="149" t="s">
        <v>92</v>
      </c>
      <c r="F656" s="750" t="s">
        <v>86</v>
      </c>
      <c r="G656" s="751" t="s">
        <v>110</v>
      </c>
      <c r="H656" s="751" t="s">
        <v>63</v>
      </c>
      <c r="I656" s="752" t="s">
        <v>64</v>
      </c>
      <c r="J656" s="149"/>
      <c r="K656" s="692">
        <f>K657+K660+K663</f>
        <v>120.2</v>
      </c>
      <c r="L656" s="579">
        <f>L657+L660+L663</f>
        <v>0</v>
      </c>
      <c r="M656" s="579">
        <f>M657+M660+M663</f>
        <v>120.2</v>
      </c>
    </row>
    <row r="657" spans="1:13" s="391" customFormat="1" ht="44.25" customHeight="1">
      <c r="A657" s="390"/>
      <c r="B657" s="656" t="s">
        <v>428</v>
      </c>
      <c r="C657" s="164" t="s">
        <v>327</v>
      </c>
      <c r="D657" s="149" t="s">
        <v>57</v>
      </c>
      <c r="E657" s="149" t="s">
        <v>92</v>
      </c>
      <c r="F657" s="750" t="s">
        <v>86</v>
      </c>
      <c r="G657" s="751" t="s">
        <v>110</v>
      </c>
      <c r="H657" s="751" t="s">
        <v>59</v>
      </c>
      <c r="I657" s="752" t="s">
        <v>64</v>
      </c>
      <c r="J657" s="149"/>
      <c r="K657" s="692">
        <f t="shared" ref="K657:M658" si="145">K658</f>
        <v>62.9</v>
      </c>
      <c r="L657" s="579">
        <f t="shared" si="145"/>
        <v>0</v>
      </c>
      <c r="M657" s="579">
        <f t="shared" si="145"/>
        <v>62.9</v>
      </c>
    </row>
    <row r="658" spans="1:13" s="391" customFormat="1" ht="56.25" customHeight="1">
      <c r="A658" s="390"/>
      <c r="B658" s="656" t="s">
        <v>429</v>
      </c>
      <c r="C658" s="164" t="s">
        <v>327</v>
      </c>
      <c r="D658" s="149" t="s">
        <v>57</v>
      </c>
      <c r="E658" s="149" t="s">
        <v>92</v>
      </c>
      <c r="F658" s="750" t="s">
        <v>86</v>
      </c>
      <c r="G658" s="751" t="s">
        <v>110</v>
      </c>
      <c r="H658" s="751" t="s">
        <v>59</v>
      </c>
      <c r="I658" s="752" t="s">
        <v>126</v>
      </c>
      <c r="J658" s="149"/>
      <c r="K658" s="692">
        <f t="shared" si="145"/>
        <v>62.9</v>
      </c>
      <c r="L658" s="579">
        <f t="shared" si="145"/>
        <v>0</v>
      </c>
      <c r="M658" s="579">
        <f t="shared" si="145"/>
        <v>62.9</v>
      </c>
    </row>
    <row r="659" spans="1:13" s="391" customFormat="1" ht="56.25" customHeight="1">
      <c r="A659" s="390"/>
      <c r="B659" s="656" t="s">
        <v>75</v>
      </c>
      <c r="C659" s="164" t="s">
        <v>327</v>
      </c>
      <c r="D659" s="149" t="s">
        <v>57</v>
      </c>
      <c r="E659" s="149" t="s">
        <v>92</v>
      </c>
      <c r="F659" s="750" t="s">
        <v>86</v>
      </c>
      <c r="G659" s="751" t="s">
        <v>110</v>
      </c>
      <c r="H659" s="751" t="s">
        <v>59</v>
      </c>
      <c r="I659" s="752" t="s">
        <v>126</v>
      </c>
      <c r="J659" s="149" t="s">
        <v>76</v>
      </c>
      <c r="K659" s="692">
        <v>62.9</v>
      </c>
      <c r="L659" s="165">
        <f>M659-K659</f>
        <v>0</v>
      </c>
      <c r="M659" s="579">
        <v>62.9</v>
      </c>
    </row>
    <row r="660" spans="1:13" s="391" customFormat="1" ht="42" customHeight="1">
      <c r="A660" s="390"/>
      <c r="B660" s="163" t="s">
        <v>799</v>
      </c>
      <c r="C660" s="164" t="s">
        <v>327</v>
      </c>
      <c r="D660" s="149" t="s">
        <v>57</v>
      </c>
      <c r="E660" s="149" t="s">
        <v>92</v>
      </c>
      <c r="F660" s="750" t="s">
        <v>86</v>
      </c>
      <c r="G660" s="751" t="s">
        <v>110</v>
      </c>
      <c r="H660" s="751" t="s">
        <v>84</v>
      </c>
      <c r="I660" s="752" t="s">
        <v>64</v>
      </c>
      <c r="J660" s="149"/>
      <c r="K660" s="692">
        <f t="shared" ref="K660:M661" si="146">K661</f>
        <v>14.8</v>
      </c>
      <c r="L660" s="579">
        <f t="shared" si="146"/>
        <v>0</v>
      </c>
      <c r="M660" s="579">
        <f t="shared" si="146"/>
        <v>14.8</v>
      </c>
    </row>
    <row r="661" spans="1:13" s="391" customFormat="1" ht="21" customHeight="1">
      <c r="A661" s="390"/>
      <c r="B661" s="163" t="s">
        <v>797</v>
      </c>
      <c r="C661" s="164" t="s">
        <v>327</v>
      </c>
      <c r="D661" s="149" t="s">
        <v>57</v>
      </c>
      <c r="E661" s="149" t="s">
        <v>92</v>
      </c>
      <c r="F661" s="750" t="s">
        <v>86</v>
      </c>
      <c r="G661" s="751" t="s">
        <v>110</v>
      </c>
      <c r="H661" s="751" t="s">
        <v>84</v>
      </c>
      <c r="I661" s="752" t="s">
        <v>798</v>
      </c>
      <c r="J661" s="149"/>
      <c r="K661" s="692">
        <f t="shared" si="146"/>
        <v>14.8</v>
      </c>
      <c r="L661" s="579">
        <f t="shared" si="146"/>
        <v>0</v>
      </c>
      <c r="M661" s="579">
        <f t="shared" si="146"/>
        <v>14.8</v>
      </c>
    </row>
    <row r="662" spans="1:13" s="391" customFormat="1" ht="56.25" customHeight="1">
      <c r="A662" s="390"/>
      <c r="B662" s="656" t="s">
        <v>75</v>
      </c>
      <c r="C662" s="164" t="s">
        <v>327</v>
      </c>
      <c r="D662" s="149" t="s">
        <v>57</v>
      </c>
      <c r="E662" s="149" t="s">
        <v>92</v>
      </c>
      <c r="F662" s="750" t="s">
        <v>86</v>
      </c>
      <c r="G662" s="751" t="s">
        <v>110</v>
      </c>
      <c r="H662" s="751" t="s">
        <v>84</v>
      </c>
      <c r="I662" s="752" t="s">
        <v>798</v>
      </c>
      <c r="J662" s="180" t="s">
        <v>76</v>
      </c>
      <c r="K662" s="692">
        <v>14.8</v>
      </c>
      <c r="L662" s="165">
        <f>M662-K662</f>
        <v>0</v>
      </c>
      <c r="M662" s="579">
        <v>14.8</v>
      </c>
    </row>
    <row r="663" spans="1:13" s="391" customFormat="1" ht="41.25" customHeight="1">
      <c r="A663" s="390"/>
      <c r="B663" s="656" t="s">
        <v>813</v>
      </c>
      <c r="C663" s="164" t="s">
        <v>327</v>
      </c>
      <c r="D663" s="149" t="s">
        <v>57</v>
      </c>
      <c r="E663" s="149" t="s">
        <v>92</v>
      </c>
      <c r="F663" s="750" t="s">
        <v>86</v>
      </c>
      <c r="G663" s="751" t="s">
        <v>110</v>
      </c>
      <c r="H663" s="751" t="s">
        <v>72</v>
      </c>
      <c r="I663" s="752" t="s">
        <v>64</v>
      </c>
      <c r="J663" s="159"/>
      <c r="K663" s="692">
        <f t="shared" ref="K663:M664" si="147">K664</f>
        <v>42.5</v>
      </c>
      <c r="L663" s="579">
        <f t="shared" si="147"/>
        <v>0</v>
      </c>
      <c r="M663" s="579">
        <f t="shared" si="147"/>
        <v>42.5</v>
      </c>
    </row>
    <row r="664" spans="1:13" s="391" customFormat="1" ht="38.25" customHeight="1">
      <c r="A664" s="390"/>
      <c r="B664" s="588" t="s">
        <v>148</v>
      </c>
      <c r="C664" s="164" t="s">
        <v>327</v>
      </c>
      <c r="D664" s="149" t="s">
        <v>57</v>
      </c>
      <c r="E664" s="149" t="s">
        <v>92</v>
      </c>
      <c r="F664" s="750" t="s">
        <v>86</v>
      </c>
      <c r="G664" s="751" t="s">
        <v>110</v>
      </c>
      <c r="H664" s="751" t="s">
        <v>72</v>
      </c>
      <c r="I664" s="752" t="s">
        <v>111</v>
      </c>
      <c r="J664" s="159"/>
      <c r="K664" s="692">
        <f t="shared" si="147"/>
        <v>42.5</v>
      </c>
      <c r="L664" s="579">
        <f t="shared" si="147"/>
        <v>0</v>
      </c>
      <c r="M664" s="579">
        <f t="shared" si="147"/>
        <v>42.5</v>
      </c>
    </row>
    <row r="665" spans="1:13" s="391" customFormat="1" ht="56.25" customHeight="1">
      <c r="A665" s="390"/>
      <c r="B665" s="656" t="s">
        <v>75</v>
      </c>
      <c r="C665" s="164" t="s">
        <v>327</v>
      </c>
      <c r="D665" s="149" t="s">
        <v>57</v>
      </c>
      <c r="E665" s="149" t="s">
        <v>92</v>
      </c>
      <c r="F665" s="750" t="s">
        <v>86</v>
      </c>
      <c r="G665" s="751" t="s">
        <v>110</v>
      </c>
      <c r="H665" s="751" t="s">
        <v>72</v>
      </c>
      <c r="I665" s="752" t="s">
        <v>111</v>
      </c>
      <c r="J665" s="180" t="s">
        <v>76</v>
      </c>
      <c r="K665" s="692">
        <v>42.5</v>
      </c>
      <c r="L665" s="165">
        <f>M665-K665</f>
        <v>0</v>
      </c>
      <c r="M665" s="579">
        <v>42.5</v>
      </c>
    </row>
    <row r="666" spans="1:13" s="146" customFormat="1" ht="18.75" customHeight="1">
      <c r="A666" s="390"/>
      <c r="B666" s="163" t="s">
        <v>201</v>
      </c>
      <c r="C666" s="164" t="s">
        <v>327</v>
      </c>
      <c r="D666" s="149" t="s">
        <v>246</v>
      </c>
      <c r="E666" s="149"/>
      <c r="F666" s="750"/>
      <c r="G666" s="751"/>
      <c r="H666" s="751"/>
      <c r="I666" s="752"/>
      <c r="J666" s="149"/>
      <c r="K666" s="692">
        <f>K667+K677</f>
        <v>6918.1999999999989</v>
      </c>
      <c r="L666" s="165">
        <f>L667+L677</f>
        <v>0</v>
      </c>
      <c r="M666" s="165">
        <f>M667+M677</f>
        <v>6918.1999999999989</v>
      </c>
    </row>
    <row r="667" spans="1:13" s="391" customFormat="1" ht="18.75" customHeight="1">
      <c r="A667" s="390"/>
      <c r="B667" s="163" t="s">
        <v>425</v>
      </c>
      <c r="C667" s="164" t="s">
        <v>327</v>
      </c>
      <c r="D667" s="149" t="s">
        <v>246</v>
      </c>
      <c r="E667" s="149" t="s">
        <v>246</v>
      </c>
      <c r="F667" s="750"/>
      <c r="G667" s="751"/>
      <c r="H667" s="751"/>
      <c r="I667" s="752"/>
      <c r="J667" s="149"/>
      <c r="K667" s="692">
        <f t="shared" ref="K667:M669" si="148">K668</f>
        <v>3966.8999999999996</v>
      </c>
      <c r="L667" s="165">
        <f t="shared" si="148"/>
        <v>0</v>
      </c>
      <c r="M667" s="165">
        <f t="shared" si="148"/>
        <v>3966.8999999999996</v>
      </c>
    </row>
    <row r="668" spans="1:13" s="391" customFormat="1" ht="56.25" customHeight="1">
      <c r="A668" s="390"/>
      <c r="B668" s="163" t="s">
        <v>243</v>
      </c>
      <c r="C668" s="164" t="s">
        <v>327</v>
      </c>
      <c r="D668" s="149" t="s">
        <v>246</v>
      </c>
      <c r="E668" s="149" t="s">
        <v>246</v>
      </c>
      <c r="F668" s="750" t="s">
        <v>86</v>
      </c>
      <c r="G668" s="751" t="s">
        <v>62</v>
      </c>
      <c r="H668" s="751" t="s">
        <v>63</v>
      </c>
      <c r="I668" s="752" t="s">
        <v>64</v>
      </c>
      <c r="J668" s="149"/>
      <c r="K668" s="692">
        <f t="shared" si="148"/>
        <v>3966.8999999999996</v>
      </c>
      <c r="L668" s="165">
        <f t="shared" si="148"/>
        <v>0</v>
      </c>
      <c r="M668" s="165">
        <f t="shared" si="148"/>
        <v>3966.8999999999996</v>
      </c>
    </row>
    <row r="669" spans="1:13" s="391" customFormat="1" ht="18.75" customHeight="1">
      <c r="A669" s="390"/>
      <c r="B669" s="163" t="s">
        <v>244</v>
      </c>
      <c r="C669" s="164" t="s">
        <v>327</v>
      </c>
      <c r="D669" s="149" t="s">
        <v>246</v>
      </c>
      <c r="E669" s="149" t="s">
        <v>246</v>
      </c>
      <c r="F669" s="750" t="s">
        <v>86</v>
      </c>
      <c r="G669" s="751" t="s">
        <v>65</v>
      </c>
      <c r="H669" s="751" t="s">
        <v>63</v>
      </c>
      <c r="I669" s="752" t="s">
        <v>64</v>
      </c>
      <c r="J669" s="149"/>
      <c r="K669" s="692">
        <f t="shared" si="148"/>
        <v>3966.8999999999996</v>
      </c>
      <c r="L669" s="165">
        <f t="shared" si="148"/>
        <v>0</v>
      </c>
      <c r="M669" s="165">
        <f t="shared" si="148"/>
        <v>3966.8999999999996</v>
      </c>
    </row>
    <row r="670" spans="1:13" s="391" customFormat="1" ht="76.5" customHeight="1">
      <c r="A670" s="390"/>
      <c r="B670" s="163" t="s">
        <v>328</v>
      </c>
      <c r="C670" s="164" t="s">
        <v>327</v>
      </c>
      <c r="D670" s="149" t="s">
        <v>246</v>
      </c>
      <c r="E670" s="149" t="s">
        <v>246</v>
      </c>
      <c r="F670" s="750" t="s">
        <v>86</v>
      </c>
      <c r="G670" s="751" t="s">
        <v>65</v>
      </c>
      <c r="H670" s="751" t="s">
        <v>57</v>
      </c>
      <c r="I670" s="752" t="s">
        <v>64</v>
      </c>
      <c r="J670" s="149"/>
      <c r="K670" s="692">
        <f>K671+K675</f>
        <v>3966.8999999999996</v>
      </c>
      <c r="L670" s="165">
        <f>L671+L675</f>
        <v>0</v>
      </c>
      <c r="M670" s="165">
        <f>M671+M675</f>
        <v>3966.8999999999996</v>
      </c>
    </row>
    <row r="671" spans="1:13" s="391" customFormat="1" ht="38.25" customHeight="1">
      <c r="A671" s="390"/>
      <c r="B671" s="166" t="s">
        <v>795</v>
      </c>
      <c r="C671" s="164" t="s">
        <v>327</v>
      </c>
      <c r="D671" s="149" t="s">
        <v>246</v>
      </c>
      <c r="E671" s="149" t="s">
        <v>246</v>
      </c>
      <c r="F671" s="750" t="s">
        <v>86</v>
      </c>
      <c r="G671" s="751" t="s">
        <v>65</v>
      </c>
      <c r="H671" s="751" t="s">
        <v>57</v>
      </c>
      <c r="I671" s="752" t="s">
        <v>112</v>
      </c>
      <c r="J671" s="149"/>
      <c r="K671" s="692">
        <f>K672+K673+K674</f>
        <v>3348.2999999999997</v>
      </c>
      <c r="L671" s="165">
        <f>L672+L673+L674</f>
        <v>0</v>
      </c>
      <c r="M671" s="165">
        <f>M672+M673+M674</f>
        <v>3348.2999999999997</v>
      </c>
    </row>
    <row r="672" spans="1:13" s="391" customFormat="1" ht="112.5" customHeight="1">
      <c r="A672" s="150"/>
      <c r="B672" s="163" t="s">
        <v>69</v>
      </c>
      <c r="C672" s="164" t="s">
        <v>327</v>
      </c>
      <c r="D672" s="149" t="s">
        <v>246</v>
      </c>
      <c r="E672" s="149" t="s">
        <v>246</v>
      </c>
      <c r="F672" s="750" t="s">
        <v>86</v>
      </c>
      <c r="G672" s="751" t="s">
        <v>65</v>
      </c>
      <c r="H672" s="751" t="s">
        <v>57</v>
      </c>
      <c r="I672" s="752" t="s">
        <v>112</v>
      </c>
      <c r="J672" s="149" t="s">
        <v>70</v>
      </c>
      <c r="K672" s="692">
        <f>2590.3+8.2+455.7</f>
        <v>3054.2</v>
      </c>
      <c r="L672" s="165">
        <f t="shared" ref="L672:L674" si="149">M672-K672</f>
        <v>0</v>
      </c>
      <c r="M672" s="165">
        <f>2590.3+8.2+455.7</f>
        <v>3054.2</v>
      </c>
    </row>
    <row r="673" spans="1:14" s="146" customFormat="1" ht="53.25" customHeight="1">
      <c r="A673" s="150"/>
      <c r="B673" s="163" t="s">
        <v>75</v>
      </c>
      <c r="C673" s="164" t="s">
        <v>327</v>
      </c>
      <c r="D673" s="149" t="s">
        <v>246</v>
      </c>
      <c r="E673" s="149" t="s">
        <v>246</v>
      </c>
      <c r="F673" s="750" t="s">
        <v>86</v>
      </c>
      <c r="G673" s="751" t="s">
        <v>65</v>
      </c>
      <c r="H673" s="751" t="s">
        <v>57</v>
      </c>
      <c r="I673" s="752" t="s">
        <v>112</v>
      </c>
      <c r="J673" s="149" t="s">
        <v>76</v>
      </c>
      <c r="K673" s="692">
        <f>299.6-15.7</f>
        <v>283.90000000000003</v>
      </c>
      <c r="L673" s="165">
        <f t="shared" si="149"/>
        <v>0</v>
      </c>
      <c r="M673" s="165">
        <f>299.6-15.7</f>
        <v>283.90000000000003</v>
      </c>
    </row>
    <row r="674" spans="1:14" s="146" customFormat="1" ht="18.75" customHeight="1">
      <c r="A674" s="150"/>
      <c r="B674" s="163" t="s">
        <v>77</v>
      </c>
      <c r="C674" s="164" t="s">
        <v>327</v>
      </c>
      <c r="D674" s="149" t="s">
        <v>246</v>
      </c>
      <c r="E674" s="149" t="s">
        <v>246</v>
      </c>
      <c r="F674" s="750" t="s">
        <v>86</v>
      </c>
      <c r="G674" s="751" t="s">
        <v>65</v>
      </c>
      <c r="H674" s="751" t="s">
        <v>57</v>
      </c>
      <c r="I674" s="752" t="s">
        <v>112</v>
      </c>
      <c r="J674" s="149" t="s">
        <v>78</v>
      </c>
      <c r="K674" s="692">
        <f>2.7+7.5</f>
        <v>10.199999999999999</v>
      </c>
      <c r="L674" s="165">
        <f t="shared" si="149"/>
        <v>0</v>
      </c>
      <c r="M674" s="165">
        <f>2.7+7.5</f>
        <v>10.199999999999999</v>
      </c>
    </row>
    <row r="675" spans="1:14" s="146" customFormat="1" ht="34.5" customHeight="1">
      <c r="A675" s="150"/>
      <c r="B675" s="163" t="s">
        <v>329</v>
      </c>
      <c r="C675" s="164" t="s">
        <v>327</v>
      </c>
      <c r="D675" s="149" t="s">
        <v>246</v>
      </c>
      <c r="E675" s="149" t="s">
        <v>246</v>
      </c>
      <c r="F675" s="750" t="s">
        <v>86</v>
      </c>
      <c r="G675" s="751" t="s">
        <v>65</v>
      </c>
      <c r="H675" s="751" t="s">
        <v>57</v>
      </c>
      <c r="I675" s="752" t="s">
        <v>330</v>
      </c>
      <c r="J675" s="149"/>
      <c r="K675" s="692">
        <f>K676</f>
        <v>618.6</v>
      </c>
      <c r="L675" s="165">
        <f>L676</f>
        <v>0</v>
      </c>
      <c r="M675" s="165">
        <f>M676</f>
        <v>618.6</v>
      </c>
    </row>
    <row r="676" spans="1:14" s="146" customFormat="1" ht="56.25" customHeight="1">
      <c r="A676" s="150"/>
      <c r="B676" s="163" t="s">
        <v>75</v>
      </c>
      <c r="C676" s="164" t="s">
        <v>327</v>
      </c>
      <c r="D676" s="149" t="s">
        <v>246</v>
      </c>
      <c r="E676" s="149" t="s">
        <v>246</v>
      </c>
      <c r="F676" s="750" t="s">
        <v>86</v>
      </c>
      <c r="G676" s="751" t="s">
        <v>65</v>
      </c>
      <c r="H676" s="751" t="s">
        <v>57</v>
      </c>
      <c r="I676" s="752" t="s">
        <v>330</v>
      </c>
      <c r="J676" s="149" t="s">
        <v>76</v>
      </c>
      <c r="K676" s="692">
        <f>418.6+200</f>
        <v>618.6</v>
      </c>
      <c r="L676" s="165">
        <f>M676-K676</f>
        <v>0</v>
      </c>
      <c r="M676" s="165">
        <f>418.6+200</f>
        <v>618.6</v>
      </c>
    </row>
    <row r="677" spans="1:14" s="146" customFormat="1" ht="18.75" customHeight="1">
      <c r="A677" s="150"/>
      <c r="B677" s="163" t="s">
        <v>208</v>
      </c>
      <c r="C677" s="429" t="s">
        <v>327</v>
      </c>
      <c r="D677" s="149" t="s">
        <v>246</v>
      </c>
      <c r="E677" s="149" t="s">
        <v>100</v>
      </c>
      <c r="F677" s="750"/>
      <c r="G677" s="751"/>
      <c r="H677" s="751"/>
      <c r="I677" s="752"/>
      <c r="J677" s="149"/>
      <c r="K677" s="692">
        <f t="shared" ref="K677:M679" si="150">K678</f>
        <v>2951.2999999999997</v>
      </c>
      <c r="L677" s="165">
        <f t="shared" si="150"/>
        <v>0</v>
      </c>
      <c r="M677" s="165">
        <f t="shared" si="150"/>
        <v>2951.2999999999997</v>
      </c>
      <c r="N677" s="443"/>
    </row>
    <row r="678" spans="1:14" s="146" customFormat="1" ht="56.25" customHeight="1">
      <c r="A678" s="150"/>
      <c r="B678" s="163" t="s">
        <v>243</v>
      </c>
      <c r="C678" s="429" t="s">
        <v>327</v>
      </c>
      <c r="D678" s="149" t="s">
        <v>246</v>
      </c>
      <c r="E678" s="149" t="s">
        <v>100</v>
      </c>
      <c r="F678" s="750" t="s">
        <v>86</v>
      </c>
      <c r="G678" s="751" t="s">
        <v>62</v>
      </c>
      <c r="H678" s="751" t="s">
        <v>63</v>
      </c>
      <c r="I678" s="752" t="s">
        <v>64</v>
      </c>
      <c r="J678" s="149"/>
      <c r="K678" s="692">
        <f t="shared" si="150"/>
        <v>2951.2999999999997</v>
      </c>
      <c r="L678" s="165">
        <f t="shared" si="150"/>
        <v>0</v>
      </c>
      <c r="M678" s="165">
        <f t="shared" si="150"/>
        <v>2951.2999999999997</v>
      </c>
      <c r="N678" s="443"/>
    </row>
    <row r="679" spans="1:14" s="146" customFormat="1" ht="37.5" customHeight="1">
      <c r="A679" s="150"/>
      <c r="B679" s="163" t="s">
        <v>242</v>
      </c>
      <c r="C679" s="164" t="s">
        <v>327</v>
      </c>
      <c r="D679" s="149" t="s">
        <v>246</v>
      </c>
      <c r="E679" s="149" t="s">
        <v>100</v>
      </c>
      <c r="F679" s="750" t="s">
        <v>86</v>
      </c>
      <c r="G679" s="751" t="s">
        <v>110</v>
      </c>
      <c r="H679" s="751" t="s">
        <v>63</v>
      </c>
      <c r="I679" s="752" t="s">
        <v>64</v>
      </c>
      <c r="J679" s="149"/>
      <c r="K679" s="692">
        <f t="shared" si="150"/>
        <v>2951.2999999999997</v>
      </c>
      <c r="L679" s="165">
        <f t="shared" si="150"/>
        <v>0</v>
      </c>
      <c r="M679" s="165">
        <f t="shared" si="150"/>
        <v>2951.2999999999997</v>
      </c>
    </row>
    <row r="680" spans="1:14" s="391" customFormat="1" ht="37.5" customHeight="1">
      <c r="A680" s="150"/>
      <c r="B680" s="163" t="s">
        <v>322</v>
      </c>
      <c r="C680" s="164" t="s">
        <v>327</v>
      </c>
      <c r="D680" s="149" t="s">
        <v>246</v>
      </c>
      <c r="E680" s="149" t="s">
        <v>100</v>
      </c>
      <c r="F680" s="750" t="s">
        <v>86</v>
      </c>
      <c r="G680" s="751" t="s">
        <v>110</v>
      </c>
      <c r="H680" s="751" t="s">
        <v>57</v>
      </c>
      <c r="I680" s="752" t="s">
        <v>64</v>
      </c>
      <c r="J680" s="149"/>
      <c r="K680" s="692">
        <f>K681</f>
        <v>2951.2999999999997</v>
      </c>
      <c r="L680" s="165">
        <f>L681</f>
        <v>0</v>
      </c>
      <c r="M680" s="165">
        <f>M681</f>
        <v>2951.2999999999997</v>
      </c>
    </row>
    <row r="681" spans="1:14" s="146" customFormat="1" ht="37.5" customHeight="1">
      <c r="A681" s="150"/>
      <c r="B681" s="163" t="s">
        <v>67</v>
      </c>
      <c r="C681" s="164" t="s">
        <v>327</v>
      </c>
      <c r="D681" s="149" t="s">
        <v>246</v>
      </c>
      <c r="E681" s="149" t="s">
        <v>100</v>
      </c>
      <c r="F681" s="750" t="s">
        <v>86</v>
      </c>
      <c r="G681" s="751" t="s">
        <v>110</v>
      </c>
      <c r="H681" s="751" t="s">
        <v>57</v>
      </c>
      <c r="I681" s="752" t="s">
        <v>68</v>
      </c>
      <c r="J681" s="149"/>
      <c r="K681" s="692">
        <f>K682+K683+K684</f>
        <v>2951.2999999999997</v>
      </c>
      <c r="L681" s="165">
        <f>L682+L683+L684</f>
        <v>0</v>
      </c>
      <c r="M681" s="165">
        <f>M682+M683+M684</f>
        <v>2951.2999999999997</v>
      </c>
    </row>
    <row r="682" spans="1:14" s="146" customFormat="1" ht="112.5" customHeight="1">
      <c r="A682" s="150"/>
      <c r="B682" s="163" t="s">
        <v>69</v>
      </c>
      <c r="C682" s="164" t="s">
        <v>327</v>
      </c>
      <c r="D682" s="149" t="s">
        <v>246</v>
      </c>
      <c r="E682" s="149" t="s">
        <v>100</v>
      </c>
      <c r="F682" s="750" t="s">
        <v>86</v>
      </c>
      <c r="G682" s="751" t="s">
        <v>110</v>
      </c>
      <c r="H682" s="751" t="s">
        <v>57</v>
      </c>
      <c r="I682" s="752" t="s">
        <v>68</v>
      </c>
      <c r="J682" s="149" t="s">
        <v>70</v>
      </c>
      <c r="K682" s="692">
        <f>2656.5+8.2</f>
        <v>2664.7</v>
      </c>
      <c r="L682" s="165">
        <f t="shared" ref="L682:L684" si="151">M682-K682</f>
        <v>0</v>
      </c>
      <c r="M682" s="165">
        <f>2656.5+8.2</f>
        <v>2664.7</v>
      </c>
      <c r="N682" s="443"/>
    </row>
    <row r="683" spans="1:14" s="146" customFormat="1" ht="56.25" customHeight="1">
      <c r="A683" s="150"/>
      <c r="B683" s="163" t="s">
        <v>75</v>
      </c>
      <c r="C683" s="429" t="s">
        <v>327</v>
      </c>
      <c r="D683" s="322" t="s">
        <v>246</v>
      </c>
      <c r="E683" s="322" t="s">
        <v>100</v>
      </c>
      <c r="F683" s="750" t="s">
        <v>86</v>
      </c>
      <c r="G683" s="751" t="s">
        <v>110</v>
      </c>
      <c r="H683" s="751" t="s">
        <v>57</v>
      </c>
      <c r="I683" s="752" t="s">
        <v>68</v>
      </c>
      <c r="J683" s="149" t="s">
        <v>76</v>
      </c>
      <c r="K683" s="692">
        <f>280.6-8.2+13</f>
        <v>285.40000000000003</v>
      </c>
      <c r="L683" s="165">
        <f t="shared" si="151"/>
        <v>0</v>
      </c>
      <c r="M683" s="165">
        <f>280.6-8.2+13</f>
        <v>285.40000000000003</v>
      </c>
    </row>
    <row r="684" spans="1:14" s="146" customFormat="1" ht="18.75" customHeight="1">
      <c r="A684" s="150"/>
      <c r="B684" s="163" t="s">
        <v>77</v>
      </c>
      <c r="C684" s="429" t="s">
        <v>327</v>
      </c>
      <c r="D684" s="322" t="s">
        <v>246</v>
      </c>
      <c r="E684" s="322" t="s">
        <v>100</v>
      </c>
      <c r="F684" s="750" t="s">
        <v>86</v>
      </c>
      <c r="G684" s="751" t="s">
        <v>110</v>
      </c>
      <c r="H684" s="751" t="s">
        <v>57</v>
      </c>
      <c r="I684" s="752" t="s">
        <v>68</v>
      </c>
      <c r="J684" s="149" t="s">
        <v>78</v>
      </c>
      <c r="K684" s="692">
        <v>1.2</v>
      </c>
      <c r="L684" s="165">
        <f t="shared" si="151"/>
        <v>0</v>
      </c>
      <c r="M684" s="165">
        <v>1.2</v>
      </c>
      <c r="N684" s="443"/>
    </row>
    <row r="685" spans="1:14" s="146" customFormat="1" ht="14.25" customHeight="1">
      <c r="A685" s="150"/>
      <c r="B685" s="163"/>
      <c r="C685" s="429"/>
      <c r="D685" s="322"/>
      <c r="E685" s="322"/>
      <c r="F685" s="750"/>
      <c r="G685" s="751"/>
      <c r="H685" s="751"/>
      <c r="I685" s="752"/>
      <c r="J685" s="149"/>
      <c r="K685" s="692"/>
      <c r="L685" s="713"/>
      <c r="M685" s="165"/>
      <c r="N685" s="443"/>
    </row>
    <row r="686" spans="1:14" s="391" customFormat="1" ht="54" customHeight="1">
      <c r="A686" s="390">
        <v>9</v>
      </c>
      <c r="B686" s="157" t="s">
        <v>28</v>
      </c>
      <c r="C686" s="158" t="s">
        <v>338</v>
      </c>
      <c r="D686" s="159"/>
      <c r="E686" s="159"/>
      <c r="F686" s="160"/>
      <c r="G686" s="161"/>
      <c r="H686" s="161"/>
      <c r="I686" s="162"/>
      <c r="J686" s="159"/>
      <c r="K686" s="691">
        <f>K687+K694</f>
        <v>66798</v>
      </c>
      <c r="L686" s="188">
        <f>L687+L694</f>
        <v>0</v>
      </c>
      <c r="M686" s="188">
        <f>M687+M694</f>
        <v>66798</v>
      </c>
    </row>
    <row r="687" spans="1:14" s="146" customFormat="1" ht="18.75" customHeight="1">
      <c r="A687" s="150"/>
      <c r="B687" s="169" t="s">
        <v>201</v>
      </c>
      <c r="C687" s="164" t="s">
        <v>338</v>
      </c>
      <c r="D687" s="149" t="s">
        <v>246</v>
      </c>
      <c r="E687" s="149"/>
      <c r="F687" s="750"/>
      <c r="G687" s="751"/>
      <c r="H687" s="751"/>
      <c r="I687" s="752"/>
      <c r="J687" s="149"/>
      <c r="K687" s="692">
        <f t="shared" ref="K687:M692" si="152">K688</f>
        <v>10.1</v>
      </c>
      <c r="L687" s="165">
        <f t="shared" si="152"/>
        <v>0</v>
      </c>
      <c r="M687" s="165">
        <f t="shared" si="152"/>
        <v>10.1</v>
      </c>
    </row>
    <row r="688" spans="1:14" s="391" customFormat="1" ht="18.75" customHeight="1">
      <c r="A688" s="150"/>
      <c r="B688" s="163" t="s">
        <v>425</v>
      </c>
      <c r="C688" s="164" t="s">
        <v>338</v>
      </c>
      <c r="D688" s="149" t="s">
        <v>246</v>
      </c>
      <c r="E688" s="149" t="s">
        <v>246</v>
      </c>
      <c r="F688" s="750"/>
      <c r="G688" s="751"/>
      <c r="H688" s="751"/>
      <c r="I688" s="752"/>
      <c r="J688" s="149"/>
      <c r="K688" s="692">
        <f t="shared" si="152"/>
        <v>10.1</v>
      </c>
      <c r="L688" s="165">
        <f t="shared" si="152"/>
        <v>0</v>
      </c>
      <c r="M688" s="165">
        <f t="shared" si="152"/>
        <v>10.1</v>
      </c>
    </row>
    <row r="689" spans="1:13" s="391" customFormat="1" ht="56.25" customHeight="1">
      <c r="A689" s="150"/>
      <c r="B689" s="163" t="s">
        <v>339</v>
      </c>
      <c r="C689" s="164" t="s">
        <v>338</v>
      </c>
      <c r="D689" s="149" t="s">
        <v>246</v>
      </c>
      <c r="E689" s="149" t="s">
        <v>246</v>
      </c>
      <c r="F689" s="750" t="s">
        <v>100</v>
      </c>
      <c r="G689" s="751" t="s">
        <v>62</v>
      </c>
      <c r="H689" s="751" t="s">
        <v>63</v>
      </c>
      <c r="I689" s="752" t="s">
        <v>64</v>
      </c>
      <c r="J689" s="149"/>
      <c r="K689" s="692">
        <f t="shared" si="152"/>
        <v>10.1</v>
      </c>
      <c r="L689" s="165">
        <f t="shared" si="152"/>
        <v>0</v>
      </c>
      <c r="M689" s="165">
        <f t="shared" si="152"/>
        <v>10.1</v>
      </c>
    </row>
    <row r="690" spans="1:13" s="391" customFormat="1" ht="37.5" customHeight="1">
      <c r="A690" s="150"/>
      <c r="B690" s="163" t="s">
        <v>404</v>
      </c>
      <c r="C690" s="164" t="s">
        <v>338</v>
      </c>
      <c r="D690" s="149" t="s">
        <v>246</v>
      </c>
      <c r="E690" s="149" t="s">
        <v>246</v>
      </c>
      <c r="F690" s="750" t="s">
        <v>100</v>
      </c>
      <c r="G690" s="751" t="s">
        <v>65</v>
      </c>
      <c r="H690" s="751" t="s">
        <v>63</v>
      </c>
      <c r="I690" s="752" t="s">
        <v>64</v>
      </c>
      <c r="J690" s="149"/>
      <c r="K690" s="692">
        <f t="shared" si="152"/>
        <v>10.1</v>
      </c>
      <c r="L690" s="165">
        <f t="shared" si="152"/>
        <v>0</v>
      </c>
      <c r="M690" s="165">
        <f t="shared" si="152"/>
        <v>10.1</v>
      </c>
    </row>
    <row r="691" spans="1:13" s="391" customFormat="1" ht="37.5" customHeight="1">
      <c r="A691" s="150"/>
      <c r="B691" s="163" t="s">
        <v>325</v>
      </c>
      <c r="C691" s="164" t="s">
        <v>338</v>
      </c>
      <c r="D691" s="149" t="s">
        <v>246</v>
      </c>
      <c r="E691" s="149" t="s">
        <v>246</v>
      </c>
      <c r="F691" s="750" t="s">
        <v>100</v>
      </c>
      <c r="G691" s="751" t="s">
        <v>65</v>
      </c>
      <c r="H691" s="751" t="s">
        <v>57</v>
      </c>
      <c r="I691" s="752" t="s">
        <v>64</v>
      </c>
      <c r="J691" s="149"/>
      <c r="K691" s="692">
        <f t="shared" si="152"/>
        <v>10.1</v>
      </c>
      <c r="L691" s="165">
        <f t="shared" si="152"/>
        <v>0</v>
      </c>
      <c r="M691" s="165">
        <f t="shared" si="152"/>
        <v>10.1</v>
      </c>
    </row>
    <row r="692" spans="1:13" s="391" customFormat="1" ht="153.75" customHeight="1">
      <c r="A692" s="150"/>
      <c r="B692" s="430" t="s">
        <v>439</v>
      </c>
      <c r="C692" s="164" t="s">
        <v>338</v>
      </c>
      <c r="D692" s="149" t="s">
        <v>246</v>
      </c>
      <c r="E692" s="149" t="s">
        <v>246</v>
      </c>
      <c r="F692" s="750" t="s">
        <v>100</v>
      </c>
      <c r="G692" s="751" t="s">
        <v>65</v>
      </c>
      <c r="H692" s="751" t="s">
        <v>57</v>
      </c>
      <c r="I692" s="752" t="s">
        <v>340</v>
      </c>
      <c r="J692" s="149"/>
      <c r="K692" s="692">
        <f t="shared" si="152"/>
        <v>10.1</v>
      </c>
      <c r="L692" s="165">
        <f t="shared" si="152"/>
        <v>0</v>
      </c>
      <c r="M692" s="165">
        <f t="shared" si="152"/>
        <v>10.1</v>
      </c>
    </row>
    <row r="693" spans="1:13" s="391" customFormat="1" ht="37.5" customHeight="1">
      <c r="A693" s="150"/>
      <c r="B693" s="163" t="s">
        <v>141</v>
      </c>
      <c r="C693" s="164" t="s">
        <v>338</v>
      </c>
      <c r="D693" s="149" t="s">
        <v>246</v>
      </c>
      <c r="E693" s="149" t="s">
        <v>246</v>
      </c>
      <c r="F693" s="750" t="s">
        <v>100</v>
      </c>
      <c r="G693" s="751" t="s">
        <v>65</v>
      </c>
      <c r="H693" s="751" t="s">
        <v>57</v>
      </c>
      <c r="I693" s="752" t="s">
        <v>340</v>
      </c>
      <c r="J693" s="149" t="s">
        <v>142</v>
      </c>
      <c r="K693" s="692">
        <v>10.1</v>
      </c>
      <c r="L693" s="165">
        <f>M693-K693</f>
        <v>0</v>
      </c>
      <c r="M693" s="165">
        <v>10.1</v>
      </c>
    </row>
    <row r="694" spans="1:13" s="146" customFormat="1" ht="18.75" customHeight="1">
      <c r="A694" s="150"/>
      <c r="B694" s="169" t="s">
        <v>140</v>
      </c>
      <c r="C694" s="164" t="s">
        <v>338</v>
      </c>
      <c r="D694" s="149" t="s">
        <v>125</v>
      </c>
      <c r="E694" s="149"/>
      <c r="F694" s="750"/>
      <c r="G694" s="751"/>
      <c r="H694" s="751"/>
      <c r="I694" s="752"/>
      <c r="J694" s="149"/>
      <c r="K694" s="692">
        <f>K695+K714</f>
        <v>66787.899999999994</v>
      </c>
      <c r="L694" s="165">
        <f>L695+L714</f>
        <v>0</v>
      </c>
      <c r="M694" s="165">
        <f>M695+M714</f>
        <v>66787.899999999994</v>
      </c>
    </row>
    <row r="695" spans="1:13" s="146" customFormat="1" ht="18.75" customHeight="1">
      <c r="A695" s="150"/>
      <c r="B695" s="163" t="s">
        <v>215</v>
      </c>
      <c r="C695" s="164" t="s">
        <v>338</v>
      </c>
      <c r="D695" s="149" t="s">
        <v>125</v>
      </c>
      <c r="E695" s="149" t="s">
        <v>72</v>
      </c>
      <c r="F695" s="750"/>
      <c r="G695" s="751"/>
      <c r="H695" s="751"/>
      <c r="I695" s="752"/>
      <c r="J695" s="149"/>
      <c r="K695" s="692">
        <f t="shared" ref="K695:M696" si="153">K696</f>
        <v>59196.19999999999</v>
      </c>
      <c r="L695" s="165">
        <f t="shared" si="153"/>
        <v>0</v>
      </c>
      <c r="M695" s="165">
        <f t="shared" si="153"/>
        <v>59196.19999999999</v>
      </c>
    </row>
    <row r="696" spans="1:13" s="146" customFormat="1" ht="56.25" customHeight="1">
      <c r="A696" s="150"/>
      <c r="B696" s="167" t="s">
        <v>252</v>
      </c>
      <c r="C696" s="164" t="s">
        <v>338</v>
      </c>
      <c r="D696" s="149" t="s">
        <v>125</v>
      </c>
      <c r="E696" s="149" t="s">
        <v>72</v>
      </c>
      <c r="F696" s="750" t="s">
        <v>100</v>
      </c>
      <c r="G696" s="751" t="s">
        <v>62</v>
      </c>
      <c r="H696" s="751" t="s">
        <v>63</v>
      </c>
      <c r="I696" s="752" t="s">
        <v>64</v>
      </c>
      <c r="J696" s="149"/>
      <c r="K696" s="692">
        <f t="shared" si="153"/>
        <v>59196.19999999999</v>
      </c>
      <c r="L696" s="165">
        <f t="shared" si="153"/>
        <v>0</v>
      </c>
      <c r="M696" s="165">
        <f t="shared" si="153"/>
        <v>59196.19999999999</v>
      </c>
    </row>
    <row r="697" spans="1:13" s="146" customFormat="1" ht="37.5" customHeight="1">
      <c r="A697" s="150"/>
      <c r="B697" s="163" t="s">
        <v>404</v>
      </c>
      <c r="C697" s="164" t="s">
        <v>338</v>
      </c>
      <c r="D697" s="149" t="s">
        <v>125</v>
      </c>
      <c r="E697" s="149" t="s">
        <v>72</v>
      </c>
      <c r="F697" s="750" t="s">
        <v>100</v>
      </c>
      <c r="G697" s="751" t="s">
        <v>65</v>
      </c>
      <c r="H697" s="751" t="s">
        <v>63</v>
      </c>
      <c r="I697" s="752" t="s">
        <v>64</v>
      </c>
      <c r="J697" s="149"/>
      <c r="K697" s="692">
        <f>K698+K711</f>
        <v>59196.19999999999</v>
      </c>
      <c r="L697" s="165">
        <f>L698+L711</f>
        <v>0</v>
      </c>
      <c r="M697" s="165">
        <f>M698+M711</f>
        <v>59196.19999999999</v>
      </c>
    </row>
    <row r="698" spans="1:13" s="391" customFormat="1" ht="37.5" customHeight="1">
      <c r="A698" s="150"/>
      <c r="B698" s="163" t="s">
        <v>325</v>
      </c>
      <c r="C698" s="164" t="s">
        <v>338</v>
      </c>
      <c r="D698" s="149" t="s">
        <v>125</v>
      </c>
      <c r="E698" s="149" t="s">
        <v>72</v>
      </c>
      <c r="F698" s="750" t="s">
        <v>100</v>
      </c>
      <c r="G698" s="751" t="s">
        <v>65</v>
      </c>
      <c r="H698" s="751" t="s">
        <v>57</v>
      </c>
      <c r="I698" s="752" t="s">
        <v>64</v>
      </c>
      <c r="J698" s="149"/>
      <c r="K698" s="692">
        <f>K699+K702+K705+K708</f>
        <v>59190.999999999993</v>
      </c>
      <c r="L698" s="165">
        <f>L699+L702+L705+L708</f>
        <v>0</v>
      </c>
      <c r="M698" s="165">
        <f>M699+M702+M705+M708</f>
        <v>59190.999999999993</v>
      </c>
    </row>
    <row r="699" spans="1:13" s="391" customFormat="1" ht="150.75" customHeight="1">
      <c r="A699" s="150"/>
      <c r="B699" s="431" t="s">
        <v>440</v>
      </c>
      <c r="C699" s="164" t="s">
        <v>338</v>
      </c>
      <c r="D699" s="149" t="s">
        <v>125</v>
      </c>
      <c r="E699" s="149" t="s">
        <v>72</v>
      </c>
      <c r="F699" s="750" t="s">
        <v>100</v>
      </c>
      <c r="G699" s="751" t="s">
        <v>65</v>
      </c>
      <c r="H699" s="751" t="s">
        <v>57</v>
      </c>
      <c r="I699" s="752" t="s">
        <v>341</v>
      </c>
      <c r="J699" s="149"/>
      <c r="K699" s="692">
        <f>SUM(K700:K701)</f>
        <v>32982</v>
      </c>
      <c r="L699" s="165">
        <f>SUM(L700:L701)</f>
        <v>0</v>
      </c>
      <c r="M699" s="165">
        <f>SUM(M700:M701)</f>
        <v>32982</v>
      </c>
    </row>
    <row r="700" spans="1:13" s="391" customFormat="1" ht="56.25" customHeight="1">
      <c r="A700" s="150"/>
      <c r="B700" s="163" t="s">
        <v>75</v>
      </c>
      <c r="C700" s="164" t="s">
        <v>338</v>
      </c>
      <c r="D700" s="149" t="s">
        <v>125</v>
      </c>
      <c r="E700" s="149" t="s">
        <v>72</v>
      </c>
      <c r="F700" s="750" t="s">
        <v>100</v>
      </c>
      <c r="G700" s="751" t="s">
        <v>65</v>
      </c>
      <c r="H700" s="751" t="s">
        <v>57</v>
      </c>
      <c r="I700" s="752" t="s">
        <v>341</v>
      </c>
      <c r="J700" s="149" t="s">
        <v>76</v>
      </c>
      <c r="K700" s="692">
        <v>164.9</v>
      </c>
      <c r="L700" s="165">
        <f t="shared" ref="L700:L701" si="154">M700-K700</f>
        <v>0</v>
      </c>
      <c r="M700" s="165">
        <v>164.9</v>
      </c>
    </row>
    <row r="701" spans="1:13" s="391" customFormat="1" ht="37.5" customHeight="1">
      <c r="A701" s="150"/>
      <c r="B701" s="163" t="s">
        <v>141</v>
      </c>
      <c r="C701" s="164" t="s">
        <v>338</v>
      </c>
      <c r="D701" s="149" t="s">
        <v>125</v>
      </c>
      <c r="E701" s="149" t="s">
        <v>72</v>
      </c>
      <c r="F701" s="750" t="s">
        <v>100</v>
      </c>
      <c r="G701" s="751" t="s">
        <v>65</v>
      </c>
      <c r="H701" s="751" t="s">
        <v>57</v>
      </c>
      <c r="I701" s="752" t="s">
        <v>341</v>
      </c>
      <c r="J701" s="149" t="s">
        <v>142</v>
      </c>
      <c r="K701" s="692">
        <v>32817.1</v>
      </c>
      <c r="L701" s="165">
        <f t="shared" si="154"/>
        <v>0</v>
      </c>
      <c r="M701" s="165">
        <v>32817.1</v>
      </c>
    </row>
    <row r="702" spans="1:13" s="391" customFormat="1" ht="95.25" customHeight="1">
      <c r="A702" s="150"/>
      <c r="B702" s="163" t="s">
        <v>441</v>
      </c>
      <c r="C702" s="164" t="s">
        <v>338</v>
      </c>
      <c r="D702" s="149" t="s">
        <v>125</v>
      </c>
      <c r="E702" s="149" t="s">
        <v>72</v>
      </c>
      <c r="F702" s="750" t="s">
        <v>100</v>
      </c>
      <c r="G702" s="751" t="s">
        <v>65</v>
      </c>
      <c r="H702" s="751" t="s">
        <v>57</v>
      </c>
      <c r="I702" s="752" t="s">
        <v>342</v>
      </c>
      <c r="J702" s="149"/>
      <c r="K702" s="692">
        <f>SUM(K703:K704)</f>
        <v>25619.1</v>
      </c>
      <c r="L702" s="165">
        <f>SUM(L703:L704)</f>
        <v>0</v>
      </c>
      <c r="M702" s="165">
        <f>SUM(M703:M704)</f>
        <v>25619.1</v>
      </c>
    </row>
    <row r="703" spans="1:13" s="391" customFormat="1" ht="56.25" customHeight="1">
      <c r="A703" s="150"/>
      <c r="B703" s="163" t="s">
        <v>75</v>
      </c>
      <c r="C703" s="164" t="s">
        <v>338</v>
      </c>
      <c r="D703" s="149" t="s">
        <v>125</v>
      </c>
      <c r="E703" s="149" t="s">
        <v>72</v>
      </c>
      <c r="F703" s="750" t="s">
        <v>100</v>
      </c>
      <c r="G703" s="751" t="s">
        <v>65</v>
      </c>
      <c r="H703" s="751" t="s">
        <v>57</v>
      </c>
      <c r="I703" s="752" t="s">
        <v>342</v>
      </c>
      <c r="J703" s="149" t="s">
        <v>76</v>
      </c>
      <c r="K703" s="692">
        <v>128.1</v>
      </c>
      <c r="L703" s="165">
        <f t="shared" ref="L703:L704" si="155">M703-K703</f>
        <v>0</v>
      </c>
      <c r="M703" s="165">
        <v>128.1</v>
      </c>
    </row>
    <row r="704" spans="1:13" s="391" customFormat="1" ht="37.5" customHeight="1">
      <c r="A704" s="150"/>
      <c r="B704" s="163" t="s">
        <v>141</v>
      </c>
      <c r="C704" s="164" t="s">
        <v>338</v>
      </c>
      <c r="D704" s="149" t="s">
        <v>125</v>
      </c>
      <c r="E704" s="149" t="s">
        <v>72</v>
      </c>
      <c r="F704" s="750" t="s">
        <v>100</v>
      </c>
      <c r="G704" s="751" t="s">
        <v>65</v>
      </c>
      <c r="H704" s="751" t="s">
        <v>57</v>
      </c>
      <c r="I704" s="752" t="s">
        <v>342</v>
      </c>
      <c r="J704" s="149" t="s">
        <v>142</v>
      </c>
      <c r="K704" s="692">
        <v>25491</v>
      </c>
      <c r="L704" s="165">
        <f t="shared" si="155"/>
        <v>0</v>
      </c>
      <c r="M704" s="165">
        <v>25491</v>
      </c>
    </row>
    <row r="705" spans="1:13" s="391" customFormat="1" ht="95.25" customHeight="1">
      <c r="A705" s="150"/>
      <c r="B705" s="163" t="s">
        <v>442</v>
      </c>
      <c r="C705" s="164" t="s">
        <v>338</v>
      </c>
      <c r="D705" s="149" t="s">
        <v>125</v>
      </c>
      <c r="E705" s="149" t="s">
        <v>72</v>
      </c>
      <c r="F705" s="750" t="s">
        <v>100</v>
      </c>
      <c r="G705" s="751" t="s">
        <v>65</v>
      </c>
      <c r="H705" s="751" t="s">
        <v>57</v>
      </c>
      <c r="I705" s="752" t="s">
        <v>343</v>
      </c>
      <c r="J705" s="149"/>
      <c r="K705" s="692">
        <f>SUM(K706:K707)</f>
        <v>243.2</v>
      </c>
      <c r="L705" s="165">
        <f>SUM(L706:L707)</f>
        <v>0</v>
      </c>
      <c r="M705" s="165">
        <f>SUM(M706:M707)</f>
        <v>243.2</v>
      </c>
    </row>
    <row r="706" spans="1:13" s="391" customFormat="1" ht="56.25" customHeight="1">
      <c r="A706" s="150"/>
      <c r="B706" s="163" t="s">
        <v>75</v>
      </c>
      <c r="C706" s="164" t="s">
        <v>338</v>
      </c>
      <c r="D706" s="149" t="s">
        <v>125</v>
      </c>
      <c r="E706" s="149" t="s">
        <v>72</v>
      </c>
      <c r="F706" s="750" t="s">
        <v>100</v>
      </c>
      <c r="G706" s="751" t="s">
        <v>65</v>
      </c>
      <c r="H706" s="751" t="s">
        <v>57</v>
      </c>
      <c r="I706" s="752" t="s">
        <v>343</v>
      </c>
      <c r="J706" s="149" t="s">
        <v>76</v>
      </c>
      <c r="K706" s="692">
        <v>1.2</v>
      </c>
      <c r="L706" s="165">
        <f t="shared" ref="L706:L707" si="156">M706-K706</f>
        <v>0</v>
      </c>
      <c r="M706" s="165">
        <v>1.2</v>
      </c>
    </row>
    <row r="707" spans="1:13" s="391" customFormat="1" ht="34.5" customHeight="1">
      <c r="A707" s="150"/>
      <c r="B707" s="163" t="s">
        <v>141</v>
      </c>
      <c r="C707" s="164" t="s">
        <v>338</v>
      </c>
      <c r="D707" s="149" t="s">
        <v>125</v>
      </c>
      <c r="E707" s="149" t="s">
        <v>72</v>
      </c>
      <c r="F707" s="750" t="s">
        <v>100</v>
      </c>
      <c r="G707" s="751" t="s">
        <v>65</v>
      </c>
      <c r="H707" s="751" t="s">
        <v>57</v>
      </c>
      <c r="I707" s="752" t="s">
        <v>343</v>
      </c>
      <c r="J707" s="149" t="s">
        <v>142</v>
      </c>
      <c r="K707" s="692">
        <f>242</f>
        <v>242</v>
      </c>
      <c r="L707" s="165">
        <f t="shared" si="156"/>
        <v>0</v>
      </c>
      <c r="M707" s="165">
        <f>242</f>
        <v>242</v>
      </c>
    </row>
    <row r="708" spans="1:13" s="391" customFormat="1" ht="113.25" customHeight="1">
      <c r="A708" s="150"/>
      <c r="B708" s="163" t="s">
        <v>448</v>
      </c>
      <c r="C708" s="164" t="s">
        <v>338</v>
      </c>
      <c r="D708" s="149" t="s">
        <v>125</v>
      </c>
      <c r="E708" s="149" t="s">
        <v>72</v>
      </c>
      <c r="F708" s="750" t="s">
        <v>100</v>
      </c>
      <c r="G708" s="751" t="s">
        <v>65</v>
      </c>
      <c r="H708" s="751" t="s">
        <v>57</v>
      </c>
      <c r="I708" s="752" t="s">
        <v>344</v>
      </c>
      <c r="J708" s="149"/>
      <c r="K708" s="692">
        <f>SUM(K709:K710)</f>
        <v>346.7</v>
      </c>
      <c r="L708" s="165">
        <f>SUM(L709:L710)</f>
        <v>0</v>
      </c>
      <c r="M708" s="165">
        <f>SUM(M709:M710)</f>
        <v>346.7</v>
      </c>
    </row>
    <row r="709" spans="1:13" s="391" customFormat="1" ht="56.25" customHeight="1">
      <c r="A709" s="150"/>
      <c r="B709" s="163" t="s">
        <v>75</v>
      </c>
      <c r="C709" s="164" t="s">
        <v>338</v>
      </c>
      <c r="D709" s="149" t="s">
        <v>125</v>
      </c>
      <c r="E709" s="149" t="s">
        <v>72</v>
      </c>
      <c r="F709" s="750" t="s">
        <v>100</v>
      </c>
      <c r="G709" s="751" t="s">
        <v>65</v>
      </c>
      <c r="H709" s="751" t="s">
        <v>57</v>
      </c>
      <c r="I709" s="752" t="s">
        <v>344</v>
      </c>
      <c r="J709" s="149" t="s">
        <v>76</v>
      </c>
      <c r="K709" s="692">
        <v>1.7</v>
      </c>
      <c r="L709" s="165">
        <f t="shared" ref="L709:L713" si="157">M709-K709</f>
        <v>0</v>
      </c>
      <c r="M709" s="165">
        <v>1.7</v>
      </c>
    </row>
    <row r="710" spans="1:13" s="391" customFormat="1" ht="37.5" customHeight="1">
      <c r="A710" s="150"/>
      <c r="B710" s="163" t="s">
        <v>141</v>
      </c>
      <c r="C710" s="164" t="s">
        <v>338</v>
      </c>
      <c r="D710" s="149" t="s">
        <v>125</v>
      </c>
      <c r="E710" s="149" t="s">
        <v>72</v>
      </c>
      <c r="F710" s="750" t="s">
        <v>100</v>
      </c>
      <c r="G710" s="751" t="s">
        <v>65</v>
      </c>
      <c r="H710" s="751" t="s">
        <v>57</v>
      </c>
      <c r="I710" s="752" t="s">
        <v>344</v>
      </c>
      <c r="J710" s="149" t="s">
        <v>142</v>
      </c>
      <c r="K710" s="692">
        <f>346.7-1.7</f>
        <v>345</v>
      </c>
      <c r="L710" s="165">
        <f t="shared" si="157"/>
        <v>0</v>
      </c>
      <c r="M710" s="165">
        <f>346.7-1.7</f>
        <v>345</v>
      </c>
    </row>
    <row r="711" spans="1:13" s="391" customFormat="1" ht="93.75" customHeight="1">
      <c r="A711" s="150"/>
      <c r="B711" s="163" t="s">
        <v>352</v>
      </c>
      <c r="C711" s="164" t="s">
        <v>338</v>
      </c>
      <c r="D711" s="149" t="s">
        <v>125</v>
      </c>
      <c r="E711" s="149" t="s">
        <v>72</v>
      </c>
      <c r="F711" s="750" t="s">
        <v>100</v>
      </c>
      <c r="G711" s="751" t="s">
        <v>65</v>
      </c>
      <c r="H711" s="751" t="s">
        <v>59</v>
      </c>
      <c r="I711" s="752" t="s">
        <v>64</v>
      </c>
      <c r="J711" s="149"/>
      <c r="K711" s="692">
        <f>K712</f>
        <v>5.2</v>
      </c>
      <c r="L711" s="165">
        <f t="shared" si="157"/>
        <v>0</v>
      </c>
      <c r="M711" s="165">
        <f>M712</f>
        <v>5.2</v>
      </c>
    </row>
    <row r="712" spans="1:13" s="391" customFormat="1" ht="225" customHeight="1">
      <c r="A712" s="150"/>
      <c r="B712" s="163" t="s">
        <v>1002</v>
      </c>
      <c r="C712" s="164" t="s">
        <v>338</v>
      </c>
      <c r="D712" s="149" t="s">
        <v>125</v>
      </c>
      <c r="E712" s="149" t="s">
        <v>72</v>
      </c>
      <c r="F712" s="750" t="s">
        <v>100</v>
      </c>
      <c r="G712" s="751" t="s">
        <v>65</v>
      </c>
      <c r="H712" s="751" t="s">
        <v>59</v>
      </c>
      <c r="I712" s="752" t="s">
        <v>1001</v>
      </c>
      <c r="J712" s="149"/>
      <c r="K712" s="692">
        <f>K713</f>
        <v>5.2</v>
      </c>
      <c r="L712" s="165">
        <f t="shared" si="157"/>
        <v>0</v>
      </c>
      <c r="M712" s="165">
        <f>M713</f>
        <v>5.2</v>
      </c>
    </row>
    <row r="713" spans="1:13" s="391" customFormat="1" ht="37.5" customHeight="1">
      <c r="A713" s="150"/>
      <c r="B713" s="163" t="s">
        <v>141</v>
      </c>
      <c r="C713" s="164" t="s">
        <v>338</v>
      </c>
      <c r="D713" s="149" t="s">
        <v>125</v>
      </c>
      <c r="E713" s="149" t="s">
        <v>72</v>
      </c>
      <c r="F713" s="750" t="s">
        <v>100</v>
      </c>
      <c r="G713" s="751" t="s">
        <v>65</v>
      </c>
      <c r="H713" s="751" t="s">
        <v>59</v>
      </c>
      <c r="I713" s="752" t="s">
        <v>1001</v>
      </c>
      <c r="J713" s="149" t="s">
        <v>142</v>
      </c>
      <c r="K713" s="692">
        <v>5.2</v>
      </c>
      <c r="L713" s="165">
        <f t="shared" si="157"/>
        <v>0</v>
      </c>
      <c r="M713" s="165">
        <v>5.2</v>
      </c>
    </row>
    <row r="714" spans="1:13" s="146" customFormat="1" ht="37.5" customHeight="1">
      <c r="A714" s="150"/>
      <c r="B714" s="163" t="s">
        <v>345</v>
      </c>
      <c r="C714" s="164" t="s">
        <v>338</v>
      </c>
      <c r="D714" s="149" t="s">
        <v>125</v>
      </c>
      <c r="E714" s="149" t="s">
        <v>102</v>
      </c>
      <c r="F714" s="750"/>
      <c r="G714" s="751"/>
      <c r="H714" s="751"/>
      <c r="I714" s="752"/>
      <c r="J714" s="149"/>
      <c r="K714" s="692">
        <f t="shared" ref="K714:M716" si="158">K715</f>
        <v>7591.7</v>
      </c>
      <c r="L714" s="165">
        <f t="shared" si="158"/>
        <v>0</v>
      </c>
      <c r="M714" s="165">
        <f t="shared" si="158"/>
        <v>7591.7</v>
      </c>
    </row>
    <row r="715" spans="1:13" s="146" customFormat="1" ht="56.25" customHeight="1">
      <c r="A715" s="150"/>
      <c r="B715" s="167" t="s">
        <v>252</v>
      </c>
      <c r="C715" s="164" t="s">
        <v>338</v>
      </c>
      <c r="D715" s="149" t="s">
        <v>125</v>
      </c>
      <c r="E715" s="149" t="s">
        <v>102</v>
      </c>
      <c r="F715" s="750" t="s">
        <v>100</v>
      </c>
      <c r="G715" s="751" t="s">
        <v>62</v>
      </c>
      <c r="H715" s="751" t="s">
        <v>63</v>
      </c>
      <c r="I715" s="752" t="s">
        <v>64</v>
      </c>
      <c r="J715" s="149"/>
      <c r="K715" s="692">
        <f t="shared" si="158"/>
        <v>7591.7</v>
      </c>
      <c r="L715" s="165">
        <f t="shared" si="158"/>
        <v>0</v>
      </c>
      <c r="M715" s="165">
        <f t="shared" si="158"/>
        <v>7591.7</v>
      </c>
    </row>
    <row r="716" spans="1:13" s="146" customFormat="1" ht="33.75" customHeight="1">
      <c r="A716" s="150"/>
      <c r="B716" s="163" t="s">
        <v>404</v>
      </c>
      <c r="C716" s="164" t="s">
        <v>338</v>
      </c>
      <c r="D716" s="149" t="s">
        <v>125</v>
      </c>
      <c r="E716" s="149" t="s">
        <v>102</v>
      </c>
      <c r="F716" s="750" t="s">
        <v>100</v>
      </c>
      <c r="G716" s="751" t="s">
        <v>65</v>
      </c>
      <c r="H716" s="751" t="s">
        <v>63</v>
      </c>
      <c r="I716" s="752" t="s">
        <v>64</v>
      </c>
      <c r="J716" s="149"/>
      <c r="K716" s="692">
        <f t="shared" si="158"/>
        <v>7591.7</v>
      </c>
      <c r="L716" s="165">
        <f t="shared" si="158"/>
        <v>0</v>
      </c>
      <c r="M716" s="165">
        <f t="shared" si="158"/>
        <v>7591.7</v>
      </c>
    </row>
    <row r="717" spans="1:13" s="391" customFormat="1" ht="37.5" customHeight="1">
      <c r="A717" s="150"/>
      <c r="B717" s="163" t="s">
        <v>251</v>
      </c>
      <c r="C717" s="164" t="s">
        <v>338</v>
      </c>
      <c r="D717" s="149" t="s">
        <v>125</v>
      </c>
      <c r="E717" s="149" t="s">
        <v>102</v>
      </c>
      <c r="F717" s="750" t="s">
        <v>100</v>
      </c>
      <c r="G717" s="751" t="s">
        <v>65</v>
      </c>
      <c r="H717" s="751" t="s">
        <v>84</v>
      </c>
      <c r="I717" s="752" t="s">
        <v>64</v>
      </c>
      <c r="J717" s="149"/>
      <c r="K717" s="692">
        <f>K718+K721+K724</f>
        <v>7591.7</v>
      </c>
      <c r="L717" s="165">
        <f>L718+L721+L724</f>
        <v>0</v>
      </c>
      <c r="M717" s="165">
        <f>M718+M721+M724</f>
        <v>7591.7</v>
      </c>
    </row>
    <row r="718" spans="1:13" s="391" customFormat="1" ht="77.25" customHeight="1">
      <c r="A718" s="150"/>
      <c r="B718" s="163" t="s">
        <v>253</v>
      </c>
      <c r="C718" s="164" t="s">
        <v>338</v>
      </c>
      <c r="D718" s="149" t="s">
        <v>125</v>
      </c>
      <c r="E718" s="149" t="s">
        <v>102</v>
      </c>
      <c r="F718" s="750" t="s">
        <v>100</v>
      </c>
      <c r="G718" s="751" t="s">
        <v>65</v>
      </c>
      <c r="H718" s="751" t="s">
        <v>84</v>
      </c>
      <c r="I718" s="752" t="s">
        <v>346</v>
      </c>
      <c r="J718" s="149"/>
      <c r="K718" s="692">
        <f>K719+K720</f>
        <v>6084</v>
      </c>
      <c r="L718" s="165">
        <f>L719+L720</f>
        <v>0</v>
      </c>
      <c r="M718" s="165">
        <f>M719+M720</f>
        <v>6084</v>
      </c>
    </row>
    <row r="719" spans="1:13" s="391" customFormat="1" ht="112.5" customHeight="1">
      <c r="A719" s="150"/>
      <c r="B719" s="163" t="s">
        <v>69</v>
      </c>
      <c r="C719" s="164" t="s">
        <v>338</v>
      </c>
      <c r="D719" s="149" t="s">
        <v>125</v>
      </c>
      <c r="E719" s="149" t="s">
        <v>102</v>
      </c>
      <c r="F719" s="750" t="s">
        <v>100</v>
      </c>
      <c r="G719" s="751" t="s">
        <v>65</v>
      </c>
      <c r="H719" s="751" t="s">
        <v>84</v>
      </c>
      <c r="I719" s="752" t="s">
        <v>346</v>
      </c>
      <c r="J719" s="149" t="s">
        <v>70</v>
      </c>
      <c r="K719" s="692">
        <v>5725.5</v>
      </c>
      <c r="L719" s="165">
        <f t="shared" ref="L719:L720" si="159">M719-K719</f>
        <v>0</v>
      </c>
      <c r="M719" s="165">
        <v>5725.5</v>
      </c>
    </row>
    <row r="720" spans="1:13" s="391" customFormat="1" ht="56.25" customHeight="1">
      <c r="A720" s="150"/>
      <c r="B720" s="163" t="s">
        <v>75</v>
      </c>
      <c r="C720" s="164" t="s">
        <v>338</v>
      </c>
      <c r="D720" s="149" t="s">
        <v>125</v>
      </c>
      <c r="E720" s="149" t="s">
        <v>102</v>
      </c>
      <c r="F720" s="364" t="s">
        <v>100</v>
      </c>
      <c r="G720" s="365" t="s">
        <v>65</v>
      </c>
      <c r="H720" s="365" t="s">
        <v>84</v>
      </c>
      <c r="I720" s="366" t="s">
        <v>346</v>
      </c>
      <c r="J720" s="149" t="s">
        <v>76</v>
      </c>
      <c r="K720" s="692">
        <v>358.5</v>
      </c>
      <c r="L720" s="165">
        <f t="shared" si="159"/>
        <v>0</v>
      </c>
      <c r="M720" s="165">
        <v>358.5</v>
      </c>
    </row>
    <row r="721" spans="1:14" s="391" customFormat="1" ht="113.25" customHeight="1">
      <c r="A721" s="150"/>
      <c r="B721" s="163" t="s">
        <v>789</v>
      </c>
      <c r="C721" s="164" t="s">
        <v>338</v>
      </c>
      <c r="D721" s="149" t="s">
        <v>125</v>
      </c>
      <c r="E721" s="149" t="s">
        <v>102</v>
      </c>
      <c r="F721" s="750" t="s">
        <v>100</v>
      </c>
      <c r="G721" s="751" t="s">
        <v>65</v>
      </c>
      <c r="H721" s="751" t="s">
        <v>84</v>
      </c>
      <c r="I721" s="752" t="s">
        <v>347</v>
      </c>
      <c r="J721" s="149"/>
      <c r="K721" s="692">
        <f>K722+K723</f>
        <v>636.69999999999993</v>
      </c>
      <c r="L721" s="165">
        <f>L722+L723</f>
        <v>0</v>
      </c>
      <c r="M721" s="165">
        <f>M722+M723</f>
        <v>636.69999999999993</v>
      </c>
    </row>
    <row r="722" spans="1:14" s="391" customFormat="1" ht="112.5" customHeight="1">
      <c r="A722" s="150"/>
      <c r="B722" s="163" t="s">
        <v>69</v>
      </c>
      <c r="C722" s="164" t="s">
        <v>338</v>
      </c>
      <c r="D722" s="149" t="s">
        <v>125</v>
      </c>
      <c r="E722" s="149" t="s">
        <v>102</v>
      </c>
      <c r="F722" s="750" t="s">
        <v>100</v>
      </c>
      <c r="G722" s="751" t="s">
        <v>65</v>
      </c>
      <c r="H722" s="751" t="s">
        <v>84</v>
      </c>
      <c r="I722" s="752" t="s">
        <v>347</v>
      </c>
      <c r="J722" s="149" t="s">
        <v>70</v>
      </c>
      <c r="K722" s="692">
        <v>607.29999999999995</v>
      </c>
      <c r="L722" s="165">
        <f t="shared" ref="L722:L723" si="160">M722-K722</f>
        <v>0</v>
      </c>
      <c r="M722" s="165">
        <v>607.29999999999995</v>
      </c>
    </row>
    <row r="723" spans="1:14" s="391" customFormat="1" ht="56.25" customHeight="1">
      <c r="A723" s="150"/>
      <c r="B723" s="163" t="s">
        <v>75</v>
      </c>
      <c r="C723" s="164" t="s">
        <v>338</v>
      </c>
      <c r="D723" s="149" t="s">
        <v>125</v>
      </c>
      <c r="E723" s="149" t="s">
        <v>102</v>
      </c>
      <c r="F723" s="750" t="s">
        <v>100</v>
      </c>
      <c r="G723" s="751" t="s">
        <v>65</v>
      </c>
      <c r="H723" s="751" t="s">
        <v>84</v>
      </c>
      <c r="I723" s="752" t="s">
        <v>347</v>
      </c>
      <c r="J723" s="149" t="s">
        <v>76</v>
      </c>
      <c r="K723" s="692">
        <f>35-5.6</f>
        <v>29.4</v>
      </c>
      <c r="L723" s="165">
        <f t="shared" si="160"/>
        <v>0</v>
      </c>
      <c r="M723" s="165">
        <f>35-5.6</f>
        <v>29.4</v>
      </c>
    </row>
    <row r="724" spans="1:14" s="391" customFormat="1" ht="265.5" customHeight="1">
      <c r="A724" s="150"/>
      <c r="B724" s="476" t="s">
        <v>254</v>
      </c>
      <c r="C724" s="164" t="s">
        <v>338</v>
      </c>
      <c r="D724" s="149" t="s">
        <v>125</v>
      </c>
      <c r="E724" s="149" t="s">
        <v>102</v>
      </c>
      <c r="F724" s="750" t="s">
        <v>100</v>
      </c>
      <c r="G724" s="751" t="s">
        <v>65</v>
      </c>
      <c r="H724" s="751" t="s">
        <v>84</v>
      </c>
      <c r="I724" s="752" t="s">
        <v>348</v>
      </c>
      <c r="J724" s="149"/>
      <c r="K724" s="692">
        <f>K725+K726</f>
        <v>871</v>
      </c>
      <c r="L724" s="165">
        <f>L725+L726</f>
        <v>0</v>
      </c>
      <c r="M724" s="165">
        <f>M725+M726</f>
        <v>871</v>
      </c>
    </row>
    <row r="725" spans="1:14" s="391" customFormat="1" ht="112.5" customHeight="1">
      <c r="A725" s="150"/>
      <c r="B725" s="163" t="s">
        <v>69</v>
      </c>
      <c r="C725" s="164" t="s">
        <v>338</v>
      </c>
      <c r="D725" s="149" t="s">
        <v>125</v>
      </c>
      <c r="E725" s="149" t="s">
        <v>102</v>
      </c>
      <c r="F725" s="750" t="s">
        <v>100</v>
      </c>
      <c r="G725" s="751" t="s">
        <v>65</v>
      </c>
      <c r="H725" s="751" t="s">
        <v>84</v>
      </c>
      <c r="I725" s="752" t="s">
        <v>348</v>
      </c>
      <c r="J725" s="149" t="s">
        <v>70</v>
      </c>
      <c r="K725" s="692">
        <v>808.2</v>
      </c>
      <c r="L725" s="165">
        <f t="shared" ref="L725:L726" si="161">M725-K725</f>
        <v>0</v>
      </c>
      <c r="M725" s="165">
        <v>808.2</v>
      </c>
    </row>
    <row r="726" spans="1:14" s="391" customFormat="1" ht="56.25" customHeight="1">
      <c r="A726" s="150"/>
      <c r="B726" s="163" t="s">
        <v>75</v>
      </c>
      <c r="C726" s="164" t="s">
        <v>338</v>
      </c>
      <c r="D726" s="149" t="s">
        <v>125</v>
      </c>
      <c r="E726" s="149" t="s">
        <v>102</v>
      </c>
      <c r="F726" s="750" t="s">
        <v>100</v>
      </c>
      <c r="G726" s="751" t="s">
        <v>65</v>
      </c>
      <c r="H726" s="751" t="s">
        <v>84</v>
      </c>
      <c r="I726" s="752" t="s">
        <v>348</v>
      </c>
      <c r="J726" s="149" t="s">
        <v>76</v>
      </c>
      <c r="K726" s="692">
        <f>70-7.2</f>
        <v>62.8</v>
      </c>
      <c r="L726" s="165">
        <f t="shared" si="161"/>
        <v>0</v>
      </c>
      <c r="M726" s="165">
        <f>70-7.2</f>
        <v>62.8</v>
      </c>
    </row>
    <row r="727" spans="1:14" s="391" customFormat="1" ht="25.5" customHeight="1">
      <c r="A727" s="477"/>
      <c r="B727" s="370"/>
      <c r="C727" s="478"/>
      <c r="D727" s="371"/>
      <c r="E727" s="371"/>
      <c r="F727" s="371"/>
      <c r="G727" s="371"/>
      <c r="H727" s="371"/>
      <c r="I727" s="371"/>
      <c r="J727" s="371"/>
      <c r="K727" s="371"/>
      <c r="L727" s="371"/>
      <c r="M727" s="479"/>
    </row>
    <row r="728" spans="1:14" s="391" customFormat="1" ht="20.25" customHeight="1">
      <c r="A728" s="477"/>
      <c r="B728" s="370"/>
      <c r="C728" s="478"/>
      <c r="D728" s="371"/>
      <c r="E728" s="371"/>
      <c r="F728" s="371"/>
      <c r="G728" s="371"/>
      <c r="H728" s="371"/>
      <c r="I728" s="371"/>
      <c r="J728" s="371"/>
      <c r="K728" s="371"/>
      <c r="L728" s="371"/>
      <c r="M728" s="479"/>
    </row>
    <row r="729" spans="1:14" s="279" customFormat="1" ht="18.75" customHeight="1">
      <c r="A729" s="374" t="s">
        <v>467</v>
      </c>
      <c r="B729" s="282"/>
      <c r="C729" s="283"/>
      <c r="D729" s="283"/>
      <c r="E729" s="283"/>
      <c r="F729" s="206"/>
      <c r="G729" s="373"/>
      <c r="H729" s="434"/>
      <c r="M729" s="280"/>
    </row>
    <row r="730" spans="1:14" s="279" customFormat="1" ht="18.75" customHeight="1">
      <c r="A730" s="374" t="s">
        <v>468</v>
      </c>
      <c r="B730" s="282"/>
      <c r="C730" s="283"/>
      <c r="D730" s="283"/>
      <c r="E730" s="283"/>
      <c r="F730" s="206"/>
      <c r="G730" s="373"/>
      <c r="H730" s="434"/>
      <c r="M730" s="280"/>
    </row>
    <row r="731" spans="1:14" s="279" customFormat="1" ht="18.75" customHeight="1">
      <c r="A731" s="375" t="s">
        <v>469</v>
      </c>
      <c r="B731" s="282"/>
      <c r="E731" s="283"/>
      <c r="F731" s="206"/>
      <c r="M731" s="809" t="s">
        <v>494</v>
      </c>
    </row>
    <row r="732" spans="1:14" s="480" customFormat="1" ht="18.75" customHeight="1">
      <c r="A732" s="477"/>
      <c r="B732" s="370"/>
      <c r="C732" s="478"/>
      <c r="D732" s="371"/>
      <c r="E732" s="371"/>
      <c r="F732" s="371"/>
      <c r="G732" s="371"/>
      <c r="H732" s="371"/>
      <c r="I732" s="371"/>
      <c r="J732" s="371"/>
      <c r="K732" s="371"/>
      <c r="L732" s="371"/>
      <c r="M732" s="479"/>
    </row>
    <row r="733" spans="1:14" s="480" customFormat="1" ht="18.75" customHeight="1">
      <c r="A733" s="477"/>
      <c r="B733" s="370"/>
      <c r="C733" s="478"/>
      <c r="D733" s="371"/>
      <c r="E733" s="371"/>
      <c r="F733" s="371"/>
      <c r="G733" s="371"/>
      <c r="H733" s="371"/>
      <c r="I733" s="371"/>
      <c r="J733" s="371"/>
      <c r="K733" s="371"/>
      <c r="L733" s="371"/>
      <c r="M733" s="479"/>
    </row>
    <row r="734" spans="1:14" s="480" customFormat="1" ht="18.75" customHeight="1">
      <c r="A734" s="477"/>
      <c r="B734" s="370"/>
      <c r="C734" s="478"/>
      <c r="D734" s="371"/>
      <c r="E734" s="371"/>
      <c r="F734" s="371"/>
      <c r="G734" s="371"/>
      <c r="H734" s="371"/>
      <c r="I734" s="371"/>
      <c r="J734" s="371"/>
      <c r="K734" s="371"/>
      <c r="L734" s="371"/>
      <c r="M734" s="479"/>
    </row>
    <row r="735" spans="1:14" s="480" customFormat="1" ht="18.75" customHeight="1">
      <c r="A735" s="477"/>
      <c r="B735" s="370"/>
      <c r="C735" s="478"/>
      <c r="D735" s="180" t="s">
        <v>57</v>
      </c>
      <c r="E735" s="180" t="s">
        <v>59</v>
      </c>
      <c r="F735" s="181"/>
      <c r="G735" s="181"/>
      <c r="H735" s="181"/>
      <c r="I735" s="181"/>
      <c r="J735" s="181"/>
      <c r="K735" s="181"/>
      <c r="L735" s="181"/>
      <c r="M735" s="890">
        <f>M17</f>
        <v>2067.1</v>
      </c>
      <c r="N735" s="481"/>
    </row>
    <row r="736" spans="1:14" s="480" customFormat="1" ht="18.75" customHeight="1">
      <c r="A736" s="477"/>
      <c r="B736" s="370"/>
      <c r="C736" s="478"/>
      <c r="D736" s="180" t="s">
        <v>57</v>
      </c>
      <c r="E736" s="180" t="s">
        <v>72</v>
      </c>
      <c r="F736" s="181"/>
      <c r="G736" s="181"/>
      <c r="H736" s="181"/>
      <c r="I736" s="181"/>
      <c r="J736" s="181"/>
      <c r="K736" s="181"/>
      <c r="L736" s="181"/>
      <c r="M736" s="890">
        <f>M23</f>
        <v>73164.330999999991</v>
      </c>
      <c r="N736" s="481"/>
    </row>
    <row r="737" spans="1:14" s="480" customFormat="1" ht="18.75" customHeight="1">
      <c r="A737" s="477"/>
      <c r="B737" s="370"/>
      <c r="C737" s="478"/>
      <c r="D737" s="180" t="s">
        <v>57</v>
      </c>
      <c r="E737" s="180" t="s">
        <v>86</v>
      </c>
      <c r="F737" s="181"/>
      <c r="G737" s="181"/>
      <c r="H737" s="181"/>
      <c r="I737" s="181"/>
      <c r="J737" s="181"/>
      <c r="K737" s="181"/>
      <c r="L737" s="181"/>
      <c r="M737" s="890">
        <f>M46</f>
        <v>13.2</v>
      </c>
      <c r="N737" s="481"/>
    </row>
    <row r="738" spans="1:14" s="480" customFormat="1" ht="18.75" customHeight="1">
      <c r="A738" s="477"/>
      <c r="B738" s="370"/>
      <c r="C738" s="478"/>
      <c r="D738" s="180" t="s">
        <v>57</v>
      </c>
      <c r="E738" s="180" t="s">
        <v>102</v>
      </c>
      <c r="F738" s="181"/>
      <c r="G738" s="181"/>
      <c r="H738" s="181"/>
      <c r="I738" s="181"/>
      <c r="J738" s="181"/>
      <c r="K738" s="181"/>
      <c r="L738" s="181"/>
      <c r="M738" s="890">
        <f>M231+M267</f>
        <v>29306.215999999997</v>
      </c>
      <c r="N738" s="481"/>
    </row>
    <row r="739" spans="1:14" s="480" customFormat="1" ht="18.75" customHeight="1">
      <c r="A739" s="477"/>
      <c r="B739" s="370"/>
      <c r="C739" s="478"/>
      <c r="D739" s="180" t="s">
        <v>57</v>
      </c>
      <c r="E739" s="180" t="s">
        <v>88</v>
      </c>
      <c r="F739" s="181"/>
      <c r="G739" s="181"/>
      <c r="H739" s="181"/>
      <c r="I739" s="181"/>
      <c r="J739" s="181"/>
      <c r="K739" s="181"/>
      <c r="L739" s="181"/>
      <c r="M739" s="890">
        <f>M52</f>
        <v>5092.8220000000001</v>
      </c>
      <c r="N739" s="481"/>
    </row>
    <row r="740" spans="1:14" s="480" customFormat="1" ht="18.75" customHeight="1">
      <c r="A740" s="477"/>
      <c r="B740" s="370"/>
      <c r="C740" s="478"/>
      <c r="D740" s="180" t="s">
        <v>57</v>
      </c>
      <c r="E740" s="180" t="s">
        <v>92</v>
      </c>
      <c r="F740" s="181"/>
      <c r="G740" s="181"/>
      <c r="H740" s="181"/>
      <c r="I740" s="181"/>
      <c r="J740" s="181"/>
      <c r="K740" s="181"/>
      <c r="L740" s="181"/>
      <c r="M740" s="890">
        <f>M57+M242+M279+M654+M529+M605+M371</f>
        <v>60811.798000000003</v>
      </c>
      <c r="N740" s="481"/>
    </row>
    <row r="741" spans="1:14" ht="18.75" customHeight="1">
      <c r="D741" s="438" t="s">
        <v>57</v>
      </c>
      <c r="E741" s="438" t="s">
        <v>63</v>
      </c>
      <c r="F741" s="181"/>
      <c r="G741" s="181"/>
      <c r="H741" s="181"/>
      <c r="I741" s="181"/>
      <c r="J741" s="181"/>
      <c r="K741" s="181"/>
      <c r="L741" s="181"/>
      <c r="M741" s="439">
        <f>SUBTOTAL(9,M735:M740)</f>
        <v>170455.467</v>
      </c>
      <c r="N741" s="482"/>
    </row>
    <row r="742" spans="1:14" ht="18.75" customHeight="1">
      <c r="D742" s="180"/>
      <c r="E742" s="180"/>
      <c r="F742" s="181"/>
      <c r="G742" s="181"/>
      <c r="H742" s="181"/>
      <c r="I742" s="181"/>
      <c r="J742" s="181"/>
      <c r="K742" s="181"/>
      <c r="L742" s="181"/>
      <c r="M742" s="437"/>
      <c r="N742" s="481"/>
    </row>
    <row r="743" spans="1:14" ht="18.75" customHeight="1">
      <c r="D743" s="180" t="s">
        <v>84</v>
      </c>
      <c r="E743" s="180" t="s">
        <v>125</v>
      </c>
      <c r="F743" s="181"/>
      <c r="G743" s="181"/>
      <c r="H743" s="181"/>
      <c r="I743" s="181"/>
      <c r="J743" s="181"/>
      <c r="K743" s="181"/>
      <c r="L743" s="181"/>
      <c r="M743" s="889">
        <f>M90</f>
        <v>4033.3</v>
      </c>
      <c r="N743" s="481"/>
    </row>
    <row r="744" spans="1:14" ht="18.75" customHeight="1">
      <c r="D744" s="180" t="s">
        <v>84</v>
      </c>
      <c r="E744" s="180" t="s">
        <v>109</v>
      </c>
      <c r="F744" s="181"/>
      <c r="G744" s="181"/>
      <c r="H744" s="181"/>
      <c r="I744" s="181"/>
      <c r="J744" s="181"/>
      <c r="K744" s="181"/>
      <c r="L744" s="181"/>
      <c r="M744" s="889">
        <f>M102</f>
        <v>11066.300000000001</v>
      </c>
      <c r="N744" s="481"/>
    </row>
    <row r="745" spans="1:14" ht="18.75" customHeight="1">
      <c r="D745" s="438" t="s">
        <v>84</v>
      </c>
      <c r="E745" s="438" t="s">
        <v>63</v>
      </c>
      <c r="F745" s="181"/>
      <c r="G745" s="181"/>
      <c r="H745" s="181"/>
      <c r="I745" s="181"/>
      <c r="J745" s="181"/>
      <c r="K745" s="181"/>
      <c r="L745" s="181"/>
      <c r="M745" s="439">
        <f>SUBTOTAL(9,M743:M744)</f>
        <v>15099.600000000002</v>
      </c>
      <c r="N745" s="482"/>
    </row>
    <row r="746" spans="1:14" ht="18.75" customHeight="1">
      <c r="D746" s="180"/>
      <c r="E746" s="180"/>
      <c r="F746" s="181"/>
      <c r="G746" s="181"/>
      <c r="H746" s="181"/>
      <c r="I746" s="181"/>
      <c r="J746" s="181"/>
      <c r="K746" s="181"/>
      <c r="L746" s="181"/>
      <c r="M746" s="437"/>
      <c r="N746" s="481"/>
    </row>
    <row r="747" spans="1:14" ht="18.75" customHeight="1">
      <c r="D747" s="180" t="s">
        <v>72</v>
      </c>
      <c r="E747" s="180" t="s">
        <v>86</v>
      </c>
      <c r="F747" s="181"/>
      <c r="G747" s="181"/>
      <c r="H747" s="181"/>
      <c r="I747" s="181"/>
      <c r="J747" s="181"/>
      <c r="K747" s="181"/>
      <c r="L747" s="181"/>
      <c r="M747" s="437">
        <f>M127</f>
        <v>11255.300000000001</v>
      </c>
      <c r="N747" s="481"/>
    </row>
    <row r="748" spans="1:14" ht="18.75" customHeight="1">
      <c r="D748" s="180" t="s">
        <v>72</v>
      </c>
      <c r="E748" s="180" t="s">
        <v>100</v>
      </c>
      <c r="F748" s="181"/>
      <c r="G748" s="181"/>
      <c r="H748" s="181"/>
      <c r="I748" s="181"/>
      <c r="J748" s="181"/>
      <c r="K748" s="181"/>
      <c r="L748" s="181"/>
      <c r="M748" s="437">
        <f>M136</f>
        <v>9802.3829999999998</v>
      </c>
      <c r="N748" s="481"/>
    </row>
    <row r="749" spans="1:14" ht="18.75" customHeight="1">
      <c r="D749" s="180" t="s">
        <v>72</v>
      </c>
      <c r="E749" s="180" t="s">
        <v>121</v>
      </c>
      <c r="F749" s="181"/>
      <c r="G749" s="181"/>
      <c r="H749" s="181"/>
      <c r="I749" s="181"/>
      <c r="J749" s="181"/>
      <c r="K749" s="181"/>
      <c r="L749" s="181"/>
      <c r="M749" s="437">
        <f>M142+M325</f>
        <v>10537.899999999998</v>
      </c>
      <c r="N749" s="481"/>
    </row>
    <row r="750" spans="1:14" ht="18.75" customHeight="1">
      <c r="D750" s="438" t="s">
        <v>72</v>
      </c>
      <c r="E750" s="438" t="s">
        <v>63</v>
      </c>
      <c r="F750" s="181"/>
      <c r="G750" s="181"/>
      <c r="H750" s="181"/>
      <c r="I750" s="181"/>
      <c r="J750" s="181"/>
      <c r="K750" s="181"/>
      <c r="L750" s="181"/>
      <c r="M750" s="439">
        <f>SUBTOTAL(9,M747:M749)</f>
        <v>31595.582999999999</v>
      </c>
      <c r="N750" s="482"/>
    </row>
    <row r="751" spans="1:14" ht="18.75" customHeight="1">
      <c r="D751" s="180"/>
      <c r="E751" s="180"/>
      <c r="F751" s="181"/>
      <c r="G751" s="181"/>
      <c r="H751" s="181"/>
      <c r="I751" s="181"/>
      <c r="J751" s="181"/>
      <c r="K751" s="181"/>
      <c r="L751" s="181"/>
      <c r="M751" s="437"/>
      <c r="N751" s="481"/>
    </row>
    <row r="752" spans="1:14" ht="18.75" customHeight="1">
      <c r="D752" s="180" t="s">
        <v>86</v>
      </c>
      <c r="E752" s="180" t="s">
        <v>57</v>
      </c>
      <c r="F752" s="181"/>
      <c r="G752" s="181"/>
      <c r="H752" s="181"/>
      <c r="I752" s="181"/>
      <c r="J752" s="181"/>
      <c r="K752" s="181"/>
      <c r="L752" s="181"/>
      <c r="M752" s="437"/>
      <c r="N752" s="481"/>
    </row>
    <row r="753" spans="4:14" ht="18.75" customHeight="1">
      <c r="D753" s="180" t="s">
        <v>86</v>
      </c>
      <c r="E753" s="180" t="s">
        <v>59</v>
      </c>
      <c r="F753" s="181"/>
      <c r="G753" s="181"/>
      <c r="H753" s="181"/>
      <c r="I753" s="181"/>
      <c r="J753" s="181"/>
      <c r="K753" s="181"/>
      <c r="L753" s="181"/>
      <c r="M753" s="437">
        <f>M332</f>
        <v>16449.302</v>
      </c>
      <c r="N753" s="481"/>
    </row>
    <row r="754" spans="4:14" ht="18.75" customHeight="1">
      <c r="D754" s="180" t="s">
        <v>86</v>
      </c>
      <c r="E754" s="180" t="s">
        <v>86</v>
      </c>
      <c r="F754" s="181"/>
      <c r="G754" s="181"/>
      <c r="H754" s="181"/>
      <c r="I754" s="181"/>
      <c r="J754" s="181"/>
      <c r="K754" s="181"/>
      <c r="L754" s="181"/>
      <c r="M754" s="437"/>
      <c r="N754" s="481"/>
    </row>
    <row r="755" spans="4:14" ht="18.75" customHeight="1">
      <c r="D755" s="180" t="s">
        <v>86</v>
      </c>
      <c r="E755" s="180" t="s">
        <v>84</v>
      </c>
      <c r="F755" s="181"/>
      <c r="G755" s="181"/>
      <c r="H755" s="181"/>
      <c r="I755" s="181"/>
      <c r="J755" s="181"/>
      <c r="K755" s="181"/>
      <c r="L755" s="705"/>
      <c r="M755" s="437">
        <f>M168</f>
        <v>1163.5999999999999</v>
      </c>
      <c r="N755" s="481"/>
    </row>
    <row r="756" spans="4:14" ht="18.75" customHeight="1">
      <c r="D756" s="438" t="s">
        <v>86</v>
      </c>
      <c r="E756" s="438" t="s">
        <v>63</v>
      </c>
      <c r="F756" s="181"/>
      <c r="G756" s="181"/>
      <c r="H756" s="181"/>
      <c r="I756" s="181"/>
      <c r="J756" s="181"/>
      <c r="K756" s="181"/>
      <c r="L756" s="181"/>
      <c r="M756" s="439">
        <f>SUBTOTAL(9,M752:M755)</f>
        <v>17612.901999999998</v>
      </c>
      <c r="N756" s="482"/>
    </row>
    <row r="757" spans="4:14" ht="18.75" customHeight="1">
      <c r="D757" s="180"/>
      <c r="E757" s="180"/>
      <c r="F757" s="181"/>
      <c r="G757" s="181"/>
      <c r="H757" s="181"/>
      <c r="I757" s="181"/>
      <c r="J757" s="181"/>
      <c r="K757" s="181"/>
      <c r="L757" s="181"/>
      <c r="M757" s="437"/>
      <c r="N757" s="481"/>
    </row>
    <row r="758" spans="4:14" ht="18.75" customHeight="1">
      <c r="D758" s="180" t="s">
        <v>246</v>
      </c>
      <c r="E758" s="180" t="s">
        <v>57</v>
      </c>
      <c r="F758" s="181"/>
      <c r="G758" s="181"/>
      <c r="H758" s="181"/>
      <c r="I758" s="181"/>
      <c r="J758" s="181"/>
      <c r="K758" s="181"/>
      <c r="L758" s="181"/>
      <c r="M758" s="437">
        <f>M384+M347</f>
        <v>358130.1</v>
      </c>
      <c r="N758" s="481"/>
    </row>
    <row r="759" spans="4:14" ht="18.75" customHeight="1">
      <c r="D759" s="180" t="s">
        <v>246</v>
      </c>
      <c r="E759" s="180" t="s">
        <v>59</v>
      </c>
      <c r="F759" s="181"/>
      <c r="G759" s="181"/>
      <c r="H759" s="181"/>
      <c r="I759" s="181"/>
      <c r="J759" s="181"/>
      <c r="K759" s="181"/>
      <c r="L759" s="181"/>
      <c r="M759" s="437">
        <f>M355+M410</f>
        <v>625143.19999999995</v>
      </c>
      <c r="N759" s="481"/>
    </row>
    <row r="760" spans="4:14" ht="18.75" customHeight="1">
      <c r="D760" s="180" t="s">
        <v>246</v>
      </c>
      <c r="E760" s="180" t="s">
        <v>84</v>
      </c>
      <c r="F760" s="181"/>
      <c r="G760" s="181"/>
      <c r="H760" s="181"/>
      <c r="I760" s="181"/>
      <c r="J760" s="181"/>
      <c r="K760" s="181"/>
      <c r="L760" s="181"/>
      <c r="M760" s="437">
        <f>M460+M536</f>
        <v>118054.68799999999</v>
      </c>
      <c r="N760" s="481"/>
    </row>
    <row r="761" spans="4:14" ht="18.75" customHeight="1">
      <c r="D761" s="180" t="s">
        <v>246</v>
      </c>
      <c r="E761" s="180" t="s">
        <v>86</v>
      </c>
      <c r="F761" s="181"/>
      <c r="G761" s="181"/>
      <c r="H761" s="181"/>
      <c r="I761" s="181"/>
      <c r="J761" s="181"/>
      <c r="K761" s="181"/>
      <c r="L761" s="181"/>
      <c r="M761" s="437"/>
      <c r="N761" s="481"/>
    </row>
    <row r="762" spans="4:14" ht="18.75" customHeight="1">
      <c r="D762" s="180" t="s">
        <v>246</v>
      </c>
      <c r="E762" s="180" t="s">
        <v>246</v>
      </c>
      <c r="F762" s="181"/>
      <c r="G762" s="181"/>
      <c r="H762" s="181"/>
      <c r="I762" s="181"/>
      <c r="J762" s="181"/>
      <c r="K762" s="181"/>
      <c r="L762" s="181"/>
      <c r="M762" s="437">
        <f>M667+M688+M546+M486</f>
        <v>12174.199999999999</v>
      </c>
      <c r="N762" s="481"/>
    </row>
    <row r="763" spans="4:14" ht="18.75" customHeight="1">
      <c r="D763" s="180" t="s">
        <v>246</v>
      </c>
      <c r="E763" s="180" t="s">
        <v>100</v>
      </c>
      <c r="F763" s="181"/>
      <c r="G763" s="181"/>
      <c r="H763" s="181"/>
      <c r="I763" s="181"/>
      <c r="J763" s="181"/>
      <c r="K763" s="181"/>
      <c r="L763" s="181"/>
      <c r="M763" s="437">
        <f>M494+M552+M677</f>
        <v>65526.972000000009</v>
      </c>
      <c r="N763" s="481"/>
    </row>
    <row r="764" spans="4:14" ht="18.75" customHeight="1">
      <c r="D764" s="438" t="s">
        <v>246</v>
      </c>
      <c r="E764" s="438" t="s">
        <v>63</v>
      </c>
      <c r="F764" s="181"/>
      <c r="G764" s="181"/>
      <c r="H764" s="181"/>
      <c r="I764" s="181"/>
      <c r="J764" s="181"/>
      <c r="K764" s="181"/>
      <c r="L764" s="181"/>
      <c r="M764" s="439">
        <f>SUBTOTAL(9,M758:M763)</f>
        <v>1179029.1599999999</v>
      </c>
      <c r="N764" s="482"/>
    </row>
    <row r="765" spans="4:14" ht="18.75" customHeight="1">
      <c r="D765" s="180"/>
      <c r="E765" s="180"/>
      <c r="F765" s="181"/>
      <c r="G765" s="181"/>
      <c r="H765" s="181"/>
      <c r="I765" s="181"/>
      <c r="J765" s="181"/>
      <c r="K765" s="181"/>
      <c r="L765" s="181"/>
      <c r="M765" s="437"/>
      <c r="N765" s="481"/>
    </row>
    <row r="766" spans="4:14" ht="18.75" customHeight="1">
      <c r="D766" s="180" t="s">
        <v>248</v>
      </c>
      <c r="E766" s="180" t="s">
        <v>57</v>
      </c>
      <c r="F766" s="181"/>
      <c r="G766" s="181"/>
      <c r="H766" s="181"/>
      <c r="I766" s="181"/>
      <c r="J766" s="181"/>
      <c r="K766" s="181"/>
      <c r="L766" s="181"/>
      <c r="M766" s="437">
        <f>M559</f>
        <v>25033.4</v>
      </c>
      <c r="N766" s="481"/>
    </row>
    <row r="767" spans="4:14" ht="18.75" customHeight="1">
      <c r="D767" s="180" t="s">
        <v>248</v>
      </c>
      <c r="E767" s="180" t="s">
        <v>72</v>
      </c>
      <c r="F767" s="181"/>
      <c r="G767" s="181"/>
      <c r="H767" s="181"/>
      <c r="I767" s="181"/>
      <c r="J767" s="181"/>
      <c r="K767" s="181"/>
      <c r="L767" s="181"/>
      <c r="M767" s="437">
        <f>M584</f>
        <v>10542.3</v>
      </c>
      <c r="N767" s="481"/>
    </row>
    <row r="768" spans="4:14" ht="18.75" customHeight="1">
      <c r="D768" s="438" t="s">
        <v>248</v>
      </c>
      <c r="E768" s="438" t="s">
        <v>63</v>
      </c>
      <c r="F768" s="181"/>
      <c r="G768" s="181"/>
      <c r="H768" s="181"/>
      <c r="I768" s="181"/>
      <c r="J768" s="181"/>
      <c r="K768" s="181"/>
      <c r="L768" s="181"/>
      <c r="M768" s="439">
        <f>SUBTOTAL(9,M766:M767)</f>
        <v>35575.699999999997</v>
      </c>
      <c r="N768" s="482"/>
    </row>
    <row r="769" spans="4:14" ht="18.75" customHeight="1">
      <c r="D769" s="180"/>
      <c r="E769" s="180"/>
      <c r="F769" s="181"/>
      <c r="G769" s="181"/>
      <c r="H769" s="181"/>
      <c r="I769" s="181"/>
      <c r="J769" s="181"/>
      <c r="K769" s="181"/>
      <c r="L769" s="181"/>
      <c r="M769" s="437"/>
      <c r="N769" s="481"/>
    </row>
    <row r="770" spans="4:14" ht="18.75" customHeight="1">
      <c r="D770" s="180" t="s">
        <v>125</v>
      </c>
      <c r="E770" s="180" t="s">
        <v>57</v>
      </c>
      <c r="F770" s="181"/>
      <c r="G770" s="181"/>
      <c r="H770" s="181"/>
      <c r="I770" s="181"/>
      <c r="J770" s="181"/>
      <c r="K770" s="181"/>
      <c r="L770" s="181"/>
      <c r="M770" s="437">
        <f>M175</f>
        <v>552</v>
      </c>
      <c r="N770" s="481"/>
    </row>
    <row r="771" spans="4:14" ht="18.75" customHeight="1">
      <c r="D771" s="180" t="s">
        <v>125</v>
      </c>
      <c r="E771" s="180" t="s">
        <v>84</v>
      </c>
      <c r="F771" s="181"/>
      <c r="G771" s="181"/>
      <c r="H771" s="181"/>
      <c r="I771" s="181"/>
      <c r="J771" s="181"/>
      <c r="K771" s="181"/>
      <c r="L771" s="710"/>
      <c r="M771" s="437">
        <f>M181</f>
        <v>1060</v>
      </c>
      <c r="N771" s="481"/>
    </row>
    <row r="772" spans="4:14" ht="18.75" customHeight="1">
      <c r="D772" s="180" t="s">
        <v>125</v>
      </c>
      <c r="E772" s="180" t="s">
        <v>72</v>
      </c>
      <c r="F772" s="181"/>
      <c r="G772" s="181"/>
      <c r="H772" s="181"/>
      <c r="I772" s="181"/>
      <c r="J772" s="181"/>
      <c r="K772" s="181"/>
      <c r="L772" s="181"/>
      <c r="M772" s="437">
        <f>M362+M519+M695</f>
        <v>119803.19999999998</v>
      </c>
      <c r="N772" s="481"/>
    </row>
    <row r="773" spans="4:14" ht="18.75" customHeight="1">
      <c r="D773" s="180" t="s">
        <v>125</v>
      </c>
      <c r="E773" s="180" t="s">
        <v>102</v>
      </c>
      <c r="F773" s="181"/>
      <c r="G773" s="181"/>
      <c r="H773" s="181"/>
      <c r="I773" s="181"/>
      <c r="J773" s="181"/>
      <c r="K773" s="181"/>
      <c r="L773" s="181"/>
      <c r="M773" s="437">
        <f>M190+M714</f>
        <v>8520.4</v>
      </c>
      <c r="N773" s="481"/>
    </row>
    <row r="774" spans="4:14" ht="18.75" customHeight="1">
      <c r="D774" s="438" t="s">
        <v>125</v>
      </c>
      <c r="E774" s="438" t="s">
        <v>63</v>
      </c>
      <c r="F774" s="181"/>
      <c r="G774" s="181"/>
      <c r="H774" s="181"/>
      <c r="I774" s="181"/>
      <c r="J774" s="181"/>
      <c r="K774" s="181"/>
      <c r="L774" s="181"/>
      <c r="M774" s="439">
        <f>SUBTOTAL(9,M770:M773)</f>
        <v>129935.59999999998</v>
      </c>
      <c r="N774" s="482"/>
    </row>
    <row r="775" spans="4:14" ht="18.75" customHeight="1">
      <c r="D775" s="180"/>
      <c r="E775" s="180"/>
      <c r="F775" s="181"/>
      <c r="G775" s="181"/>
      <c r="H775" s="181"/>
      <c r="I775" s="181"/>
      <c r="J775" s="181"/>
      <c r="K775" s="181"/>
      <c r="L775" s="181"/>
      <c r="M775" s="437"/>
      <c r="N775" s="481"/>
    </row>
    <row r="776" spans="4:14" ht="18.75" customHeight="1">
      <c r="D776" s="180" t="s">
        <v>88</v>
      </c>
      <c r="E776" s="180" t="s">
        <v>57</v>
      </c>
      <c r="F776" s="181"/>
      <c r="G776" s="181"/>
      <c r="H776" s="181"/>
      <c r="I776" s="181"/>
      <c r="J776" s="181"/>
      <c r="K776" s="181"/>
      <c r="L776" s="181"/>
      <c r="M776" s="437">
        <f>M612</f>
        <v>37170.499999999993</v>
      </c>
      <c r="N776" s="481"/>
    </row>
    <row r="777" spans="4:14" ht="18.75" customHeight="1">
      <c r="D777" s="180" t="s">
        <v>88</v>
      </c>
      <c r="E777" s="180" t="s">
        <v>59</v>
      </c>
      <c r="F777" s="181"/>
      <c r="G777" s="181"/>
      <c r="H777" s="181"/>
      <c r="I777" s="181"/>
      <c r="J777" s="181"/>
      <c r="K777" s="181"/>
      <c r="L777" s="181"/>
      <c r="M777" s="437">
        <f>M636</f>
        <v>713.8</v>
      </c>
      <c r="N777" s="481"/>
    </row>
    <row r="778" spans="4:14" ht="18.75" customHeight="1">
      <c r="D778" s="180" t="s">
        <v>88</v>
      </c>
      <c r="E778" s="180" t="s">
        <v>86</v>
      </c>
      <c r="F778" s="181"/>
      <c r="G778" s="181"/>
      <c r="H778" s="181"/>
      <c r="I778" s="181"/>
      <c r="J778" s="181"/>
      <c r="K778" s="181"/>
      <c r="L778" s="181"/>
      <c r="M778" s="437">
        <f>M643</f>
        <v>2425.3000000000002</v>
      </c>
      <c r="N778" s="481"/>
    </row>
    <row r="779" spans="4:14" ht="18.75" customHeight="1">
      <c r="D779" s="438" t="s">
        <v>88</v>
      </c>
      <c r="E779" s="438" t="s">
        <v>63</v>
      </c>
      <c r="F779" s="181"/>
      <c r="G779" s="181"/>
      <c r="H779" s="181"/>
      <c r="I779" s="181"/>
      <c r="J779" s="181"/>
      <c r="K779" s="181"/>
      <c r="L779" s="181"/>
      <c r="M779" s="439">
        <f>SUBTOTAL(9,M776:M778)</f>
        <v>40309.599999999999</v>
      </c>
      <c r="N779" s="482"/>
    </row>
    <row r="780" spans="4:14" ht="18.75" customHeight="1">
      <c r="D780" s="180"/>
      <c r="E780" s="180"/>
      <c r="F780" s="181"/>
      <c r="G780" s="181"/>
      <c r="H780" s="181"/>
      <c r="I780" s="181"/>
      <c r="J780" s="181"/>
      <c r="K780" s="181"/>
      <c r="L780" s="181"/>
      <c r="M780" s="437"/>
      <c r="N780" s="481"/>
    </row>
    <row r="781" spans="4:14" ht="18.75" customHeight="1">
      <c r="D781" s="180" t="s">
        <v>92</v>
      </c>
      <c r="E781" s="180" t="s">
        <v>57</v>
      </c>
      <c r="F781" s="181"/>
      <c r="G781" s="181"/>
      <c r="H781" s="181"/>
      <c r="I781" s="181"/>
      <c r="J781" s="181"/>
      <c r="K781" s="181"/>
      <c r="L781" s="181"/>
      <c r="M781" s="437">
        <f>M197</f>
        <v>16.5</v>
      </c>
      <c r="N781" s="481"/>
    </row>
    <row r="782" spans="4:14" ht="18.75" customHeight="1">
      <c r="D782" s="438" t="s">
        <v>92</v>
      </c>
      <c r="E782" s="438" t="s">
        <v>63</v>
      </c>
      <c r="F782" s="181"/>
      <c r="G782" s="181"/>
      <c r="H782" s="181"/>
      <c r="I782" s="181"/>
      <c r="J782" s="181"/>
      <c r="K782" s="181"/>
      <c r="L782" s="181"/>
      <c r="M782" s="439">
        <f>M781</f>
        <v>16.5</v>
      </c>
      <c r="N782" s="482"/>
    </row>
    <row r="783" spans="4:14" ht="18.75" customHeight="1">
      <c r="D783" s="180"/>
      <c r="E783" s="180"/>
      <c r="F783" s="181"/>
      <c r="G783" s="181"/>
      <c r="H783" s="181"/>
      <c r="I783" s="181"/>
      <c r="J783" s="181"/>
      <c r="K783" s="181"/>
      <c r="L783" s="181"/>
      <c r="M783" s="437"/>
      <c r="N783" s="481"/>
    </row>
    <row r="784" spans="4:14" ht="18.75" customHeight="1">
      <c r="D784" s="180" t="s">
        <v>109</v>
      </c>
      <c r="E784" s="180" t="s">
        <v>57</v>
      </c>
      <c r="F784" s="181"/>
      <c r="G784" s="181"/>
      <c r="H784" s="181"/>
      <c r="I784" s="181"/>
      <c r="J784" s="181"/>
      <c r="K784" s="181"/>
      <c r="L784" s="181"/>
      <c r="M784" s="437">
        <f>M252</f>
        <v>5500</v>
      </c>
      <c r="N784" s="481"/>
    </row>
    <row r="785" spans="2:14" ht="18.75" customHeight="1">
      <c r="D785" s="180" t="s">
        <v>109</v>
      </c>
      <c r="E785" s="180" t="s">
        <v>59</v>
      </c>
      <c r="F785" s="181"/>
      <c r="G785" s="181"/>
      <c r="H785" s="181"/>
      <c r="I785" s="181"/>
      <c r="J785" s="181"/>
      <c r="K785" s="181"/>
      <c r="L785" s="181"/>
      <c r="M785" s="437"/>
      <c r="N785" s="481"/>
    </row>
    <row r="786" spans="2:14" ht="18.75" customHeight="1">
      <c r="D786" s="180" t="s">
        <v>109</v>
      </c>
      <c r="E786" s="180" t="s">
        <v>84</v>
      </c>
      <c r="F786" s="181"/>
      <c r="G786" s="181"/>
      <c r="H786" s="181"/>
      <c r="I786" s="181"/>
      <c r="J786" s="181"/>
      <c r="K786" s="181"/>
      <c r="L786" s="181"/>
      <c r="M786" s="437">
        <f>M204+M263</f>
        <v>14499.977999999999</v>
      </c>
      <c r="N786" s="481"/>
    </row>
    <row r="787" spans="2:14" ht="18.75" customHeight="1">
      <c r="D787" s="438" t="s">
        <v>109</v>
      </c>
      <c r="E787" s="438" t="s">
        <v>63</v>
      </c>
      <c r="F787" s="181"/>
      <c r="G787" s="181"/>
      <c r="H787" s="181"/>
      <c r="I787" s="181"/>
      <c r="J787" s="181"/>
      <c r="K787" s="181"/>
      <c r="L787" s="181"/>
      <c r="M787" s="439">
        <f t="shared" ref="M787" si="162">SUBTOTAL(9,M784:M786)</f>
        <v>19999.977999999999</v>
      </c>
      <c r="N787" s="482"/>
    </row>
    <row r="788" spans="2:14" ht="18.75" customHeight="1">
      <c r="D788" s="268"/>
      <c r="E788" s="180"/>
      <c r="F788" s="181"/>
      <c r="G788" s="181"/>
      <c r="H788" s="181"/>
      <c r="I788" s="181"/>
      <c r="J788" s="181"/>
      <c r="K788" s="181"/>
      <c r="L788" s="181"/>
      <c r="M788" s="810">
        <f>M741+M745+M750+M756+M764+M768+M774+M779+M782+M787</f>
        <v>1639630.0899999996</v>
      </c>
      <c r="N788" s="271"/>
    </row>
    <row r="789" spans="2:14" ht="18.75" customHeight="1">
      <c r="D789" s="269"/>
      <c r="E789" s="269"/>
      <c r="F789" s="191"/>
      <c r="G789" s="191"/>
      <c r="H789" s="191"/>
      <c r="I789" s="191"/>
      <c r="J789" s="191"/>
      <c r="K789" s="191"/>
      <c r="L789" s="191"/>
      <c r="M789" s="270"/>
      <c r="N789" s="271"/>
    </row>
    <row r="790" spans="2:14" ht="18.75" customHeight="1">
      <c r="B790" s="140" t="s">
        <v>452</v>
      </c>
      <c r="D790" s="269"/>
      <c r="E790" s="269"/>
      <c r="F790" s="191"/>
      <c r="G790" s="191"/>
      <c r="H790" s="191"/>
      <c r="I790" s="191"/>
      <c r="J790" s="191"/>
      <c r="K790" s="191"/>
      <c r="L790" s="191"/>
      <c r="M790" s="270"/>
      <c r="N790" s="271"/>
    </row>
    <row r="791" spans="2:14" ht="18.75" customHeight="1">
      <c r="B791" s="140" t="s">
        <v>451</v>
      </c>
      <c r="D791" s="269"/>
      <c r="E791" s="269"/>
      <c r="F791" s="191"/>
      <c r="G791" s="191"/>
      <c r="H791" s="191"/>
      <c r="I791" s="191"/>
      <c r="J791" s="191"/>
      <c r="K791" s="191"/>
      <c r="L791" s="191"/>
      <c r="M791" s="270"/>
      <c r="N791" s="271"/>
    </row>
    <row r="792" spans="2:14" ht="18.75" customHeight="1">
      <c r="D792" s="269"/>
      <c r="E792" s="269"/>
      <c r="F792" s="191"/>
      <c r="G792" s="191"/>
      <c r="H792" s="191"/>
      <c r="I792" s="191"/>
      <c r="J792" s="191"/>
      <c r="K792" s="191"/>
      <c r="L792" s="191"/>
      <c r="M792" s="272"/>
      <c r="N792" s="271"/>
    </row>
    <row r="793" spans="2:14" ht="18.75" customHeight="1">
      <c r="D793" s="269"/>
      <c r="E793" s="269"/>
      <c r="F793" s="191"/>
      <c r="G793" s="191"/>
      <c r="H793" s="191"/>
      <c r="I793" s="191"/>
      <c r="J793" s="191"/>
      <c r="K793" s="191"/>
      <c r="L793" s="191"/>
      <c r="M793" s="273"/>
      <c r="N793" s="271"/>
    </row>
    <row r="794" spans="2:14" ht="15" customHeight="1">
      <c r="D794" s="271"/>
      <c r="E794" s="271"/>
      <c r="F794" s="271"/>
      <c r="G794" s="271"/>
      <c r="H794" s="271"/>
      <c r="I794" s="271"/>
      <c r="J794" s="271"/>
      <c r="K794" s="271"/>
      <c r="L794" s="271"/>
      <c r="M794" s="273"/>
      <c r="N794" s="271"/>
    </row>
    <row r="795" spans="2:14" ht="15" customHeight="1">
      <c r="D795" s="271"/>
      <c r="E795" s="271"/>
      <c r="F795" s="271"/>
      <c r="G795" s="271"/>
      <c r="H795" s="271"/>
      <c r="I795" s="271"/>
      <c r="J795" s="271"/>
      <c r="K795" s="271"/>
      <c r="L795" s="271"/>
      <c r="M795" s="273"/>
      <c r="N795" s="271"/>
    </row>
    <row r="796" spans="2:14" ht="15" customHeight="1">
      <c r="D796" s="271"/>
      <c r="E796" s="271"/>
      <c r="F796" s="271"/>
      <c r="G796" s="271"/>
      <c r="H796" s="271"/>
      <c r="I796" s="271"/>
      <c r="J796" s="271"/>
      <c r="K796" s="271"/>
      <c r="L796" s="271"/>
      <c r="M796" s="273"/>
      <c r="N796" s="271"/>
    </row>
    <row r="797" spans="2:14" ht="15" customHeight="1">
      <c r="D797" s="271"/>
      <c r="E797" s="271"/>
      <c r="F797" s="271"/>
      <c r="G797" s="271"/>
      <c r="H797" s="271"/>
      <c r="I797" s="271"/>
      <c r="J797" s="271"/>
      <c r="K797" s="271"/>
      <c r="L797" s="271"/>
      <c r="M797" s="273"/>
      <c r="N797" s="271"/>
    </row>
    <row r="798" spans="2:14" ht="15" customHeight="1">
      <c r="D798" s="271"/>
      <c r="E798" s="271"/>
      <c r="F798" s="271"/>
      <c r="G798" s="271"/>
      <c r="H798" s="271"/>
      <c r="I798" s="271"/>
      <c r="J798" s="271"/>
      <c r="K798" s="271"/>
      <c r="L798" s="271"/>
      <c r="M798" s="273"/>
      <c r="N798" s="271"/>
    </row>
    <row r="799" spans="2:14" ht="15" customHeight="1">
      <c r="D799" s="271"/>
      <c r="E799" s="271"/>
      <c r="F799" s="271"/>
      <c r="G799" s="271"/>
      <c r="H799" s="271"/>
      <c r="I799" s="271"/>
      <c r="J799" s="271"/>
      <c r="K799" s="271"/>
      <c r="L799" s="271"/>
      <c r="M799" s="273"/>
      <c r="N799" s="271"/>
    </row>
    <row r="800" spans="2:14" ht="15" customHeight="1">
      <c r="D800" s="271"/>
      <c r="E800" s="271"/>
      <c r="F800" s="271"/>
      <c r="G800" s="271"/>
      <c r="H800" s="271"/>
      <c r="I800" s="271"/>
      <c r="J800" s="271"/>
      <c r="K800" s="271"/>
      <c r="L800" s="271"/>
      <c r="M800" s="273"/>
      <c r="N800" s="271"/>
    </row>
    <row r="801" spans="4:14" ht="15" customHeight="1">
      <c r="D801" s="271"/>
      <c r="E801" s="271"/>
      <c r="F801" s="271"/>
      <c r="G801" s="271"/>
      <c r="H801" s="271"/>
      <c r="I801" s="271"/>
      <c r="J801" s="271"/>
      <c r="K801" s="271"/>
      <c r="L801" s="271"/>
      <c r="M801" s="273"/>
      <c r="N801" s="271"/>
    </row>
    <row r="802" spans="4:14" ht="15" customHeight="1">
      <c r="D802" s="271"/>
      <c r="E802" s="271"/>
      <c r="F802" s="271"/>
      <c r="G802" s="271"/>
      <c r="H802" s="271"/>
      <c r="I802" s="271"/>
      <c r="J802" s="271"/>
      <c r="K802" s="271"/>
      <c r="L802" s="271"/>
      <c r="M802" s="273"/>
      <c r="N802" s="271"/>
    </row>
    <row r="803" spans="4:14" ht="15" customHeight="1">
      <c r="D803" s="271"/>
      <c r="E803" s="271"/>
      <c r="F803" s="271"/>
      <c r="G803" s="271"/>
      <c r="H803" s="271"/>
      <c r="I803" s="271"/>
      <c r="J803" s="271"/>
      <c r="K803" s="271"/>
      <c r="L803" s="271"/>
      <c r="M803" s="273"/>
      <c r="N803" s="271"/>
    </row>
    <row r="804" spans="4:14" ht="15" customHeight="1">
      <c r="D804" s="271"/>
      <c r="E804" s="271"/>
      <c r="F804" s="271"/>
      <c r="G804" s="271"/>
      <c r="H804" s="271"/>
      <c r="I804" s="271"/>
      <c r="J804" s="271"/>
      <c r="K804" s="271"/>
      <c r="L804" s="271"/>
      <c r="M804" s="273"/>
      <c r="N804" s="271"/>
    </row>
    <row r="805" spans="4:14" ht="15" customHeight="1">
      <c r="D805" s="271"/>
      <c r="E805" s="271"/>
      <c r="F805" s="271"/>
      <c r="G805" s="271"/>
      <c r="H805" s="271"/>
      <c r="I805" s="271"/>
      <c r="J805" s="271"/>
      <c r="K805" s="271"/>
      <c r="L805" s="271"/>
      <c r="M805" s="273"/>
      <c r="N805" s="271"/>
    </row>
    <row r="806" spans="4:14" ht="15" customHeight="1">
      <c r="D806" s="271"/>
      <c r="E806" s="271"/>
      <c r="F806" s="271"/>
      <c r="G806" s="271"/>
      <c r="H806" s="271"/>
      <c r="I806" s="271"/>
      <c r="J806" s="271"/>
      <c r="K806" s="271"/>
      <c r="L806" s="271"/>
      <c r="M806" s="273"/>
      <c r="N806" s="271"/>
    </row>
    <row r="807" spans="4:14" ht="15" customHeight="1">
      <c r="D807" s="271"/>
      <c r="E807" s="271"/>
      <c r="F807" s="271"/>
      <c r="G807" s="271"/>
      <c r="H807" s="271"/>
      <c r="I807" s="271"/>
      <c r="J807" s="271"/>
      <c r="K807" s="271"/>
      <c r="L807" s="271"/>
      <c r="M807" s="273"/>
      <c r="N807" s="271"/>
    </row>
    <row r="808" spans="4:14" ht="15" customHeight="1">
      <c r="D808" s="271"/>
      <c r="E808" s="271"/>
      <c r="F808" s="271"/>
      <c r="G808" s="271"/>
      <c r="H808" s="271"/>
      <c r="I808" s="271"/>
      <c r="J808" s="271"/>
      <c r="K808" s="271"/>
      <c r="L808" s="271"/>
      <c r="M808" s="273"/>
      <c r="N808" s="271"/>
    </row>
    <row r="809" spans="4:14" ht="15" customHeight="1">
      <c r="D809" s="271"/>
      <c r="E809" s="271"/>
      <c r="F809" s="271"/>
      <c r="G809" s="271"/>
      <c r="H809" s="271"/>
      <c r="I809" s="271"/>
      <c r="J809" s="271"/>
      <c r="K809" s="271"/>
      <c r="L809" s="271"/>
      <c r="M809" s="273"/>
      <c r="N809" s="271"/>
    </row>
    <row r="810" spans="4:14" ht="15" customHeight="1">
      <c r="D810" s="271"/>
      <c r="E810" s="271"/>
      <c r="F810" s="271"/>
      <c r="G810" s="271"/>
      <c r="H810" s="271"/>
      <c r="I810" s="271"/>
      <c r="J810" s="271"/>
      <c r="K810" s="271"/>
      <c r="L810" s="271"/>
      <c r="M810" s="273"/>
      <c r="N810" s="271"/>
    </row>
    <row r="811" spans="4:14" ht="15" customHeight="1">
      <c r="D811" s="271"/>
      <c r="E811" s="271"/>
      <c r="F811" s="271"/>
      <c r="G811" s="271"/>
      <c r="H811" s="271"/>
      <c r="I811" s="271"/>
      <c r="J811" s="271"/>
      <c r="K811" s="271"/>
      <c r="L811" s="271"/>
      <c r="M811" s="273"/>
      <c r="N811" s="271"/>
    </row>
    <row r="812" spans="4:14" ht="15" customHeight="1">
      <c r="D812" s="271"/>
      <c r="E812" s="271"/>
      <c r="F812" s="271"/>
      <c r="G812" s="271"/>
      <c r="H812" s="271"/>
      <c r="I812" s="271"/>
      <c r="J812" s="271"/>
      <c r="K812" s="271"/>
      <c r="L812" s="271"/>
      <c r="M812" s="273"/>
      <c r="N812" s="271"/>
    </row>
    <row r="813" spans="4:14" ht="15" customHeight="1">
      <c r="D813" s="271"/>
      <c r="E813" s="271"/>
      <c r="F813" s="271"/>
      <c r="G813" s="271"/>
      <c r="H813" s="271"/>
      <c r="I813" s="271"/>
      <c r="J813" s="271"/>
      <c r="K813" s="271"/>
      <c r="L813" s="271"/>
      <c r="M813" s="273"/>
      <c r="N813" s="271"/>
    </row>
    <row r="814" spans="4:14" ht="15" customHeight="1">
      <c r="D814" s="271"/>
      <c r="E814" s="271"/>
      <c r="F814" s="271"/>
      <c r="G814" s="271"/>
      <c r="H814" s="271"/>
      <c r="I814" s="271"/>
      <c r="J814" s="271"/>
      <c r="K814" s="271"/>
      <c r="L814" s="271"/>
      <c r="M814" s="273"/>
      <c r="N814" s="271"/>
    </row>
    <row r="815" spans="4:14" ht="15" customHeight="1">
      <c r="D815" s="271"/>
      <c r="E815" s="271"/>
      <c r="F815" s="271"/>
      <c r="G815" s="271"/>
      <c r="H815" s="271"/>
      <c r="I815" s="271"/>
      <c r="J815" s="271"/>
      <c r="K815" s="271"/>
      <c r="L815" s="271"/>
      <c r="M815" s="273"/>
      <c r="N815" s="271"/>
    </row>
    <row r="816" spans="4:14" ht="15" customHeight="1">
      <c r="D816" s="271"/>
      <c r="E816" s="271"/>
      <c r="F816" s="271"/>
      <c r="G816" s="271"/>
      <c r="H816" s="271"/>
      <c r="I816" s="271"/>
      <c r="J816" s="271"/>
      <c r="K816" s="271"/>
      <c r="L816" s="271"/>
      <c r="M816" s="273"/>
      <c r="N816" s="271"/>
    </row>
    <row r="817" spans="4:14" ht="15" customHeight="1">
      <c r="D817" s="271"/>
      <c r="E817" s="271"/>
      <c r="F817" s="271"/>
      <c r="G817" s="271"/>
      <c r="H817" s="271"/>
      <c r="I817" s="271"/>
      <c r="J817" s="271"/>
      <c r="K817" s="271"/>
      <c r="L817" s="271"/>
      <c r="M817" s="273"/>
      <c r="N817" s="271"/>
    </row>
    <row r="818" spans="4:14" ht="15" customHeight="1">
      <c r="D818" s="271"/>
      <c r="E818" s="271"/>
      <c r="F818" s="271"/>
      <c r="G818" s="271"/>
      <c r="H818" s="271"/>
      <c r="I818" s="271"/>
      <c r="J818" s="271"/>
      <c r="K818" s="271"/>
      <c r="L818" s="271"/>
      <c r="M818" s="273"/>
      <c r="N818" s="271"/>
    </row>
    <row r="819" spans="4:14" ht="15" customHeight="1">
      <c r="D819" s="271"/>
      <c r="E819" s="271"/>
      <c r="F819" s="271"/>
      <c r="G819" s="271"/>
      <c r="H819" s="271"/>
      <c r="I819" s="271"/>
      <c r="J819" s="271"/>
      <c r="K819" s="271"/>
      <c r="L819" s="271"/>
      <c r="M819" s="273"/>
      <c r="N819" s="271"/>
    </row>
    <row r="820" spans="4:14" ht="15" customHeight="1">
      <c r="D820" s="271"/>
      <c r="E820" s="271"/>
      <c r="F820" s="271"/>
      <c r="G820" s="271"/>
      <c r="H820" s="271"/>
      <c r="I820" s="271"/>
      <c r="J820" s="271"/>
      <c r="K820" s="271"/>
      <c r="L820" s="271"/>
      <c r="M820" s="273"/>
      <c r="N820" s="271"/>
    </row>
    <row r="821" spans="4:14" ht="15" customHeight="1">
      <c r="D821" s="271"/>
      <c r="E821" s="271"/>
      <c r="F821" s="271"/>
      <c r="G821" s="271"/>
      <c r="H821" s="271"/>
      <c r="I821" s="271"/>
      <c r="J821" s="271"/>
      <c r="K821" s="271"/>
      <c r="L821" s="271"/>
      <c r="M821" s="273"/>
      <c r="N821" s="271"/>
    </row>
    <row r="822" spans="4:14" ht="15" customHeight="1">
      <c r="D822" s="271"/>
      <c r="E822" s="271"/>
      <c r="F822" s="271"/>
      <c r="G822" s="271"/>
      <c r="H822" s="271"/>
      <c r="I822" s="271"/>
      <c r="J822" s="271"/>
      <c r="K822" s="271"/>
      <c r="L822" s="271"/>
      <c r="M822" s="273"/>
      <c r="N822" s="271"/>
    </row>
    <row r="823" spans="4:14" ht="15" customHeight="1">
      <c r="D823" s="271"/>
      <c r="E823" s="271"/>
      <c r="F823" s="271"/>
      <c r="G823" s="271"/>
      <c r="H823" s="271"/>
      <c r="I823" s="271"/>
      <c r="J823" s="271"/>
      <c r="K823" s="271"/>
      <c r="L823" s="271"/>
      <c r="M823" s="273"/>
      <c r="N823" s="271"/>
    </row>
    <row r="824" spans="4:14" ht="15" customHeight="1">
      <c r="D824" s="271"/>
      <c r="E824" s="271"/>
      <c r="F824" s="271"/>
      <c r="G824" s="271"/>
      <c r="H824" s="271"/>
      <c r="I824" s="271"/>
      <c r="J824" s="271"/>
      <c r="K824" s="271"/>
      <c r="L824" s="271"/>
      <c r="M824" s="273"/>
      <c r="N824" s="271"/>
    </row>
    <row r="825" spans="4:14" ht="15" customHeight="1">
      <c r="D825" s="271"/>
      <c r="E825" s="271"/>
      <c r="F825" s="271"/>
      <c r="G825" s="271"/>
      <c r="H825" s="271"/>
      <c r="I825" s="271"/>
      <c r="J825" s="271"/>
      <c r="K825" s="271"/>
      <c r="L825" s="271"/>
      <c r="M825" s="273"/>
      <c r="N825" s="271"/>
    </row>
    <row r="826" spans="4:14" ht="15" customHeight="1">
      <c r="D826" s="271"/>
      <c r="E826" s="271"/>
      <c r="F826" s="271"/>
      <c r="G826" s="271"/>
      <c r="H826" s="271"/>
      <c r="I826" s="271"/>
      <c r="J826" s="271"/>
      <c r="K826" s="271"/>
      <c r="L826" s="271"/>
      <c r="M826" s="273"/>
      <c r="N826" s="271"/>
    </row>
    <row r="827" spans="4:14" ht="15" customHeight="1">
      <c r="D827" s="271"/>
      <c r="E827" s="271"/>
      <c r="F827" s="271"/>
      <c r="G827" s="271"/>
      <c r="H827" s="271"/>
      <c r="I827" s="271"/>
      <c r="J827" s="271"/>
      <c r="K827" s="271"/>
      <c r="L827" s="271"/>
      <c r="M827" s="273"/>
      <c r="N827" s="271"/>
    </row>
    <row r="828" spans="4:14" ht="15" customHeight="1">
      <c r="D828" s="271"/>
      <c r="E828" s="271"/>
      <c r="F828" s="271"/>
      <c r="G828" s="271"/>
      <c r="H828" s="271"/>
      <c r="I828" s="271"/>
      <c r="J828" s="271"/>
      <c r="K828" s="271"/>
      <c r="L828" s="271"/>
      <c r="M828" s="273"/>
      <c r="N828" s="271"/>
    </row>
    <row r="829" spans="4:14" ht="15" customHeight="1">
      <c r="D829" s="271"/>
      <c r="E829" s="271"/>
      <c r="F829" s="271"/>
      <c r="G829" s="271"/>
      <c r="H829" s="271"/>
      <c r="I829" s="271"/>
      <c r="J829" s="271"/>
      <c r="K829" s="271"/>
      <c r="L829" s="271"/>
      <c r="M829" s="273"/>
      <c r="N829" s="271"/>
    </row>
    <row r="830" spans="4:14" ht="15" customHeight="1">
      <c r="D830" s="271"/>
      <c r="E830" s="271"/>
      <c r="F830" s="271"/>
      <c r="G830" s="271"/>
      <c r="H830" s="271"/>
      <c r="I830" s="271"/>
      <c r="J830" s="271"/>
      <c r="K830" s="271"/>
      <c r="L830" s="271"/>
      <c r="M830" s="273"/>
      <c r="N830" s="271"/>
    </row>
    <row r="831" spans="4:14" ht="15" customHeight="1">
      <c r="D831" s="271"/>
      <c r="E831" s="271"/>
      <c r="F831" s="271"/>
      <c r="G831" s="271"/>
      <c r="H831" s="271"/>
      <c r="I831" s="271"/>
      <c r="J831" s="271"/>
      <c r="K831" s="271"/>
      <c r="L831" s="271"/>
      <c r="M831" s="273"/>
      <c r="N831" s="271"/>
    </row>
    <row r="832" spans="4:14" ht="15" customHeight="1">
      <c r="D832" s="271"/>
      <c r="E832" s="271"/>
      <c r="F832" s="271"/>
      <c r="G832" s="271"/>
      <c r="H832" s="271"/>
      <c r="I832" s="271"/>
      <c r="J832" s="271"/>
      <c r="K832" s="271"/>
      <c r="L832" s="271"/>
      <c r="M832" s="273"/>
      <c r="N832" s="271"/>
    </row>
    <row r="833" spans="4:14" ht="15" customHeight="1">
      <c r="D833" s="271"/>
      <c r="E833" s="271"/>
      <c r="F833" s="271"/>
      <c r="G833" s="271"/>
      <c r="H833" s="271"/>
      <c r="I833" s="271"/>
      <c r="J833" s="271"/>
      <c r="K833" s="271"/>
      <c r="L833" s="271"/>
      <c r="M833" s="273"/>
      <c r="N833" s="271"/>
    </row>
    <row r="834" spans="4:14" ht="15" customHeight="1">
      <c r="D834" s="271"/>
      <c r="E834" s="271"/>
      <c r="F834" s="271"/>
      <c r="G834" s="271"/>
      <c r="H834" s="271"/>
      <c r="I834" s="271"/>
      <c r="J834" s="271"/>
      <c r="K834" s="271"/>
      <c r="L834" s="271"/>
      <c r="M834" s="273"/>
      <c r="N834" s="271"/>
    </row>
    <row r="835" spans="4:14" ht="15" customHeight="1">
      <c r="D835" s="271"/>
      <c r="E835" s="271"/>
      <c r="F835" s="271"/>
      <c r="G835" s="271"/>
      <c r="H835" s="271"/>
      <c r="I835" s="271"/>
      <c r="J835" s="271"/>
      <c r="K835" s="271"/>
      <c r="L835" s="271"/>
      <c r="M835" s="273"/>
      <c r="N835" s="271"/>
    </row>
    <row r="836" spans="4:14" ht="15" customHeight="1">
      <c r="D836" s="271"/>
      <c r="E836" s="271"/>
      <c r="F836" s="271"/>
      <c r="G836" s="271"/>
      <c r="H836" s="271"/>
      <c r="I836" s="271"/>
      <c r="J836" s="271"/>
      <c r="K836" s="271"/>
      <c r="L836" s="271"/>
      <c r="M836" s="273"/>
      <c r="N836" s="271"/>
    </row>
    <row r="837" spans="4:14" ht="15" customHeight="1">
      <c r="D837" s="271"/>
      <c r="E837" s="271"/>
      <c r="F837" s="271"/>
      <c r="G837" s="271"/>
      <c r="H837" s="271"/>
      <c r="I837" s="271"/>
      <c r="J837" s="271"/>
      <c r="K837" s="271"/>
      <c r="L837" s="271"/>
      <c r="M837" s="273"/>
      <c r="N837" s="271"/>
    </row>
    <row r="838" spans="4:14" ht="15" customHeight="1">
      <c r="D838" s="271"/>
      <c r="E838" s="271"/>
      <c r="F838" s="271"/>
      <c r="G838" s="271"/>
      <c r="H838" s="271"/>
      <c r="I838" s="271"/>
      <c r="J838" s="271"/>
      <c r="K838" s="271"/>
      <c r="L838" s="271"/>
      <c r="M838" s="273"/>
      <c r="N838" s="271"/>
    </row>
    <row r="839" spans="4:14" ht="15" customHeight="1">
      <c r="D839" s="271"/>
      <c r="E839" s="271"/>
      <c r="F839" s="271"/>
      <c r="G839" s="271"/>
      <c r="H839" s="271"/>
      <c r="I839" s="271"/>
      <c r="J839" s="271"/>
      <c r="K839" s="271"/>
      <c r="L839" s="271"/>
      <c r="M839" s="273"/>
      <c r="N839" s="271"/>
    </row>
    <row r="840" spans="4:14" ht="15" customHeight="1">
      <c r="D840" s="271"/>
      <c r="E840" s="271"/>
      <c r="F840" s="271"/>
      <c r="G840" s="271"/>
      <c r="H840" s="271"/>
      <c r="I840" s="271"/>
      <c r="J840" s="271"/>
      <c r="K840" s="271"/>
      <c r="L840" s="271"/>
      <c r="M840" s="273"/>
      <c r="N840" s="271"/>
    </row>
    <row r="841" spans="4:14" ht="15" customHeight="1">
      <c r="D841" s="271"/>
      <c r="E841" s="271"/>
      <c r="F841" s="271"/>
      <c r="G841" s="271"/>
      <c r="H841" s="271"/>
      <c r="I841" s="271"/>
      <c r="J841" s="271"/>
      <c r="K841" s="271"/>
      <c r="L841" s="271"/>
      <c r="M841" s="273"/>
      <c r="N841" s="271"/>
    </row>
    <row r="842" spans="4:14" ht="15" customHeight="1">
      <c r="D842" s="271"/>
      <c r="E842" s="271"/>
      <c r="F842" s="271"/>
      <c r="G842" s="271"/>
      <c r="H842" s="271"/>
      <c r="I842" s="271"/>
      <c r="J842" s="271"/>
      <c r="K842" s="271"/>
      <c r="L842" s="271"/>
      <c r="M842" s="273"/>
      <c r="N842" s="271"/>
    </row>
  </sheetData>
  <autoFilter ref="A4:Y842"/>
  <mergeCells count="11">
    <mergeCell ref="A8:M8"/>
    <mergeCell ref="F13:I13"/>
    <mergeCell ref="A11:A12"/>
    <mergeCell ref="B11:B12"/>
    <mergeCell ref="J11:J12"/>
    <mergeCell ref="F11:I12"/>
    <mergeCell ref="E11:E12"/>
    <mergeCell ref="D11:D12"/>
    <mergeCell ref="C11:C12"/>
    <mergeCell ref="K11:K12"/>
    <mergeCell ref="L11:M1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0" fitToHeight="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Q634"/>
  <sheetViews>
    <sheetView zoomScale="80" zoomScaleNormal="80" workbookViewId="0">
      <pane ySplit="4" topLeftCell="A257" activePane="bottomLeft" state="frozen"/>
      <selection activeCell="C24" sqref="C24"/>
      <selection pane="bottomLeft" activeCell="N2" sqref="N2"/>
    </sheetView>
  </sheetViews>
  <sheetFormatPr defaultColWidth="8.85546875" defaultRowHeight="15"/>
  <cols>
    <col min="1" max="1" width="4.7109375" style="140" customWidth="1"/>
    <col min="2" max="2" width="54.42578125" style="140" customWidth="1"/>
    <col min="3" max="3" width="5.5703125" style="140" customWidth="1"/>
    <col min="4" max="4" width="3.7109375" style="140" customWidth="1"/>
    <col min="5" max="5" width="4" style="140" customWidth="1"/>
    <col min="6" max="6" width="3.28515625" style="140" customWidth="1"/>
    <col min="7" max="7" width="2.42578125" style="140" customWidth="1"/>
    <col min="8" max="8" width="2.7109375" style="140" customWidth="1"/>
    <col min="9" max="9" width="7.7109375" style="140" customWidth="1"/>
    <col min="10" max="10" width="5" style="140" customWidth="1"/>
    <col min="11" max="11" width="17.28515625" style="140" hidden="1" customWidth="1"/>
    <col min="12" max="12" width="13.28515625" style="140" customWidth="1"/>
    <col min="13" max="13" width="16.42578125" style="392" customWidth="1"/>
    <col min="14" max="14" width="16" style="392" customWidth="1"/>
    <col min="15" max="16" width="8.85546875" style="140" customWidth="1"/>
    <col min="17" max="17" width="19.28515625" style="140" customWidth="1"/>
    <col min="18" max="16384" width="8.85546875" style="140"/>
  </cols>
  <sheetData>
    <row r="1" spans="1:14" ht="18.75">
      <c r="H1" s="193"/>
      <c r="I1" s="200"/>
      <c r="J1" s="193"/>
      <c r="K1" s="193"/>
      <c r="L1" s="193"/>
      <c r="M1" s="193"/>
      <c r="N1" s="200" t="s">
        <v>569</v>
      </c>
    </row>
    <row r="2" spans="1:14" ht="18.75" customHeight="1">
      <c r="H2" s="193"/>
      <c r="I2" s="200"/>
      <c r="J2" s="193"/>
      <c r="K2" s="193"/>
      <c r="L2" s="193"/>
      <c r="M2" s="193"/>
      <c r="N2" s="200" t="s">
        <v>1030</v>
      </c>
    </row>
    <row r="4" spans="1:14" ht="18.75">
      <c r="N4" s="200" t="s">
        <v>493</v>
      </c>
    </row>
    <row r="5" spans="1:14" ht="18.75">
      <c r="N5" s="495" t="s">
        <v>917</v>
      </c>
    </row>
    <row r="8" spans="1:14" ht="17.45" customHeight="1">
      <c r="A8" s="959" t="s">
        <v>781</v>
      </c>
      <c r="B8" s="959"/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</row>
    <row r="9" spans="1:14" ht="17.45" customHeight="1">
      <c r="A9" s="743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</row>
    <row r="10" spans="1:14" ht="17.45" customHeight="1">
      <c r="A10" s="743"/>
      <c r="B10" s="743"/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</row>
    <row r="11" spans="1:14" ht="18.75">
      <c r="A11" s="141"/>
      <c r="B11" s="142"/>
      <c r="C11" s="143"/>
      <c r="D11" s="143"/>
      <c r="E11" s="143"/>
      <c r="F11" s="143"/>
      <c r="G11" s="141"/>
      <c r="H11" s="144"/>
      <c r="I11" s="145"/>
      <c r="J11" s="146"/>
      <c r="K11" s="146"/>
      <c r="L11" s="146"/>
      <c r="N11" s="393" t="s">
        <v>42</v>
      </c>
    </row>
    <row r="12" spans="1:14" ht="18" customHeight="1">
      <c r="A12" s="988" t="s">
        <v>43</v>
      </c>
      <c r="B12" s="989" t="s">
        <v>44</v>
      </c>
      <c r="C12" s="990" t="s">
        <v>45</v>
      </c>
      <c r="D12" s="990" t="s">
        <v>46</v>
      </c>
      <c r="E12" s="990" t="s">
        <v>47</v>
      </c>
      <c r="F12" s="991" t="s">
        <v>48</v>
      </c>
      <c r="G12" s="990"/>
      <c r="H12" s="990"/>
      <c r="I12" s="990"/>
      <c r="J12" s="990" t="s">
        <v>49</v>
      </c>
      <c r="K12" s="995" t="s">
        <v>918</v>
      </c>
      <c r="L12" s="994" t="s">
        <v>580</v>
      </c>
      <c r="M12" s="987"/>
      <c r="N12" s="992" t="s">
        <v>773</v>
      </c>
    </row>
    <row r="13" spans="1:14" ht="34.9" customHeight="1">
      <c r="A13" s="988"/>
      <c r="B13" s="989"/>
      <c r="C13" s="990"/>
      <c r="D13" s="990"/>
      <c r="E13" s="990"/>
      <c r="F13" s="991"/>
      <c r="G13" s="990"/>
      <c r="H13" s="990"/>
      <c r="I13" s="990"/>
      <c r="J13" s="990"/>
      <c r="K13" s="996"/>
      <c r="L13" s="695" t="s">
        <v>919</v>
      </c>
      <c r="M13" s="696" t="s">
        <v>920</v>
      </c>
      <c r="N13" s="993"/>
    </row>
    <row r="14" spans="1:14" ht="18.75">
      <c r="A14" s="147">
        <v>1</v>
      </c>
      <c r="B14" s="148">
        <v>2</v>
      </c>
      <c r="C14" s="149" t="s">
        <v>50</v>
      </c>
      <c r="D14" s="149" t="s">
        <v>51</v>
      </c>
      <c r="E14" s="149" t="s">
        <v>52</v>
      </c>
      <c r="F14" s="970" t="s">
        <v>53</v>
      </c>
      <c r="G14" s="970"/>
      <c r="H14" s="970"/>
      <c r="I14" s="971"/>
      <c r="J14" s="149" t="s">
        <v>54</v>
      </c>
      <c r="K14" s="149"/>
      <c r="L14" s="149" t="s">
        <v>877</v>
      </c>
      <c r="M14" s="184">
        <v>9</v>
      </c>
      <c r="N14" s="184">
        <v>10</v>
      </c>
    </row>
    <row r="15" spans="1:14" ht="25.15" customHeight="1">
      <c r="A15" s="150">
        <v>1</v>
      </c>
      <c r="B15" s="394" t="s">
        <v>224</v>
      </c>
      <c r="C15" s="152"/>
      <c r="D15" s="153"/>
      <c r="E15" s="153"/>
      <c r="F15" s="155"/>
      <c r="G15" s="155"/>
      <c r="H15" s="155"/>
      <c r="I15" s="156"/>
      <c r="J15" s="153"/>
      <c r="K15" s="822">
        <f>K17+K177+K204+K214+K400+K455+K495+K527+K565+K279</f>
        <v>1484755.3</v>
      </c>
      <c r="L15" s="377">
        <f>L17+L177+L204+L214+L400+L455+L495+L527+L565+L279</f>
        <v>87112</v>
      </c>
      <c r="M15" s="377">
        <f>M17+M177+M204+M214+M400+M455+M495+M527+M565+M279</f>
        <v>1571867.3</v>
      </c>
      <c r="N15" s="377">
        <f>N17+N177+N204+N214+N400+N455+N495+N527+N565+N279</f>
        <v>1512134.5</v>
      </c>
    </row>
    <row r="16" spans="1:14" ht="25.15" customHeight="1">
      <c r="A16" s="150"/>
      <c r="B16" s="151"/>
      <c r="C16" s="152"/>
      <c r="D16" s="153"/>
      <c r="E16" s="153"/>
      <c r="F16" s="155"/>
      <c r="G16" s="155"/>
      <c r="H16" s="155"/>
      <c r="I16" s="156"/>
      <c r="J16" s="153"/>
      <c r="K16" s="822"/>
      <c r="L16" s="377"/>
      <c r="M16" s="377"/>
      <c r="N16" s="377"/>
    </row>
    <row r="17" spans="1:14" s="395" customFormat="1" ht="37.5">
      <c r="A17" s="390">
        <v>1</v>
      </c>
      <c r="B17" s="157" t="s">
        <v>1</v>
      </c>
      <c r="C17" s="158" t="s">
        <v>3</v>
      </c>
      <c r="D17" s="159"/>
      <c r="E17" s="159"/>
      <c r="F17" s="160"/>
      <c r="G17" s="161"/>
      <c r="H17" s="161"/>
      <c r="I17" s="162"/>
      <c r="J17" s="159"/>
      <c r="K17" s="823">
        <f>K18+K82+K108+K156+K169+K147</f>
        <v>121149.39999999998</v>
      </c>
      <c r="L17" s="188">
        <f>L18+L82+L108+L156+L169+L147</f>
        <v>0</v>
      </c>
      <c r="M17" s="188">
        <f>M18+M82+M108+M156+M169+M147</f>
        <v>121149.39999999998</v>
      </c>
      <c r="N17" s="188">
        <f>N18+N82+N108+N156+N169+N147</f>
        <v>147816.1</v>
      </c>
    </row>
    <row r="18" spans="1:14" s="396" customFormat="1" ht="18.75">
      <c r="A18" s="150"/>
      <c r="B18" s="163" t="s">
        <v>56</v>
      </c>
      <c r="C18" s="164" t="s">
        <v>3</v>
      </c>
      <c r="D18" s="149" t="s">
        <v>57</v>
      </c>
      <c r="E18" s="149"/>
      <c r="F18" s="750"/>
      <c r="G18" s="751"/>
      <c r="H18" s="751"/>
      <c r="I18" s="752"/>
      <c r="J18" s="149"/>
      <c r="K18" s="824">
        <f>K19+K25+K54+K48+K59</f>
        <v>83294.399999999994</v>
      </c>
      <c r="L18" s="165">
        <f>L19+L25+L54+L48+L59</f>
        <v>0</v>
      </c>
      <c r="M18" s="165">
        <f>M19+M25+M54+M48+M59</f>
        <v>83294.399999999994</v>
      </c>
      <c r="N18" s="165">
        <f>N19+N25+N54+N48+N59</f>
        <v>83276</v>
      </c>
    </row>
    <row r="19" spans="1:14" s="391" customFormat="1" ht="56.25">
      <c r="A19" s="150"/>
      <c r="B19" s="163" t="s">
        <v>58</v>
      </c>
      <c r="C19" s="164" t="s">
        <v>3</v>
      </c>
      <c r="D19" s="149" t="s">
        <v>57</v>
      </c>
      <c r="E19" s="149" t="s">
        <v>59</v>
      </c>
      <c r="F19" s="750"/>
      <c r="G19" s="751"/>
      <c r="H19" s="751"/>
      <c r="I19" s="752"/>
      <c r="J19" s="149"/>
      <c r="K19" s="824">
        <f t="shared" ref="K19:N23" si="0">K20</f>
        <v>2128.5</v>
      </c>
      <c r="L19" s="165">
        <f t="shared" si="0"/>
        <v>0</v>
      </c>
      <c r="M19" s="165">
        <f t="shared" si="0"/>
        <v>2128.5</v>
      </c>
      <c r="N19" s="165">
        <f t="shared" si="0"/>
        <v>2128.5</v>
      </c>
    </row>
    <row r="20" spans="1:14" s="391" customFormat="1" ht="59.25" customHeight="1">
      <c r="A20" s="150"/>
      <c r="B20" s="163" t="s">
        <v>60</v>
      </c>
      <c r="C20" s="164" t="s">
        <v>3</v>
      </c>
      <c r="D20" s="149" t="s">
        <v>57</v>
      </c>
      <c r="E20" s="149" t="s">
        <v>59</v>
      </c>
      <c r="F20" s="750" t="s">
        <v>61</v>
      </c>
      <c r="G20" s="751" t="s">
        <v>62</v>
      </c>
      <c r="H20" s="751" t="s">
        <v>63</v>
      </c>
      <c r="I20" s="752" t="s">
        <v>64</v>
      </c>
      <c r="J20" s="149"/>
      <c r="K20" s="824">
        <f t="shared" si="0"/>
        <v>2128.5</v>
      </c>
      <c r="L20" s="165">
        <f t="shared" si="0"/>
        <v>0</v>
      </c>
      <c r="M20" s="165">
        <f t="shared" si="0"/>
        <v>2128.5</v>
      </c>
      <c r="N20" s="165">
        <f t="shared" si="0"/>
        <v>2128.5</v>
      </c>
    </row>
    <row r="21" spans="1:14" s="391" customFormat="1" ht="37.5">
      <c r="A21" s="150"/>
      <c r="B21" s="163" t="s">
        <v>404</v>
      </c>
      <c r="C21" s="164" t="s">
        <v>3</v>
      </c>
      <c r="D21" s="149" t="s">
        <v>57</v>
      </c>
      <c r="E21" s="149" t="s">
        <v>59</v>
      </c>
      <c r="F21" s="750" t="s">
        <v>61</v>
      </c>
      <c r="G21" s="751" t="s">
        <v>65</v>
      </c>
      <c r="H21" s="751" t="s">
        <v>63</v>
      </c>
      <c r="I21" s="752" t="s">
        <v>64</v>
      </c>
      <c r="J21" s="149"/>
      <c r="K21" s="824">
        <f t="shared" si="0"/>
        <v>2128.5</v>
      </c>
      <c r="L21" s="165">
        <f t="shared" si="0"/>
        <v>0</v>
      </c>
      <c r="M21" s="165">
        <f t="shared" si="0"/>
        <v>2128.5</v>
      </c>
      <c r="N21" s="165">
        <f t="shared" si="0"/>
        <v>2128.5</v>
      </c>
    </row>
    <row r="22" spans="1:14" s="391" customFormat="1" ht="56.25">
      <c r="A22" s="150"/>
      <c r="B22" s="163" t="s">
        <v>66</v>
      </c>
      <c r="C22" s="164" t="s">
        <v>3</v>
      </c>
      <c r="D22" s="149" t="s">
        <v>57</v>
      </c>
      <c r="E22" s="149" t="s">
        <v>59</v>
      </c>
      <c r="F22" s="750" t="s">
        <v>61</v>
      </c>
      <c r="G22" s="751" t="s">
        <v>65</v>
      </c>
      <c r="H22" s="751" t="s">
        <v>57</v>
      </c>
      <c r="I22" s="752" t="s">
        <v>64</v>
      </c>
      <c r="J22" s="149"/>
      <c r="K22" s="824">
        <f t="shared" si="0"/>
        <v>2128.5</v>
      </c>
      <c r="L22" s="165">
        <f t="shared" si="0"/>
        <v>0</v>
      </c>
      <c r="M22" s="165">
        <f t="shared" si="0"/>
        <v>2128.5</v>
      </c>
      <c r="N22" s="165">
        <f t="shared" si="0"/>
        <v>2128.5</v>
      </c>
    </row>
    <row r="23" spans="1:14" s="391" customFormat="1" ht="37.5">
      <c r="A23" s="150"/>
      <c r="B23" s="163" t="s">
        <v>67</v>
      </c>
      <c r="C23" s="164" t="s">
        <v>3</v>
      </c>
      <c r="D23" s="149" t="s">
        <v>57</v>
      </c>
      <c r="E23" s="149" t="s">
        <v>59</v>
      </c>
      <c r="F23" s="750" t="s">
        <v>61</v>
      </c>
      <c r="G23" s="751" t="s">
        <v>65</v>
      </c>
      <c r="H23" s="751" t="s">
        <v>57</v>
      </c>
      <c r="I23" s="752" t="s">
        <v>68</v>
      </c>
      <c r="J23" s="149"/>
      <c r="K23" s="824">
        <f t="shared" si="0"/>
        <v>2128.5</v>
      </c>
      <c r="L23" s="165">
        <f t="shared" si="0"/>
        <v>0</v>
      </c>
      <c r="M23" s="165">
        <f t="shared" si="0"/>
        <v>2128.5</v>
      </c>
      <c r="N23" s="165">
        <f t="shared" si="0"/>
        <v>2128.5</v>
      </c>
    </row>
    <row r="24" spans="1:14" s="391" customFormat="1" ht="112.5">
      <c r="A24" s="150"/>
      <c r="B24" s="163" t="s">
        <v>69</v>
      </c>
      <c r="C24" s="164" t="s">
        <v>3</v>
      </c>
      <c r="D24" s="149" t="s">
        <v>57</v>
      </c>
      <c r="E24" s="149" t="s">
        <v>59</v>
      </c>
      <c r="F24" s="750" t="s">
        <v>61</v>
      </c>
      <c r="G24" s="751" t="s">
        <v>65</v>
      </c>
      <c r="H24" s="751" t="s">
        <v>57</v>
      </c>
      <c r="I24" s="752" t="s">
        <v>68</v>
      </c>
      <c r="J24" s="149" t="s">
        <v>70</v>
      </c>
      <c r="K24" s="824">
        <v>2128.5</v>
      </c>
      <c r="L24" s="165">
        <f>M24-K24</f>
        <v>0</v>
      </c>
      <c r="M24" s="165">
        <v>2128.5</v>
      </c>
      <c r="N24" s="165">
        <v>2128.5</v>
      </c>
    </row>
    <row r="25" spans="1:14" s="396" customFormat="1" ht="77.25" customHeight="1">
      <c r="A25" s="150"/>
      <c r="B25" s="163" t="s">
        <v>71</v>
      </c>
      <c r="C25" s="164" t="s">
        <v>3</v>
      </c>
      <c r="D25" s="149" t="s">
        <v>57</v>
      </c>
      <c r="E25" s="149" t="s">
        <v>72</v>
      </c>
      <c r="F25" s="750"/>
      <c r="G25" s="751"/>
      <c r="H25" s="751"/>
      <c r="I25" s="752"/>
      <c r="J25" s="149"/>
      <c r="K25" s="824">
        <f t="shared" ref="K25:N26" si="1">K26</f>
        <v>72075.899999999994</v>
      </c>
      <c r="L25" s="165">
        <f t="shared" si="1"/>
        <v>0</v>
      </c>
      <c r="M25" s="165">
        <f t="shared" si="1"/>
        <v>72075.899999999994</v>
      </c>
      <c r="N25" s="165">
        <f t="shared" si="1"/>
        <v>72150.2</v>
      </c>
    </row>
    <row r="26" spans="1:14" s="396" customFormat="1" ht="60.75" customHeight="1">
      <c r="A26" s="150"/>
      <c r="B26" s="163" t="s">
        <v>73</v>
      </c>
      <c r="C26" s="164" t="s">
        <v>3</v>
      </c>
      <c r="D26" s="149" t="s">
        <v>57</v>
      </c>
      <c r="E26" s="149" t="s">
        <v>72</v>
      </c>
      <c r="F26" s="750" t="s">
        <v>61</v>
      </c>
      <c r="G26" s="751" t="s">
        <v>62</v>
      </c>
      <c r="H26" s="751" t="s">
        <v>63</v>
      </c>
      <c r="I26" s="752" t="s">
        <v>64</v>
      </c>
      <c r="J26" s="149"/>
      <c r="K26" s="824">
        <f t="shared" si="1"/>
        <v>72075.899999999994</v>
      </c>
      <c r="L26" s="165">
        <f t="shared" si="1"/>
        <v>0</v>
      </c>
      <c r="M26" s="165">
        <f t="shared" si="1"/>
        <v>72075.899999999994</v>
      </c>
      <c r="N26" s="165">
        <f t="shared" si="1"/>
        <v>72150.2</v>
      </c>
    </row>
    <row r="27" spans="1:14" s="146" customFormat="1" ht="37.5">
      <c r="A27" s="150"/>
      <c r="B27" s="163" t="s">
        <v>404</v>
      </c>
      <c r="C27" s="164" t="s">
        <v>3</v>
      </c>
      <c r="D27" s="149" t="s">
        <v>57</v>
      </c>
      <c r="E27" s="149" t="s">
        <v>72</v>
      </c>
      <c r="F27" s="750" t="s">
        <v>61</v>
      </c>
      <c r="G27" s="751" t="s">
        <v>65</v>
      </c>
      <c r="H27" s="751" t="s">
        <v>63</v>
      </c>
      <c r="I27" s="752" t="s">
        <v>64</v>
      </c>
      <c r="J27" s="149"/>
      <c r="K27" s="824">
        <f>K28+K45</f>
        <v>72075.899999999994</v>
      </c>
      <c r="L27" s="165">
        <f>L28+L45</f>
        <v>0</v>
      </c>
      <c r="M27" s="165">
        <f>M28+M45</f>
        <v>72075.899999999994</v>
      </c>
      <c r="N27" s="165">
        <f>N28+N45</f>
        <v>72150.2</v>
      </c>
    </row>
    <row r="28" spans="1:14" s="146" customFormat="1" ht="37.5">
      <c r="A28" s="150"/>
      <c r="B28" s="163" t="s">
        <v>74</v>
      </c>
      <c r="C28" s="164" t="s">
        <v>3</v>
      </c>
      <c r="D28" s="149" t="s">
        <v>57</v>
      </c>
      <c r="E28" s="149" t="s">
        <v>72</v>
      </c>
      <c r="F28" s="750" t="s">
        <v>61</v>
      </c>
      <c r="G28" s="751" t="s">
        <v>65</v>
      </c>
      <c r="H28" s="751" t="s">
        <v>59</v>
      </c>
      <c r="I28" s="752" t="s">
        <v>64</v>
      </c>
      <c r="J28" s="149"/>
      <c r="K28" s="824">
        <f>K29+K35+K37+K40+K33+K43</f>
        <v>71962.7</v>
      </c>
      <c r="L28" s="165">
        <f>L29+L35+L37+L40+L33+L43</f>
        <v>0</v>
      </c>
      <c r="M28" s="165">
        <f>M29+M35+M37+M40+M33+M43</f>
        <v>71962.7</v>
      </c>
      <c r="N28" s="165">
        <f>N29+N35+N37+N40+N33+N43</f>
        <v>72037</v>
      </c>
    </row>
    <row r="29" spans="1:14" s="391" customFormat="1" ht="37.5">
      <c r="A29" s="150"/>
      <c r="B29" s="163" t="s">
        <v>67</v>
      </c>
      <c r="C29" s="164" t="s">
        <v>3</v>
      </c>
      <c r="D29" s="149" t="s">
        <v>57</v>
      </c>
      <c r="E29" s="149" t="s">
        <v>72</v>
      </c>
      <c r="F29" s="750" t="s">
        <v>61</v>
      </c>
      <c r="G29" s="751" t="s">
        <v>65</v>
      </c>
      <c r="H29" s="751" t="s">
        <v>59</v>
      </c>
      <c r="I29" s="752" t="s">
        <v>68</v>
      </c>
      <c r="J29" s="149"/>
      <c r="K29" s="824">
        <f>K30+K31+K32</f>
        <v>67115.899999999994</v>
      </c>
      <c r="L29" s="165">
        <f>L30+L31+L32</f>
        <v>0</v>
      </c>
      <c r="M29" s="165">
        <f>M30+M31+M32</f>
        <v>67115.899999999994</v>
      </c>
      <c r="N29" s="165">
        <f>N30+N31+N32</f>
        <v>67190.2</v>
      </c>
    </row>
    <row r="30" spans="1:14" s="391" customFormat="1" ht="112.5">
      <c r="A30" s="150"/>
      <c r="B30" s="163" t="s">
        <v>69</v>
      </c>
      <c r="C30" s="164" t="s">
        <v>3</v>
      </c>
      <c r="D30" s="149" t="s">
        <v>57</v>
      </c>
      <c r="E30" s="149" t="s">
        <v>72</v>
      </c>
      <c r="F30" s="750" t="s">
        <v>61</v>
      </c>
      <c r="G30" s="751" t="s">
        <v>65</v>
      </c>
      <c r="H30" s="751" t="s">
        <v>59</v>
      </c>
      <c r="I30" s="752" t="s">
        <v>68</v>
      </c>
      <c r="J30" s="149" t="s">
        <v>70</v>
      </c>
      <c r="K30" s="824">
        <v>61571.199999999997</v>
      </c>
      <c r="L30" s="165">
        <f>M30-K30</f>
        <v>0</v>
      </c>
      <c r="M30" s="165">
        <v>61571.199999999997</v>
      </c>
      <c r="N30" s="165">
        <v>61571.199999999997</v>
      </c>
    </row>
    <row r="31" spans="1:14" s="146" customFormat="1" ht="56.25">
      <c r="A31" s="150"/>
      <c r="B31" s="163" t="s">
        <v>75</v>
      </c>
      <c r="C31" s="164" t="s">
        <v>3</v>
      </c>
      <c r="D31" s="149" t="s">
        <v>57</v>
      </c>
      <c r="E31" s="149" t="s">
        <v>72</v>
      </c>
      <c r="F31" s="750" t="s">
        <v>61</v>
      </c>
      <c r="G31" s="751" t="s">
        <v>65</v>
      </c>
      <c r="H31" s="751" t="s">
        <v>59</v>
      </c>
      <c r="I31" s="752" t="s">
        <v>68</v>
      </c>
      <c r="J31" s="149" t="s">
        <v>76</v>
      </c>
      <c r="K31" s="824">
        <v>5452.8</v>
      </c>
      <c r="L31" s="165">
        <f>M31-K31</f>
        <v>0</v>
      </c>
      <c r="M31" s="165">
        <v>5452.8</v>
      </c>
      <c r="N31" s="165">
        <v>5527.1</v>
      </c>
    </row>
    <row r="32" spans="1:14" s="391" customFormat="1" ht="18.75">
      <c r="A32" s="150"/>
      <c r="B32" s="163" t="s">
        <v>77</v>
      </c>
      <c r="C32" s="164" t="s">
        <v>3</v>
      </c>
      <c r="D32" s="149" t="s">
        <v>57</v>
      </c>
      <c r="E32" s="149" t="s">
        <v>72</v>
      </c>
      <c r="F32" s="750" t="s">
        <v>61</v>
      </c>
      <c r="G32" s="751" t="s">
        <v>65</v>
      </c>
      <c r="H32" s="751" t="s">
        <v>59</v>
      </c>
      <c r="I32" s="752" t="s">
        <v>68</v>
      </c>
      <c r="J32" s="149" t="s">
        <v>78</v>
      </c>
      <c r="K32" s="824">
        <v>91.9</v>
      </c>
      <c r="L32" s="165">
        <f>M32-K32</f>
        <v>0</v>
      </c>
      <c r="M32" s="165">
        <v>91.9</v>
      </c>
      <c r="N32" s="165">
        <v>91.9</v>
      </c>
    </row>
    <row r="33" spans="1:14" s="396" customFormat="1" ht="94.5" customHeight="1">
      <c r="A33" s="150"/>
      <c r="B33" s="163" t="s">
        <v>747</v>
      </c>
      <c r="C33" s="164" t="s">
        <v>3</v>
      </c>
      <c r="D33" s="149" t="s">
        <v>57</v>
      </c>
      <c r="E33" s="149" t="s">
        <v>72</v>
      </c>
      <c r="F33" s="750" t="s">
        <v>61</v>
      </c>
      <c r="G33" s="751" t="s">
        <v>65</v>
      </c>
      <c r="H33" s="751" t="s">
        <v>59</v>
      </c>
      <c r="I33" s="752" t="s">
        <v>305</v>
      </c>
      <c r="J33" s="149"/>
      <c r="K33" s="824">
        <f>K34</f>
        <v>66</v>
      </c>
      <c r="L33" s="165">
        <f>L34</f>
        <v>0</v>
      </c>
      <c r="M33" s="165">
        <f>M34</f>
        <v>66</v>
      </c>
      <c r="N33" s="165">
        <f>N34</f>
        <v>66</v>
      </c>
    </row>
    <row r="34" spans="1:14" s="396" customFormat="1" ht="56.25">
      <c r="A34" s="150"/>
      <c r="B34" s="163" t="s">
        <v>75</v>
      </c>
      <c r="C34" s="164" t="s">
        <v>3</v>
      </c>
      <c r="D34" s="149" t="s">
        <v>57</v>
      </c>
      <c r="E34" s="149" t="s">
        <v>72</v>
      </c>
      <c r="F34" s="750" t="s">
        <v>61</v>
      </c>
      <c r="G34" s="751" t="s">
        <v>65</v>
      </c>
      <c r="H34" s="751" t="s">
        <v>59</v>
      </c>
      <c r="I34" s="752" t="s">
        <v>305</v>
      </c>
      <c r="J34" s="149" t="s">
        <v>76</v>
      </c>
      <c r="K34" s="824">
        <v>66</v>
      </c>
      <c r="L34" s="165">
        <f>M34-K34</f>
        <v>0</v>
      </c>
      <c r="M34" s="165">
        <v>66</v>
      </c>
      <c r="N34" s="165">
        <v>66</v>
      </c>
    </row>
    <row r="35" spans="1:14" s="396" customFormat="1" ht="204.75" customHeight="1">
      <c r="A35" s="150"/>
      <c r="B35" s="195" t="s">
        <v>757</v>
      </c>
      <c r="C35" s="164" t="s">
        <v>3</v>
      </c>
      <c r="D35" s="149" t="s">
        <v>57</v>
      </c>
      <c r="E35" s="149" t="s">
        <v>72</v>
      </c>
      <c r="F35" s="750" t="s">
        <v>61</v>
      </c>
      <c r="G35" s="751" t="s">
        <v>65</v>
      </c>
      <c r="H35" s="751" t="s">
        <v>59</v>
      </c>
      <c r="I35" s="752" t="s">
        <v>79</v>
      </c>
      <c r="J35" s="149"/>
      <c r="K35" s="824">
        <f>K36</f>
        <v>636.5</v>
      </c>
      <c r="L35" s="165">
        <f>L36</f>
        <v>0</v>
      </c>
      <c r="M35" s="165">
        <f>M36</f>
        <v>636.5</v>
      </c>
      <c r="N35" s="165">
        <f>N36</f>
        <v>636.5</v>
      </c>
    </row>
    <row r="36" spans="1:14" s="396" customFormat="1" ht="112.5">
      <c r="A36" s="150"/>
      <c r="B36" s="163" t="s">
        <v>69</v>
      </c>
      <c r="C36" s="164" t="s">
        <v>3</v>
      </c>
      <c r="D36" s="149" t="s">
        <v>57</v>
      </c>
      <c r="E36" s="149" t="s">
        <v>72</v>
      </c>
      <c r="F36" s="750" t="s">
        <v>61</v>
      </c>
      <c r="G36" s="751" t="s">
        <v>65</v>
      </c>
      <c r="H36" s="751" t="s">
        <v>59</v>
      </c>
      <c r="I36" s="752" t="s">
        <v>79</v>
      </c>
      <c r="J36" s="149" t="s">
        <v>70</v>
      </c>
      <c r="K36" s="824">
        <v>636.5</v>
      </c>
      <c r="L36" s="165">
        <f>M36-K36</f>
        <v>0</v>
      </c>
      <c r="M36" s="165">
        <v>636.5</v>
      </c>
      <c r="N36" s="165">
        <v>636.5</v>
      </c>
    </row>
    <row r="37" spans="1:14" s="396" customFormat="1" ht="78.75" customHeight="1">
      <c r="A37" s="150"/>
      <c r="B37" s="163" t="s">
        <v>80</v>
      </c>
      <c r="C37" s="164" t="s">
        <v>3</v>
      </c>
      <c r="D37" s="149" t="s">
        <v>57</v>
      </c>
      <c r="E37" s="149" t="s">
        <v>72</v>
      </c>
      <c r="F37" s="750" t="s">
        <v>61</v>
      </c>
      <c r="G37" s="751" t="s">
        <v>65</v>
      </c>
      <c r="H37" s="751" t="s">
        <v>59</v>
      </c>
      <c r="I37" s="752" t="s">
        <v>81</v>
      </c>
      <c r="J37" s="149"/>
      <c r="K37" s="824">
        <f>SUM(K38:K39)</f>
        <v>3441.6000000000004</v>
      </c>
      <c r="L37" s="165">
        <f>SUM(L38:L39)</f>
        <v>0</v>
      </c>
      <c r="M37" s="165">
        <f>SUM(M38:M39)</f>
        <v>3441.6000000000004</v>
      </c>
      <c r="N37" s="165">
        <f>SUM(N38:N39)</f>
        <v>3441.6000000000004</v>
      </c>
    </row>
    <row r="38" spans="1:14" s="396" customFormat="1" ht="112.5">
      <c r="A38" s="150"/>
      <c r="B38" s="163" t="s">
        <v>69</v>
      </c>
      <c r="C38" s="164" t="s">
        <v>3</v>
      </c>
      <c r="D38" s="149" t="s">
        <v>57</v>
      </c>
      <c r="E38" s="149" t="s">
        <v>72</v>
      </c>
      <c r="F38" s="750" t="s">
        <v>61</v>
      </c>
      <c r="G38" s="751" t="s">
        <v>65</v>
      </c>
      <c r="H38" s="751" t="s">
        <v>59</v>
      </c>
      <c r="I38" s="752" t="s">
        <v>81</v>
      </c>
      <c r="J38" s="149" t="s">
        <v>70</v>
      </c>
      <c r="K38" s="824">
        <v>3372.8</v>
      </c>
      <c r="L38" s="165">
        <f>M38-K38</f>
        <v>0</v>
      </c>
      <c r="M38" s="165">
        <v>3372.8</v>
      </c>
      <c r="N38" s="165">
        <v>3372.8</v>
      </c>
    </row>
    <row r="39" spans="1:14" s="396" customFormat="1" ht="56.25">
      <c r="A39" s="150"/>
      <c r="B39" s="163" t="s">
        <v>75</v>
      </c>
      <c r="C39" s="164" t="s">
        <v>3</v>
      </c>
      <c r="D39" s="149" t="s">
        <v>57</v>
      </c>
      <c r="E39" s="149" t="s">
        <v>72</v>
      </c>
      <c r="F39" s="750" t="s">
        <v>61</v>
      </c>
      <c r="G39" s="751" t="s">
        <v>65</v>
      </c>
      <c r="H39" s="751" t="s">
        <v>59</v>
      </c>
      <c r="I39" s="752" t="s">
        <v>81</v>
      </c>
      <c r="J39" s="149" t="s">
        <v>76</v>
      </c>
      <c r="K39" s="824">
        <v>68.8</v>
      </c>
      <c r="L39" s="165">
        <f>M39-K39</f>
        <v>0</v>
      </c>
      <c r="M39" s="165">
        <v>68.8</v>
      </c>
      <c r="N39" s="165">
        <v>68.8</v>
      </c>
    </row>
    <row r="40" spans="1:14" s="396" customFormat="1" ht="75">
      <c r="A40" s="150"/>
      <c r="B40" s="163" t="s">
        <v>582</v>
      </c>
      <c r="C40" s="164" t="s">
        <v>3</v>
      </c>
      <c r="D40" s="149" t="s">
        <v>57</v>
      </c>
      <c r="E40" s="149" t="s">
        <v>72</v>
      </c>
      <c r="F40" s="750" t="s">
        <v>61</v>
      </c>
      <c r="G40" s="751" t="s">
        <v>65</v>
      </c>
      <c r="H40" s="751" t="s">
        <v>59</v>
      </c>
      <c r="I40" s="752" t="s">
        <v>82</v>
      </c>
      <c r="J40" s="149"/>
      <c r="K40" s="824">
        <f>K41+K42</f>
        <v>636.70000000000005</v>
      </c>
      <c r="L40" s="165">
        <f>L41+L42</f>
        <v>0</v>
      </c>
      <c r="M40" s="165">
        <f>M41+M42</f>
        <v>636.70000000000005</v>
      </c>
      <c r="N40" s="165">
        <f>N41+N42</f>
        <v>636.70000000000005</v>
      </c>
    </row>
    <row r="41" spans="1:14" s="396" customFormat="1" ht="112.5">
      <c r="A41" s="150"/>
      <c r="B41" s="163" t="s">
        <v>69</v>
      </c>
      <c r="C41" s="164" t="s">
        <v>3</v>
      </c>
      <c r="D41" s="149" t="s">
        <v>57</v>
      </c>
      <c r="E41" s="149" t="s">
        <v>72</v>
      </c>
      <c r="F41" s="750" t="s">
        <v>61</v>
      </c>
      <c r="G41" s="751" t="s">
        <v>65</v>
      </c>
      <c r="H41" s="751" t="s">
        <v>59</v>
      </c>
      <c r="I41" s="752" t="s">
        <v>82</v>
      </c>
      <c r="J41" s="149" t="s">
        <v>70</v>
      </c>
      <c r="K41" s="824">
        <v>632.5</v>
      </c>
      <c r="L41" s="165">
        <f>M41-K41</f>
        <v>0</v>
      </c>
      <c r="M41" s="165">
        <v>632.5</v>
      </c>
      <c r="N41" s="165">
        <v>632.5</v>
      </c>
    </row>
    <row r="42" spans="1:14" s="396" customFormat="1" ht="56.25">
      <c r="A42" s="150"/>
      <c r="B42" s="163" t="s">
        <v>75</v>
      </c>
      <c r="C42" s="164" t="s">
        <v>3</v>
      </c>
      <c r="D42" s="149" t="s">
        <v>57</v>
      </c>
      <c r="E42" s="149" t="s">
        <v>72</v>
      </c>
      <c r="F42" s="750" t="s">
        <v>61</v>
      </c>
      <c r="G42" s="751" t="s">
        <v>65</v>
      </c>
      <c r="H42" s="751" t="s">
        <v>59</v>
      </c>
      <c r="I42" s="752" t="s">
        <v>82</v>
      </c>
      <c r="J42" s="149" t="s">
        <v>76</v>
      </c>
      <c r="K42" s="824">
        <v>4.2</v>
      </c>
      <c r="L42" s="165">
        <f>M42-K42</f>
        <v>0</v>
      </c>
      <c r="M42" s="165">
        <v>4.2</v>
      </c>
      <c r="N42" s="165">
        <v>4.2</v>
      </c>
    </row>
    <row r="43" spans="1:14" s="396" customFormat="1" ht="187.5" customHeight="1">
      <c r="A43" s="150"/>
      <c r="B43" s="195" t="s">
        <v>466</v>
      </c>
      <c r="C43" s="164" t="s">
        <v>3</v>
      </c>
      <c r="D43" s="149" t="s">
        <v>57</v>
      </c>
      <c r="E43" s="149" t="s">
        <v>72</v>
      </c>
      <c r="F43" s="750" t="s">
        <v>61</v>
      </c>
      <c r="G43" s="751" t="s">
        <v>65</v>
      </c>
      <c r="H43" s="751" t="s">
        <v>59</v>
      </c>
      <c r="I43" s="752" t="s">
        <v>465</v>
      </c>
      <c r="J43" s="149"/>
      <c r="K43" s="824">
        <f>K44</f>
        <v>66</v>
      </c>
      <c r="L43" s="165">
        <f>L44</f>
        <v>0</v>
      </c>
      <c r="M43" s="165">
        <f>M44</f>
        <v>66</v>
      </c>
      <c r="N43" s="165">
        <f>N44</f>
        <v>66</v>
      </c>
    </row>
    <row r="44" spans="1:14" s="396" customFormat="1" ht="56.25">
      <c r="A44" s="150"/>
      <c r="B44" s="163" t="s">
        <v>75</v>
      </c>
      <c r="C44" s="164" t="s">
        <v>3</v>
      </c>
      <c r="D44" s="149" t="s">
        <v>57</v>
      </c>
      <c r="E44" s="149" t="s">
        <v>72</v>
      </c>
      <c r="F44" s="750" t="s">
        <v>61</v>
      </c>
      <c r="G44" s="751" t="s">
        <v>65</v>
      </c>
      <c r="H44" s="751" t="s">
        <v>59</v>
      </c>
      <c r="I44" s="752" t="s">
        <v>465</v>
      </c>
      <c r="J44" s="149" t="s">
        <v>76</v>
      </c>
      <c r="K44" s="824">
        <v>66</v>
      </c>
      <c r="L44" s="165">
        <f>M44-K44</f>
        <v>0</v>
      </c>
      <c r="M44" s="165">
        <v>66</v>
      </c>
      <c r="N44" s="165">
        <v>66</v>
      </c>
    </row>
    <row r="45" spans="1:14" s="146" customFormat="1" ht="18.75">
      <c r="A45" s="150"/>
      <c r="B45" s="163" t="s">
        <v>83</v>
      </c>
      <c r="C45" s="164" t="s">
        <v>3</v>
      </c>
      <c r="D45" s="149" t="s">
        <v>57</v>
      </c>
      <c r="E45" s="149" t="s">
        <v>72</v>
      </c>
      <c r="F45" s="750" t="s">
        <v>61</v>
      </c>
      <c r="G45" s="751" t="s">
        <v>65</v>
      </c>
      <c r="H45" s="751" t="s">
        <v>84</v>
      </c>
      <c r="I45" s="752" t="s">
        <v>64</v>
      </c>
      <c r="J45" s="149"/>
      <c r="K45" s="824">
        <f t="shared" ref="K45:N46" si="2">K46</f>
        <v>113.2</v>
      </c>
      <c r="L45" s="165">
        <f t="shared" si="2"/>
        <v>0</v>
      </c>
      <c r="M45" s="165">
        <f t="shared" si="2"/>
        <v>113.2</v>
      </c>
      <c r="N45" s="165">
        <f t="shared" si="2"/>
        <v>113.2</v>
      </c>
    </row>
    <row r="46" spans="1:14" s="391" customFormat="1" ht="37.5">
      <c r="A46" s="150"/>
      <c r="B46" s="163" t="s">
        <v>67</v>
      </c>
      <c r="C46" s="164" t="s">
        <v>3</v>
      </c>
      <c r="D46" s="149" t="s">
        <v>57</v>
      </c>
      <c r="E46" s="149" t="s">
        <v>72</v>
      </c>
      <c r="F46" s="750" t="s">
        <v>61</v>
      </c>
      <c r="G46" s="751" t="s">
        <v>65</v>
      </c>
      <c r="H46" s="751" t="s">
        <v>84</v>
      </c>
      <c r="I46" s="752" t="s">
        <v>68</v>
      </c>
      <c r="J46" s="149"/>
      <c r="K46" s="824">
        <f t="shared" si="2"/>
        <v>113.2</v>
      </c>
      <c r="L46" s="165">
        <f t="shared" si="2"/>
        <v>0</v>
      </c>
      <c r="M46" s="165">
        <f t="shared" si="2"/>
        <v>113.2</v>
      </c>
      <c r="N46" s="165">
        <f t="shared" si="2"/>
        <v>113.2</v>
      </c>
    </row>
    <row r="47" spans="1:14" s="146" customFormat="1" ht="56.25">
      <c r="A47" s="150"/>
      <c r="B47" s="163" t="s">
        <v>75</v>
      </c>
      <c r="C47" s="164" t="s">
        <v>3</v>
      </c>
      <c r="D47" s="149" t="s">
        <v>57</v>
      </c>
      <c r="E47" s="149" t="s">
        <v>72</v>
      </c>
      <c r="F47" s="750" t="s">
        <v>61</v>
      </c>
      <c r="G47" s="751" t="s">
        <v>65</v>
      </c>
      <c r="H47" s="751" t="s">
        <v>84</v>
      </c>
      <c r="I47" s="752" t="s">
        <v>68</v>
      </c>
      <c r="J47" s="149" t="s">
        <v>76</v>
      </c>
      <c r="K47" s="824">
        <v>113.2</v>
      </c>
      <c r="L47" s="165">
        <f>M47-K47</f>
        <v>0</v>
      </c>
      <c r="M47" s="165">
        <v>113.2</v>
      </c>
      <c r="N47" s="165">
        <v>113.2</v>
      </c>
    </row>
    <row r="48" spans="1:14" s="146" customFormat="1" ht="18.75">
      <c r="A48" s="150"/>
      <c r="B48" s="163" t="s">
        <v>488</v>
      </c>
      <c r="C48" s="164" t="s">
        <v>3</v>
      </c>
      <c r="D48" s="149" t="s">
        <v>57</v>
      </c>
      <c r="E48" s="149" t="s">
        <v>86</v>
      </c>
      <c r="F48" s="750"/>
      <c r="G48" s="751"/>
      <c r="H48" s="751"/>
      <c r="I48" s="752"/>
      <c r="J48" s="149"/>
      <c r="K48" s="824">
        <f t="shared" ref="K48:N52" si="3">K49</f>
        <v>98.4</v>
      </c>
      <c r="L48" s="165">
        <f t="shared" si="3"/>
        <v>0</v>
      </c>
      <c r="M48" s="165">
        <f t="shared" si="3"/>
        <v>98.4</v>
      </c>
      <c r="N48" s="165">
        <f t="shared" si="3"/>
        <v>5.7</v>
      </c>
    </row>
    <row r="49" spans="1:14" s="146" customFormat="1" ht="58.5" customHeight="1">
      <c r="A49" s="150"/>
      <c r="B49" s="163" t="s">
        <v>73</v>
      </c>
      <c r="C49" s="164" t="s">
        <v>3</v>
      </c>
      <c r="D49" s="149" t="s">
        <v>57</v>
      </c>
      <c r="E49" s="149" t="s">
        <v>86</v>
      </c>
      <c r="F49" s="750" t="s">
        <v>61</v>
      </c>
      <c r="G49" s="751" t="s">
        <v>62</v>
      </c>
      <c r="H49" s="751" t="s">
        <v>63</v>
      </c>
      <c r="I49" s="752" t="s">
        <v>64</v>
      </c>
      <c r="J49" s="149"/>
      <c r="K49" s="824">
        <f t="shared" si="3"/>
        <v>98.4</v>
      </c>
      <c r="L49" s="165">
        <f t="shared" si="3"/>
        <v>0</v>
      </c>
      <c r="M49" s="165">
        <f t="shared" si="3"/>
        <v>98.4</v>
      </c>
      <c r="N49" s="165">
        <f t="shared" si="3"/>
        <v>5.7</v>
      </c>
    </row>
    <row r="50" spans="1:14" s="146" customFormat="1" ht="37.5">
      <c r="A50" s="150"/>
      <c r="B50" s="163" t="s">
        <v>404</v>
      </c>
      <c r="C50" s="164" t="s">
        <v>3</v>
      </c>
      <c r="D50" s="149" t="s">
        <v>57</v>
      </c>
      <c r="E50" s="149" t="s">
        <v>86</v>
      </c>
      <c r="F50" s="750" t="s">
        <v>61</v>
      </c>
      <c r="G50" s="751" t="s">
        <v>65</v>
      </c>
      <c r="H50" s="751" t="s">
        <v>63</v>
      </c>
      <c r="I50" s="752" t="s">
        <v>64</v>
      </c>
      <c r="J50" s="149"/>
      <c r="K50" s="824">
        <f t="shared" si="3"/>
        <v>98.4</v>
      </c>
      <c r="L50" s="165">
        <f t="shared" si="3"/>
        <v>0</v>
      </c>
      <c r="M50" s="165">
        <f t="shared" si="3"/>
        <v>98.4</v>
      </c>
      <c r="N50" s="165">
        <f t="shared" si="3"/>
        <v>5.7</v>
      </c>
    </row>
    <row r="51" spans="1:14" s="146" customFormat="1" ht="37.5">
      <c r="A51" s="150"/>
      <c r="B51" s="163" t="s">
        <v>74</v>
      </c>
      <c r="C51" s="164" t="s">
        <v>3</v>
      </c>
      <c r="D51" s="149" t="s">
        <v>57</v>
      </c>
      <c r="E51" s="149" t="s">
        <v>86</v>
      </c>
      <c r="F51" s="750" t="s">
        <v>61</v>
      </c>
      <c r="G51" s="751" t="s">
        <v>65</v>
      </c>
      <c r="H51" s="751" t="s">
        <v>59</v>
      </c>
      <c r="I51" s="752" t="s">
        <v>64</v>
      </c>
      <c r="J51" s="149"/>
      <c r="K51" s="824">
        <f t="shared" si="3"/>
        <v>98.4</v>
      </c>
      <c r="L51" s="165">
        <f t="shared" si="3"/>
        <v>0</v>
      </c>
      <c r="M51" s="165">
        <f t="shared" si="3"/>
        <v>98.4</v>
      </c>
      <c r="N51" s="165">
        <f t="shared" si="3"/>
        <v>5.7</v>
      </c>
    </row>
    <row r="52" spans="1:14" s="146" customFormat="1" ht="76.5" customHeight="1">
      <c r="A52" s="150"/>
      <c r="B52" s="163" t="s">
        <v>490</v>
      </c>
      <c r="C52" s="164" t="s">
        <v>3</v>
      </c>
      <c r="D52" s="149" t="s">
        <v>57</v>
      </c>
      <c r="E52" s="149" t="s">
        <v>86</v>
      </c>
      <c r="F52" s="750" t="s">
        <v>61</v>
      </c>
      <c r="G52" s="751" t="s">
        <v>65</v>
      </c>
      <c r="H52" s="751" t="s">
        <v>59</v>
      </c>
      <c r="I52" s="752" t="s">
        <v>489</v>
      </c>
      <c r="J52" s="149"/>
      <c r="K52" s="824">
        <f t="shared" si="3"/>
        <v>98.4</v>
      </c>
      <c r="L52" s="165">
        <f t="shared" si="3"/>
        <v>0</v>
      </c>
      <c r="M52" s="165">
        <f t="shared" si="3"/>
        <v>98.4</v>
      </c>
      <c r="N52" s="165">
        <f t="shared" si="3"/>
        <v>5.7</v>
      </c>
    </row>
    <row r="53" spans="1:14" s="146" customFormat="1" ht="56.25">
      <c r="A53" s="150"/>
      <c r="B53" s="163" t="s">
        <v>75</v>
      </c>
      <c r="C53" s="164" t="s">
        <v>3</v>
      </c>
      <c r="D53" s="149" t="s">
        <v>57</v>
      </c>
      <c r="E53" s="149" t="s">
        <v>86</v>
      </c>
      <c r="F53" s="750" t="s">
        <v>61</v>
      </c>
      <c r="G53" s="751" t="s">
        <v>65</v>
      </c>
      <c r="H53" s="751" t="s">
        <v>59</v>
      </c>
      <c r="I53" s="752" t="s">
        <v>489</v>
      </c>
      <c r="J53" s="149" t="s">
        <v>76</v>
      </c>
      <c r="K53" s="824">
        <v>98.4</v>
      </c>
      <c r="L53" s="165">
        <f>M53-K53</f>
        <v>0</v>
      </c>
      <c r="M53" s="165">
        <v>98.4</v>
      </c>
      <c r="N53" s="165">
        <v>5.7</v>
      </c>
    </row>
    <row r="54" spans="1:14" s="391" customFormat="1" ht="18.75">
      <c r="A54" s="150"/>
      <c r="B54" s="163" t="s">
        <v>87</v>
      </c>
      <c r="C54" s="164" t="s">
        <v>3</v>
      </c>
      <c r="D54" s="149" t="s">
        <v>57</v>
      </c>
      <c r="E54" s="149" t="s">
        <v>88</v>
      </c>
      <c r="F54" s="750"/>
      <c r="G54" s="751"/>
      <c r="H54" s="751"/>
      <c r="I54" s="752"/>
      <c r="J54" s="149"/>
      <c r="K54" s="824">
        <f t="shared" ref="K54:N57" si="4">K55</f>
        <v>5000</v>
      </c>
      <c r="L54" s="165">
        <f t="shared" si="4"/>
        <v>0</v>
      </c>
      <c r="M54" s="165">
        <f t="shared" si="4"/>
        <v>5000</v>
      </c>
      <c r="N54" s="165">
        <f t="shared" si="4"/>
        <v>5000</v>
      </c>
    </row>
    <row r="55" spans="1:14" s="391" customFormat="1" ht="37.5">
      <c r="A55" s="150"/>
      <c r="B55" s="163" t="s">
        <v>750</v>
      </c>
      <c r="C55" s="164" t="s">
        <v>3</v>
      </c>
      <c r="D55" s="149" t="s">
        <v>57</v>
      </c>
      <c r="E55" s="149" t="s">
        <v>88</v>
      </c>
      <c r="F55" s="750" t="s">
        <v>89</v>
      </c>
      <c r="G55" s="751" t="s">
        <v>62</v>
      </c>
      <c r="H55" s="751" t="s">
        <v>63</v>
      </c>
      <c r="I55" s="752" t="s">
        <v>64</v>
      </c>
      <c r="J55" s="149"/>
      <c r="K55" s="824">
        <f t="shared" si="4"/>
        <v>5000</v>
      </c>
      <c r="L55" s="165">
        <f t="shared" si="4"/>
        <v>0</v>
      </c>
      <c r="M55" s="165">
        <f t="shared" si="4"/>
        <v>5000</v>
      </c>
      <c r="N55" s="165">
        <f t="shared" si="4"/>
        <v>5000</v>
      </c>
    </row>
    <row r="56" spans="1:14" s="391" customFormat="1" ht="18.75">
      <c r="A56" s="150"/>
      <c r="B56" s="166" t="s">
        <v>751</v>
      </c>
      <c r="C56" s="164" t="s">
        <v>3</v>
      </c>
      <c r="D56" s="149" t="s">
        <v>57</v>
      </c>
      <c r="E56" s="149" t="s">
        <v>88</v>
      </c>
      <c r="F56" s="750" t="s">
        <v>89</v>
      </c>
      <c r="G56" s="751" t="s">
        <v>65</v>
      </c>
      <c r="H56" s="751" t="s">
        <v>63</v>
      </c>
      <c r="I56" s="752" t="s">
        <v>64</v>
      </c>
      <c r="J56" s="149"/>
      <c r="K56" s="824">
        <f>K57</f>
        <v>5000</v>
      </c>
      <c r="L56" s="165">
        <f>L57</f>
        <v>0</v>
      </c>
      <c r="M56" s="165">
        <f>M57</f>
        <v>5000</v>
      </c>
      <c r="N56" s="165">
        <f>N57</f>
        <v>5000</v>
      </c>
    </row>
    <row r="57" spans="1:14" s="391" customFormat="1" ht="37.5">
      <c r="A57" s="150"/>
      <c r="B57" s="163" t="s">
        <v>749</v>
      </c>
      <c r="C57" s="164" t="s">
        <v>3</v>
      </c>
      <c r="D57" s="149" t="s">
        <v>57</v>
      </c>
      <c r="E57" s="149" t="s">
        <v>88</v>
      </c>
      <c r="F57" s="750" t="s">
        <v>89</v>
      </c>
      <c r="G57" s="751" t="s">
        <v>65</v>
      </c>
      <c r="H57" s="751" t="s">
        <v>63</v>
      </c>
      <c r="I57" s="752" t="s">
        <v>90</v>
      </c>
      <c r="J57" s="149"/>
      <c r="K57" s="824">
        <f t="shared" si="4"/>
        <v>5000</v>
      </c>
      <c r="L57" s="165">
        <f t="shared" si="4"/>
        <v>0</v>
      </c>
      <c r="M57" s="165">
        <f t="shared" si="4"/>
        <v>5000</v>
      </c>
      <c r="N57" s="165">
        <f t="shared" si="4"/>
        <v>5000</v>
      </c>
    </row>
    <row r="58" spans="1:14" s="391" customFormat="1" ht="18.75">
      <c r="A58" s="150"/>
      <c r="B58" s="163" t="s">
        <v>77</v>
      </c>
      <c r="C58" s="164" t="s">
        <v>3</v>
      </c>
      <c r="D58" s="149" t="s">
        <v>57</v>
      </c>
      <c r="E58" s="149" t="s">
        <v>88</v>
      </c>
      <c r="F58" s="750" t="s">
        <v>89</v>
      </c>
      <c r="G58" s="751" t="s">
        <v>65</v>
      </c>
      <c r="H58" s="751" t="s">
        <v>63</v>
      </c>
      <c r="I58" s="752" t="s">
        <v>90</v>
      </c>
      <c r="J58" s="149" t="s">
        <v>78</v>
      </c>
      <c r="K58" s="824">
        <v>5000</v>
      </c>
      <c r="L58" s="165">
        <f>M58-K58</f>
        <v>0</v>
      </c>
      <c r="M58" s="165">
        <v>5000</v>
      </c>
      <c r="N58" s="165">
        <v>5000</v>
      </c>
    </row>
    <row r="59" spans="1:14" s="391" customFormat="1" ht="18.75">
      <c r="A59" s="150"/>
      <c r="B59" s="163" t="s">
        <v>91</v>
      </c>
      <c r="C59" s="164" t="s">
        <v>3</v>
      </c>
      <c r="D59" s="149" t="s">
        <v>57</v>
      </c>
      <c r="E59" s="149" t="s">
        <v>92</v>
      </c>
      <c r="F59" s="750"/>
      <c r="G59" s="751"/>
      <c r="H59" s="751"/>
      <c r="I59" s="752"/>
      <c r="J59" s="149"/>
      <c r="K59" s="824">
        <f>K65+K60</f>
        <v>3991.6000000000004</v>
      </c>
      <c r="L59" s="165">
        <f>L65+L60</f>
        <v>0</v>
      </c>
      <c r="M59" s="165">
        <f>M65+M60</f>
        <v>3991.6000000000004</v>
      </c>
      <c r="N59" s="165">
        <f>N65+N60</f>
        <v>3991.6000000000004</v>
      </c>
    </row>
    <row r="60" spans="1:14" s="391" customFormat="1" ht="93.75">
      <c r="A60" s="150"/>
      <c r="B60" s="163" t="s">
        <v>93</v>
      </c>
      <c r="C60" s="164" t="s">
        <v>3</v>
      </c>
      <c r="D60" s="149" t="s">
        <v>57</v>
      </c>
      <c r="E60" s="149" t="s">
        <v>92</v>
      </c>
      <c r="F60" s="750" t="s">
        <v>94</v>
      </c>
      <c r="G60" s="751" t="s">
        <v>62</v>
      </c>
      <c r="H60" s="751" t="s">
        <v>63</v>
      </c>
      <c r="I60" s="752" t="s">
        <v>64</v>
      </c>
      <c r="J60" s="149"/>
      <c r="K60" s="824">
        <f t="shared" ref="K60:N63" si="5">K61</f>
        <v>291.89999999999998</v>
      </c>
      <c r="L60" s="165">
        <f t="shared" si="5"/>
        <v>0</v>
      </c>
      <c r="M60" s="165">
        <f t="shared" si="5"/>
        <v>291.89999999999998</v>
      </c>
      <c r="N60" s="165">
        <f t="shared" si="5"/>
        <v>291.89999999999998</v>
      </c>
    </row>
    <row r="61" spans="1:14" s="391" customFormat="1" ht="37.5">
      <c r="A61" s="150"/>
      <c r="B61" s="163" t="s">
        <v>404</v>
      </c>
      <c r="C61" s="164" t="s">
        <v>3</v>
      </c>
      <c r="D61" s="149" t="s">
        <v>57</v>
      </c>
      <c r="E61" s="149" t="s">
        <v>92</v>
      </c>
      <c r="F61" s="750" t="s">
        <v>94</v>
      </c>
      <c r="G61" s="751" t="s">
        <v>65</v>
      </c>
      <c r="H61" s="751" t="s">
        <v>63</v>
      </c>
      <c r="I61" s="752" t="s">
        <v>64</v>
      </c>
      <c r="J61" s="149"/>
      <c r="K61" s="824">
        <f t="shared" si="5"/>
        <v>291.89999999999998</v>
      </c>
      <c r="L61" s="165">
        <f t="shared" si="5"/>
        <v>0</v>
      </c>
      <c r="M61" s="165">
        <f t="shared" si="5"/>
        <v>291.89999999999998</v>
      </c>
      <c r="N61" s="165">
        <f t="shared" si="5"/>
        <v>291.89999999999998</v>
      </c>
    </row>
    <row r="62" spans="1:14" s="391" customFormat="1" ht="56.25">
      <c r="A62" s="150"/>
      <c r="B62" s="166" t="s">
        <v>306</v>
      </c>
      <c r="C62" s="164" t="s">
        <v>3</v>
      </c>
      <c r="D62" s="149" t="s">
        <v>57</v>
      </c>
      <c r="E62" s="149" t="s">
        <v>92</v>
      </c>
      <c r="F62" s="750" t="s">
        <v>94</v>
      </c>
      <c r="G62" s="751" t="s">
        <v>65</v>
      </c>
      <c r="H62" s="751" t="s">
        <v>57</v>
      </c>
      <c r="I62" s="752" t="s">
        <v>64</v>
      </c>
      <c r="J62" s="149"/>
      <c r="K62" s="824">
        <f t="shared" si="5"/>
        <v>291.89999999999998</v>
      </c>
      <c r="L62" s="165">
        <f t="shared" si="5"/>
        <v>0</v>
      </c>
      <c r="M62" s="165">
        <f t="shared" si="5"/>
        <v>291.89999999999998</v>
      </c>
      <c r="N62" s="165">
        <f t="shared" si="5"/>
        <v>291.89999999999998</v>
      </c>
    </row>
    <row r="63" spans="1:14" s="391" customFormat="1" ht="56.25">
      <c r="A63" s="150"/>
      <c r="B63" s="166" t="s">
        <v>95</v>
      </c>
      <c r="C63" s="164" t="s">
        <v>3</v>
      </c>
      <c r="D63" s="149" t="s">
        <v>57</v>
      </c>
      <c r="E63" s="149" t="s">
        <v>92</v>
      </c>
      <c r="F63" s="750" t="s">
        <v>94</v>
      </c>
      <c r="G63" s="751" t="s">
        <v>65</v>
      </c>
      <c r="H63" s="751" t="s">
        <v>57</v>
      </c>
      <c r="I63" s="752" t="s">
        <v>96</v>
      </c>
      <c r="J63" s="149"/>
      <c r="K63" s="824">
        <f t="shared" si="5"/>
        <v>291.89999999999998</v>
      </c>
      <c r="L63" s="165">
        <f t="shared" si="5"/>
        <v>0</v>
      </c>
      <c r="M63" s="165">
        <f t="shared" si="5"/>
        <v>291.89999999999998</v>
      </c>
      <c r="N63" s="165">
        <f t="shared" si="5"/>
        <v>291.89999999999998</v>
      </c>
    </row>
    <row r="64" spans="1:14" s="391" customFormat="1" ht="56.25">
      <c r="A64" s="150"/>
      <c r="B64" s="167" t="s">
        <v>97</v>
      </c>
      <c r="C64" s="164" t="s">
        <v>3</v>
      </c>
      <c r="D64" s="149" t="s">
        <v>57</v>
      </c>
      <c r="E64" s="149" t="s">
        <v>92</v>
      </c>
      <c r="F64" s="750" t="s">
        <v>94</v>
      </c>
      <c r="G64" s="751" t="s">
        <v>65</v>
      </c>
      <c r="H64" s="751" t="s">
        <v>57</v>
      </c>
      <c r="I64" s="752" t="s">
        <v>96</v>
      </c>
      <c r="J64" s="149" t="s">
        <v>98</v>
      </c>
      <c r="K64" s="824">
        <v>291.89999999999998</v>
      </c>
      <c r="L64" s="165">
        <f>M64-K64</f>
        <v>0</v>
      </c>
      <c r="M64" s="165">
        <v>291.89999999999998</v>
      </c>
      <c r="N64" s="165">
        <v>291.89999999999998</v>
      </c>
    </row>
    <row r="65" spans="1:14" s="391" customFormat="1" ht="75">
      <c r="A65" s="150"/>
      <c r="B65" s="163" t="s">
        <v>60</v>
      </c>
      <c r="C65" s="164" t="s">
        <v>3</v>
      </c>
      <c r="D65" s="149" t="s">
        <v>57</v>
      </c>
      <c r="E65" s="149" t="s">
        <v>92</v>
      </c>
      <c r="F65" s="750" t="s">
        <v>61</v>
      </c>
      <c r="G65" s="751" t="s">
        <v>62</v>
      </c>
      <c r="H65" s="751" t="s">
        <v>63</v>
      </c>
      <c r="I65" s="752" t="s">
        <v>64</v>
      </c>
      <c r="J65" s="149"/>
      <c r="K65" s="824">
        <f>K66</f>
        <v>3699.7000000000003</v>
      </c>
      <c r="L65" s="165">
        <f>L66</f>
        <v>0</v>
      </c>
      <c r="M65" s="165">
        <f>M66</f>
        <v>3699.7000000000003</v>
      </c>
      <c r="N65" s="165">
        <f>N66</f>
        <v>3699.7000000000003</v>
      </c>
    </row>
    <row r="66" spans="1:14" s="391" customFormat="1" ht="37.5">
      <c r="A66" s="150"/>
      <c r="B66" s="163" t="s">
        <v>404</v>
      </c>
      <c r="C66" s="164" t="s">
        <v>3</v>
      </c>
      <c r="D66" s="149" t="s">
        <v>57</v>
      </c>
      <c r="E66" s="149" t="s">
        <v>92</v>
      </c>
      <c r="F66" s="750" t="s">
        <v>61</v>
      </c>
      <c r="G66" s="751" t="s">
        <v>65</v>
      </c>
      <c r="H66" s="751" t="s">
        <v>63</v>
      </c>
      <c r="I66" s="752" t="s">
        <v>64</v>
      </c>
      <c r="J66" s="149"/>
      <c r="K66" s="824">
        <f>K71+K67+K76+K79</f>
        <v>3699.7000000000003</v>
      </c>
      <c r="L66" s="165">
        <f>L71+L67+L76+L79</f>
        <v>0</v>
      </c>
      <c r="M66" s="165">
        <f>M71+M67+M76+M79</f>
        <v>3699.7000000000003</v>
      </c>
      <c r="N66" s="165">
        <f>N71+N67+N76+N79</f>
        <v>3699.7000000000003</v>
      </c>
    </row>
    <row r="67" spans="1:14" s="391" customFormat="1" ht="18.75">
      <c r="A67" s="150"/>
      <c r="B67" s="167" t="s">
        <v>83</v>
      </c>
      <c r="C67" s="164" t="s">
        <v>3</v>
      </c>
      <c r="D67" s="149" t="s">
        <v>57</v>
      </c>
      <c r="E67" s="149" t="s">
        <v>92</v>
      </c>
      <c r="F67" s="750" t="s">
        <v>61</v>
      </c>
      <c r="G67" s="751" t="s">
        <v>65</v>
      </c>
      <c r="H67" s="751" t="s">
        <v>84</v>
      </c>
      <c r="I67" s="752" t="s">
        <v>64</v>
      </c>
      <c r="J67" s="149"/>
      <c r="K67" s="824">
        <f>K68</f>
        <v>1064.0999999999999</v>
      </c>
      <c r="L67" s="165">
        <f>L68</f>
        <v>0</v>
      </c>
      <c r="M67" s="165">
        <f>M68</f>
        <v>1064.0999999999999</v>
      </c>
      <c r="N67" s="165">
        <f>N68</f>
        <v>1064.0999999999999</v>
      </c>
    </row>
    <row r="68" spans="1:14" s="391" customFormat="1" ht="75">
      <c r="A68" s="150"/>
      <c r="B68" s="167" t="s">
        <v>478</v>
      </c>
      <c r="C68" s="164" t="s">
        <v>3</v>
      </c>
      <c r="D68" s="149" t="s">
        <v>57</v>
      </c>
      <c r="E68" s="149" t="s">
        <v>92</v>
      </c>
      <c r="F68" s="750" t="s">
        <v>61</v>
      </c>
      <c r="G68" s="751" t="s">
        <v>65</v>
      </c>
      <c r="H68" s="751" t="s">
        <v>84</v>
      </c>
      <c r="I68" s="752" t="s">
        <v>477</v>
      </c>
      <c r="J68" s="149"/>
      <c r="K68" s="824">
        <f>K69+K70</f>
        <v>1064.0999999999999</v>
      </c>
      <c r="L68" s="165">
        <f>L69+L70</f>
        <v>0</v>
      </c>
      <c r="M68" s="165">
        <f>M69+M70</f>
        <v>1064.0999999999999</v>
      </c>
      <c r="N68" s="165">
        <f>N69+N70</f>
        <v>1064.0999999999999</v>
      </c>
    </row>
    <row r="69" spans="1:14" s="391" customFormat="1" ht="56.25">
      <c r="A69" s="150"/>
      <c r="B69" s="163" t="s">
        <v>75</v>
      </c>
      <c r="C69" s="164" t="s">
        <v>3</v>
      </c>
      <c r="D69" s="149" t="s">
        <v>57</v>
      </c>
      <c r="E69" s="149" t="s">
        <v>92</v>
      </c>
      <c r="F69" s="750" t="s">
        <v>61</v>
      </c>
      <c r="G69" s="751" t="s">
        <v>65</v>
      </c>
      <c r="H69" s="751" t="s">
        <v>84</v>
      </c>
      <c r="I69" s="752" t="s">
        <v>477</v>
      </c>
      <c r="J69" s="149" t="s">
        <v>76</v>
      </c>
      <c r="K69" s="824">
        <v>833.3</v>
      </c>
      <c r="L69" s="165">
        <f>M69-K69</f>
        <v>0</v>
      </c>
      <c r="M69" s="165">
        <v>833.3</v>
      </c>
      <c r="N69" s="165">
        <v>833.3</v>
      </c>
    </row>
    <row r="70" spans="1:14" s="391" customFormat="1" ht="18.75">
      <c r="A70" s="150"/>
      <c r="B70" s="163" t="s">
        <v>77</v>
      </c>
      <c r="C70" s="164" t="s">
        <v>3</v>
      </c>
      <c r="D70" s="149" t="s">
        <v>57</v>
      </c>
      <c r="E70" s="149" t="s">
        <v>92</v>
      </c>
      <c r="F70" s="750" t="s">
        <v>61</v>
      </c>
      <c r="G70" s="751" t="s">
        <v>65</v>
      </c>
      <c r="H70" s="751" t="s">
        <v>84</v>
      </c>
      <c r="I70" s="752" t="s">
        <v>477</v>
      </c>
      <c r="J70" s="149" t="s">
        <v>78</v>
      </c>
      <c r="K70" s="824">
        <v>230.8</v>
      </c>
      <c r="L70" s="165">
        <f>M70-K70</f>
        <v>0</v>
      </c>
      <c r="M70" s="165">
        <v>230.8</v>
      </c>
      <c r="N70" s="165">
        <v>230.8</v>
      </c>
    </row>
    <row r="71" spans="1:14" s="391" customFormat="1" ht="18.75">
      <c r="A71" s="150"/>
      <c r="B71" s="163" t="s">
        <v>85</v>
      </c>
      <c r="C71" s="164" t="s">
        <v>3</v>
      </c>
      <c r="D71" s="149" t="s">
        <v>57</v>
      </c>
      <c r="E71" s="149" t="s">
        <v>92</v>
      </c>
      <c r="F71" s="750" t="s">
        <v>61</v>
      </c>
      <c r="G71" s="751" t="s">
        <v>65</v>
      </c>
      <c r="H71" s="751" t="s">
        <v>72</v>
      </c>
      <c r="I71" s="752" t="s">
        <v>64</v>
      </c>
      <c r="J71" s="149"/>
      <c r="K71" s="824">
        <f>K72+K74</f>
        <v>2450.2000000000003</v>
      </c>
      <c r="L71" s="165">
        <f>L72+L74</f>
        <v>0</v>
      </c>
      <c r="M71" s="165">
        <f>M72+M74</f>
        <v>2450.2000000000003</v>
      </c>
      <c r="N71" s="165">
        <f>N72+N74</f>
        <v>2450.2000000000003</v>
      </c>
    </row>
    <row r="72" spans="1:14" s="391" customFormat="1" ht="75">
      <c r="A72" s="150"/>
      <c r="B72" s="168" t="s">
        <v>429</v>
      </c>
      <c r="C72" s="164" t="s">
        <v>3</v>
      </c>
      <c r="D72" s="149" t="s">
        <v>57</v>
      </c>
      <c r="E72" s="149" t="s">
        <v>92</v>
      </c>
      <c r="F72" s="750" t="s">
        <v>61</v>
      </c>
      <c r="G72" s="751" t="s">
        <v>65</v>
      </c>
      <c r="H72" s="751" t="s">
        <v>72</v>
      </c>
      <c r="I72" s="752" t="s">
        <v>126</v>
      </c>
      <c r="J72" s="149"/>
      <c r="K72" s="824">
        <f>K73</f>
        <v>475.3</v>
      </c>
      <c r="L72" s="165">
        <f>L73</f>
        <v>0</v>
      </c>
      <c r="M72" s="165">
        <f>M73</f>
        <v>475.3</v>
      </c>
      <c r="N72" s="165">
        <f>N73</f>
        <v>475.3</v>
      </c>
    </row>
    <row r="73" spans="1:14" s="391" customFormat="1" ht="56.25">
      <c r="A73" s="150"/>
      <c r="B73" s="163" t="s">
        <v>75</v>
      </c>
      <c r="C73" s="164" t="s">
        <v>3</v>
      </c>
      <c r="D73" s="149" t="s">
        <v>57</v>
      </c>
      <c r="E73" s="149" t="s">
        <v>92</v>
      </c>
      <c r="F73" s="750" t="s">
        <v>61</v>
      </c>
      <c r="G73" s="751" t="s">
        <v>65</v>
      </c>
      <c r="H73" s="751" t="s">
        <v>72</v>
      </c>
      <c r="I73" s="752" t="s">
        <v>126</v>
      </c>
      <c r="J73" s="149" t="s">
        <v>76</v>
      </c>
      <c r="K73" s="824">
        <v>475.3</v>
      </c>
      <c r="L73" s="165">
        <f>M73-K73</f>
        <v>0</v>
      </c>
      <c r="M73" s="165">
        <v>475.3</v>
      </c>
      <c r="N73" s="165">
        <v>475.3</v>
      </c>
    </row>
    <row r="74" spans="1:14" s="391" customFormat="1" ht="56.25">
      <c r="A74" s="150"/>
      <c r="B74" s="163" t="s">
        <v>431</v>
      </c>
      <c r="C74" s="164" t="s">
        <v>3</v>
      </c>
      <c r="D74" s="149" t="s">
        <v>57</v>
      </c>
      <c r="E74" s="149" t="s">
        <v>92</v>
      </c>
      <c r="F74" s="750" t="s">
        <v>61</v>
      </c>
      <c r="G74" s="751" t="s">
        <v>65</v>
      </c>
      <c r="H74" s="751" t="s">
        <v>72</v>
      </c>
      <c r="I74" s="752" t="s">
        <v>430</v>
      </c>
      <c r="J74" s="149"/>
      <c r="K74" s="824">
        <f>K75</f>
        <v>1974.9</v>
      </c>
      <c r="L74" s="165">
        <f>L75</f>
        <v>0</v>
      </c>
      <c r="M74" s="165">
        <f>M75</f>
        <v>1974.9</v>
      </c>
      <c r="N74" s="165">
        <f>N75</f>
        <v>1974.9</v>
      </c>
    </row>
    <row r="75" spans="1:14" s="391" customFormat="1" ht="56.25">
      <c r="A75" s="150"/>
      <c r="B75" s="163" t="s">
        <v>75</v>
      </c>
      <c r="C75" s="164" t="s">
        <v>3</v>
      </c>
      <c r="D75" s="149" t="s">
        <v>57</v>
      </c>
      <c r="E75" s="149" t="s">
        <v>92</v>
      </c>
      <c r="F75" s="750" t="s">
        <v>61</v>
      </c>
      <c r="G75" s="751" t="s">
        <v>65</v>
      </c>
      <c r="H75" s="751" t="s">
        <v>72</v>
      </c>
      <c r="I75" s="752" t="s">
        <v>430</v>
      </c>
      <c r="J75" s="149" t="s">
        <v>76</v>
      </c>
      <c r="K75" s="824">
        <v>1974.9</v>
      </c>
      <c r="L75" s="165">
        <f>M75-K75</f>
        <v>0</v>
      </c>
      <c r="M75" s="165">
        <v>1974.9</v>
      </c>
      <c r="N75" s="165">
        <v>1974.9</v>
      </c>
    </row>
    <row r="76" spans="1:14" s="391" customFormat="1" ht="37.5">
      <c r="A76" s="150"/>
      <c r="B76" s="163" t="s">
        <v>813</v>
      </c>
      <c r="C76" s="164" t="s">
        <v>3</v>
      </c>
      <c r="D76" s="149" t="s">
        <v>57</v>
      </c>
      <c r="E76" s="149" t="s">
        <v>92</v>
      </c>
      <c r="F76" s="750" t="s">
        <v>61</v>
      </c>
      <c r="G76" s="751" t="s">
        <v>65</v>
      </c>
      <c r="H76" s="751" t="s">
        <v>585</v>
      </c>
      <c r="I76" s="752" t="s">
        <v>64</v>
      </c>
      <c r="J76" s="149"/>
      <c r="K76" s="824">
        <f t="shared" ref="K76:N77" si="6">K77</f>
        <v>148</v>
      </c>
      <c r="L76" s="165">
        <f t="shared" si="6"/>
        <v>0</v>
      </c>
      <c r="M76" s="165">
        <f t="shared" si="6"/>
        <v>148</v>
      </c>
      <c r="N76" s="165">
        <f t="shared" si="6"/>
        <v>148</v>
      </c>
    </row>
    <row r="77" spans="1:14" s="391" customFormat="1" ht="37.5">
      <c r="A77" s="150"/>
      <c r="B77" s="168" t="s">
        <v>814</v>
      </c>
      <c r="C77" s="164" t="s">
        <v>3</v>
      </c>
      <c r="D77" s="149" t="s">
        <v>57</v>
      </c>
      <c r="E77" s="149" t="s">
        <v>92</v>
      </c>
      <c r="F77" s="750" t="s">
        <v>61</v>
      </c>
      <c r="G77" s="751" t="s">
        <v>65</v>
      </c>
      <c r="H77" s="751" t="s">
        <v>585</v>
      </c>
      <c r="I77" s="752" t="s">
        <v>111</v>
      </c>
      <c r="J77" s="149"/>
      <c r="K77" s="824">
        <f t="shared" si="6"/>
        <v>148</v>
      </c>
      <c r="L77" s="165">
        <f t="shared" si="6"/>
        <v>0</v>
      </c>
      <c r="M77" s="165">
        <f t="shared" si="6"/>
        <v>148</v>
      </c>
      <c r="N77" s="165">
        <f t="shared" si="6"/>
        <v>148</v>
      </c>
    </row>
    <row r="78" spans="1:14" s="391" customFormat="1" ht="56.25">
      <c r="A78" s="150"/>
      <c r="B78" s="163" t="s">
        <v>75</v>
      </c>
      <c r="C78" s="164" t="s">
        <v>3</v>
      </c>
      <c r="D78" s="149" t="s">
        <v>57</v>
      </c>
      <c r="E78" s="149" t="s">
        <v>92</v>
      </c>
      <c r="F78" s="750" t="s">
        <v>61</v>
      </c>
      <c r="G78" s="751" t="s">
        <v>65</v>
      </c>
      <c r="H78" s="751" t="s">
        <v>585</v>
      </c>
      <c r="I78" s="752" t="s">
        <v>111</v>
      </c>
      <c r="J78" s="149" t="s">
        <v>76</v>
      </c>
      <c r="K78" s="824">
        <v>148</v>
      </c>
      <c r="L78" s="165">
        <f>M78-K78</f>
        <v>0</v>
      </c>
      <c r="M78" s="165">
        <v>148</v>
      </c>
      <c r="N78" s="165">
        <v>148</v>
      </c>
    </row>
    <row r="79" spans="1:14" s="391" customFormat="1" ht="37.5">
      <c r="A79" s="150"/>
      <c r="B79" s="163" t="s">
        <v>799</v>
      </c>
      <c r="C79" s="164" t="s">
        <v>3</v>
      </c>
      <c r="D79" s="149" t="s">
        <v>57</v>
      </c>
      <c r="E79" s="149" t="s">
        <v>92</v>
      </c>
      <c r="F79" s="750" t="s">
        <v>61</v>
      </c>
      <c r="G79" s="751" t="s">
        <v>65</v>
      </c>
      <c r="H79" s="751" t="s">
        <v>61</v>
      </c>
      <c r="I79" s="752" t="s">
        <v>64</v>
      </c>
      <c r="J79" s="149"/>
      <c r="K79" s="824">
        <f t="shared" ref="K79:N80" si="7">K80</f>
        <v>37.4</v>
      </c>
      <c r="L79" s="165">
        <f t="shared" si="7"/>
        <v>0</v>
      </c>
      <c r="M79" s="165">
        <f t="shared" si="7"/>
        <v>37.4</v>
      </c>
      <c r="N79" s="165">
        <f t="shared" si="7"/>
        <v>37.4</v>
      </c>
    </row>
    <row r="80" spans="1:14" s="391" customFormat="1" ht="18.75">
      <c r="A80" s="150"/>
      <c r="B80" s="168" t="s">
        <v>797</v>
      </c>
      <c r="C80" s="164" t="s">
        <v>3</v>
      </c>
      <c r="D80" s="149" t="s">
        <v>57</v>
      </c>
      <c r="E80" s="149" t="s">
        <v>92</v>
      </c>
      <c r="F80" s="750" t="s">
        <v>61</v>
      </c>
      <c r="G80" s="751" t="s">
        <v>65</v>
      </c>
      <c r="H80" s="751" t="s">
        <v>61</v>
      </c>
      <c r="I80" s="752" t="s">
        <v>798</v>
      </c>
      <c r="J80" s="149"/>
      <c r="K80" s="824">
        <f t="shared" si="7"/>
        <v>37.4</v>
      </c>
      <c r="L80" s="165">
        <f t="shared" si="7"/>
        <v>0</v>
      </c>
      <c r="M80" s="165">
        <f t="shared" si="7"/>
        <v>37.4</v>
      </c>
      <c r="N80" s="165">
        <f t="shared" si="7"/>
        <v>37.4</v>
      </c>
    </row>
    <row r="81" spans="1:14" s="391" customFormat="1" ht="56.25">
      <c r="A81" s="150"/>
      <c r="B81" s="163" t="s">
        <v>75</v>
      </c>
      <c r="C81" s="164" t="s">
        <v>3</v>
      </c>
      <c r="D81" s="149" t="s">
        <v>57</v>
      </c>
      <c r="E81" s="149" t="s">
        <v>92</v>
      </c>
      <c r="F81" s="750" t="s">
        <v>61</v>
      </c>
      <c r="G81" s="751" t="s">
        <v>65</v>
      </c>
      <c r="H81" s="751" t="s">
        <v>61</v>
      </c>
      <c r="I81" s="752" t="s">
        <v>798</v>
      </c>
      <c r="J81" s="149" t="s">
        <v>76</v>
      </c>
      <c r="K81" s="824">
        <v>37.4</v>
      </c>
      <c r="L81" s="165">
        <f>M81-K81</f>
        <v>0</v>
      </c>
      <c r="M81" s="165">
        <v>37.4</v>
      </c>
      <c r="N81" s="165">
        <v>37.4</v>
      </c>
    </row>
    <row r="82" spans="1:14" s="391" customFormat="1" ht="37.5">
      <c r="A82" s="150"/>
      <c r="B82" s="163" t="s">
        <v>99</v>
      </c>
      <c r="C82" s="164" t="s">
        <v>3</v>
      </c>
      <c r="D82" s="149" t="s">
        <v>84</v>
      </c>
      <c r="E82" s="149"/>
      <c r="F82" s="750"/>
      <c r="G82" s="751"/>
      <c r="H82" s="751"/>
      <c r="I82" s="752"/>
      <c r="J82" s="149"/>
      <c r="K82" s="824">
        <f>K83+K93</f>
        <v>12548</v>
      </c>
      <c r="L82" s="165">
        <f>L83+L93</f>
        <v>0</v>
      </c>
      <c r="M82" s="165">
        <f>M83+M93</f>
        <v>12548</v>
      </c>
      <c r="N82" s="165">
        <f>N83+N93</f>
        <v>12548.4</v>
      </c>
    </row>
    <row r="83" spans="1:14" s="391" customFormat="1" ht="78.75" customHeight="1">
      <c r="A83" s="150"/>
      <c r="B83" s="543" t="s">
        <v>792</v>
      </c>
      <c r="C83" s="164" t="s">
        <v>3</v>
      </c>
      <c r="D83" s="149" t="s">
        <v>84</v>
      </c>
      <c r="E83" s="149" t="s">
        <v>125</v>
      </c>
      <c r="F83" s="750"/>
      <c r="G83" s="751"/>
      <c r="H83" s="751"/>
      <c r="I83" s="752"/>
      <c r="J83" s="149"/>
      <c r="K83" s="824">
        <f t="shared" ref="K83:N85" si="8">K84</f>
        <v>3437.6000000000004</v>
      </c>
      <c r="L83" s="165">
        <f t="shared" si="8"/>
        <v>0</v>
      </c>
      <c r="M83" s="165">
        <f t="shared" si="8"/>
        <v>3437.6000000000004</v>
      </c>
      <c r="N83" s="165">
        <f t="shared" si="8"/>
        <v>3437.6000000000004</v>
      </c>
    </row>
    <row r="84" spans="1:14" s="391" customFormat="1" ht="58.5" customHeight="1">
      <c r="A84" s="150"/>
      <c r="B84" s="163" t="s">
        <v>101</v>
      </c>
      <c r="C84" s="164" t="s">
        <v>3</v>
      </c>
      <c r="D84" s="149" t="s">
        <v>84</v>
      </c>
      <c r="E84" s="149" t="s">
        <v>125</v>
      </c>
      <c r="F84" s="750" t="s">
        <v>102</v>
      </c>
      <c r="G84" s="751" t="s">
        <v>62</v>
      </c>
      <c r="H84" s="751" t="s">
        <v>63</v>
      </c>
      <c r="I84" s="752" t="s">
        <v>64</v>
      </c>
      <c r="J84" s="149"/>
      <c r="K84" s="824">
        <f t="shared" si="8"/>
        <v>3437.6000000000004</v>
      </c>
      <c r="L84" s="165">
        <f t="shared" si="8"/>
        <v>0</v>
      </c>
      <c r="M84" s="165">
        <f t="shared" si="8"/>
        <v>3437.6000000000004</v>
      </c>
      <c r="N84" s="165">
        <f t="shared" si="8"/>
        <v>3437.6000000000004</v>
      </c>
    </row>
    <row r="85" spans="1:14" s="391" customFormat="1" ht="59.25" customHeight="1">
      <c r="A85" s="150"/>
      <c r="B85" s="169" t="s">
        <v>103</v>
      </c>
      <c r="C85" s="164" t="s">
        <v>3</v>
      </c>
      <c r="D85" s="149" t="s">
        <v>84</v>
      </c>
      <c r="E85" s="149" t="s">
        <v>125</v>
      </c>
      <c r="F85" s="750" t="s">
        <v>102</v>
      </c>
      <c r="G85" s="751" t="s">
        <v>65</v>
      </c>
      <c r="H85" s="751" t="s">
        <v>63</v>
      </c>
      <c r="I85" s="752" t="s">
        <v>64</v>
      </c>
      <c r="J85" s="149"/>
      <c r="K85" s="824">
        <f t="shared" si="8"/>
        <v>3437.6000000000004</v>
      </c>
      <c r="L85" s="165">
        <f t="shared" si="8"/>
        <v>0</v>
      </c>
      <c r="M85" s="165">
        <f t="shared" si="8"/>
        <v>3437.6000000000004</v>
      </c>
      <c r="N85" s="165">
        <f t="shared" si="8"/>
        <v>3437.6000000000004</v>
      </c>
    </row>
    <row r="86" spans="1:14" s="391" customFormat="1" ht="77.25" customHeight="1">
      <c r="A86" s="150"/>
      <c r="B86" s="163" t="s">
        <v>104</v>
      </c>
      <c r="C86" s="164" t="s">
        <v>3</v>
      </c>
      <c r="D86" s="149" t="s">
        <v>84</v>
      </c>
      <c r="E86" s="149" t="s">
        <v>125</v>
      </c>
      <c r="F86" s="750" t="s">
        <v>102</v>
      </c>
      <c r="G86" s="751" t="s">
        <v>65</v>
      </c>
      <c r="H86" s="751" t="s">
        <v>57</v>
      </c>
      <c r="I86" s="752" t="s">
        <v>64</v>
      </c>
      <c r="J86" s="149"/>
      <c r="K86" s="824">
        <f>K87+K89+K91</f>
        <v>3437.6000000000004</v>
      </c>
      <c r="L86" s="165">
        <f>L87+L89+L91</f>
        <v>0</v>
      </c>
      <c r="M86" s="165">
        <f>M87+M89+M91</f>
        <v>3437.6000000000004</v>
      </c>
      <c r="N86" s="165">
        <f>N87+N89+N91</f>
        <v>3437.6000000000004</v>
      </c>
    </row>
    <row r="87" spans="1:14" s="391" customFormat="1" ht="37.5">
      <c r="A87" s="150"/>
      <c r="B87" s="169" t="s">
        <v>756</v>
      </c>
      <c r="C87" s="164" t="s">
        <v>3</v>
      </c>
      <c r="D87" s="149" t="s">
        <v>84</v>
      </c>
      <c r="E87" s="149" t="s">
        <v>125</v>
      </c>
      <c r="F87" s="750" t="s">
        <v>102</v>
      </c>
      <c r="G87" s="751" t="s">
        <v>65</v>
      </c>
      <c r="H87" s="751" t="s">
        <v>57</v>
      </c>
      <c r="I87" s="752" t="s">
        <v>105</v>
      </c>
      <c r="J87" s="149"/>
      <c r="K87" s="824">
        <f>K88</f>
        <v>298.39999999999998</v>
      </c>
      <c r="L87" s="165">
        <f>L88</f>
        <v>0</v>
      </c>
      <c r="M87" s="165">
        <f>M88</f>
        <v>298.39999999999998</v>
      </c>
      <c r="N87" s="165">
        <f>N88</f>
        <v>298.39999999999998</v>
      </c>
    </row>
    <row r="88" spans="1:14" s="391" customFormat="1" ht="56.25">
      <c r="A88" s="150"/>
      <c r="B88" s="163" t="s">
        <v>75</v>
      </c>
      <c r="C88" s="164" t="s">
        <v>3</v>
      </c>
      <c r="D88" s="149" t="s">
        <v>84</v>
      </c>
      <c r="E88" s="149" t="s">
        <v>125</v>
      </c>
      <c r="F88" s="750" t="s">
        <v>102</v>
      </c>
      <c r="G88" s="751" t="s">
        <v>65</v>
      </c>
      <c r="H88" s="751" t="s">
        <v>57</v>
      </c>
      <c r="I88" s="752" t="s">
        <v>105</v>
      </c>
      <c r="J88" s="149" t="s">
        <v>76</v>
      </c>
      <c r="K88" s="824">
        <v>298.39999999999998</v>
      </c>
      <c r="L88" s="165">
        <f>M88-K88</f>
        <v>0</v>
      </c>
      <c r="M88" s="165">
        <v>298.39999999999998</v>
      </c>
      <c r="N88" s="165">
        <v>298.39999999999998</v>
      </c>
    </row>
    <row r="89" spans="1:14" s="391" customFormat="1" ht="56.25">
      <c r="A89" s="150"/>
      <c r="B89" s="163" t="s">
        <v>106</v>
      </c>
      <c r="C89" s="164" t="s">
        <v>3</v>
      </c>
      <c r="D89" s="149" t="s">
        <v>84</v>
      </c>
      <c r="E89" s="149" t="s">
        <v>125</v>
      </c>
      <c r="F89" s="750" t="s">
        <v>102</v>
      </c>
      <c r="G89" s="751" t="s">
        <v>65</v>
      </c>
      <c r="H89" s="751" t="s">
        <v>57</v>
      </c>
      <c r="I89" s="752" t="s">
        <v>107</v>
      </c>
      <c r="J89" s="149"/>
      <c r="K89" s="824">
        <f>K90</f>
        <v>63.9</v>
      </c>
      <c r="L89" s="165">
        <f>L90</f>
        <v>0</v>
      </c>
      <c r="M89" s="165">
        <f>M90</f>
        <v>63.9</v>
      </c>
      <c r="N89" s="165">
        <f>N90</f>
        <v>63.9</v>
      </c>
    </row>
    <row r="90" spans="1:14" s="391" customFormat="1" ht="56.25">
      <c r="A90" s="150"/>
      <c r="B90" s="163" t="s">
        <v>75</v>
      </c>
      <c r="C90" s="164" t="s">
        <v>3</v>
      </c>
      <c r="D90" s="149" t="s">
        <v>84</v>
      </c>
      <c r="E90" s="149" t="s">
        <v>125</v>
      </c>
      <c r="F90" s="750" t="s">
        <v>102</v>
      </c>
      <c r="G90" s="751" t="s">
        <v>65</v>
      </c>
      <c r="H90" s="751" t="s">
        <v>57</v>
      </c>
      <c r="I90" s="752" t="s">
        <v>107</v>
      </c>
      <c r="J90" s="149" t="s">
        <v>76</v>
      </c>
      <c r="K90" s="824">
        <v>63.9</v>
      </c>
      <c r="L90" s="165">
        <f>M90-K90</f>
        <v>0</v>
      </c>
      <c r="M90" s="165">
        <v>63.9</v>
      </c>
      <c r="N90" s="165">
        <v>63.9</v>
      </c>
    </row>
    <row r="91" spans="1:14" s="391" customFormat="1" ht="97.5" customHeight="1">
      <c r="A91" s="150"/>
      <c r="B91" s="163" t="s">
        <v>405</v>
      </c>
      <c r="C91" s="164" t="s">
        <v>3</v>
      </c>
      <c r="D91" s="149" t="s">
        <v>84</v>
      </c>
      <c r="E91" s="149" t="s">
        <v>125</v>
      </c>
      <c r="F91" s="750" t="s">
        <v>102</v>
      </c>
      <c r="G91" s="751" t="s">
        <v>65</v>
      </c>
      <c r="H91" s="751" t="s">
        <v>57</v>
      </c>
      <c r="I91" s="752" t="s">
        <v>393</v>
      </c>
      <c r="J91" s="149"/>
      <c r="K91" s="824">
        <f>K92</f>
        <v>3075.3</v>
      </c>
      <c r="L91" s="165">
        <f>L92</f>
        <v>0</v>
      </c>
      <c r="M91" s="165">
        <f>M92</f>
        <v>3075.3</v>
      </c>
      <c r="N91" s="165">
        <f>N92</f>
        <v>3075.3</v>
      </c>
    </row>
    <row r="92" spans="1:14" s="391" customFormat="1" ht="18.75">
      <c r="A92" s="150"/>
      <c r="B92" s="163" t="s">
        <v>144</v>
      </c>
      <c r="C92" s="164" t="s">
        <v>3</v>
      </c>
      <c r="D92" s="149" t="s">
        <v>84</v>
      </c>
      <c r="E92" s="149" t="s">
        <v>125</v>
      </c>
      <c r="F92" s="750" t="s">
        <v>102</v>
      </c>
      <c r="G92" s="751" t="s">
        <v>65</v>
      </c>
      <c r="H92" s="751" t="s">
        <v>57</v>
      </c>
      <c r="I92" s="752" t="s">
        <v>393</v>
      </c>
      <c r="J92" s="149" t="s">
        <v>145</v>
      </c>
      <c r="K92" s="824">
        <v>3075.3</v>
      </c>
      <c r="L92" s="165">
        <f>M92-K92</f>
        <v>0</v>
      </c>
      <c r="M92" s="165">
        <v>3075.3</v>
      </c>
      <c r="N92" s="165">
        <v>3075.3</v>
      </c>
    </row>
    <row r="93" spans="1:14" s="391" customFormat="1" ht="56.25">
      <c r="A93" s="150"/>
      <c r="B93" s="168" t="s">
        <v>108</v>
      </c>
      <c r="C93" s="164" t="s">
        <v>3</v>
      </c>
      <c r="D93" s="149" t="s">
        <v>84</v>
      </c>
      <c r="E93" s="149" t="s">
        <v>109</v>
      </c>
      <c r="F93" s="750"/>
      <c r="G93" s="751"/>
      <c r="H93" s="751"/>
      <c r="I93" s="752"/>
      <c r="J93" s="149"/>
      <c r="K93" s="824">
        <f t="shared" ref="K93:N93" si="9">K94</f>
        <v>9110.4</v>
      </c>
      <c r="L93" s="165">
        <f t="shared" si="9"/>
        <v>0</v>
      </c>
      <c r="M93" s="165">
        <f t="shared" si="9"/>
        <v>9110.4</v>
      </c>
      <c r="N93" s="165">
        <f t="shared" si="9"/>
        <v>9110.7999999999993</v>
      </c>
    </row>
    <row r="94" spans="1:14" s="391" customFormat="1" ht="57.75" customHeight="1">
      <c r="A94" s="150"/>
      <c r="B94" s="163" t="s">
        <v>101</v>
      </c>
      <c r="C94" s="164" t="s">
        <v>3</v>
      </c>
      <c r="D94" s="149" t="s">
        <v>84</v>
      </c>
      <c r="E94" s="149" t="s">
        <v>109</v>
      </c>
      <c r="F94" s="750" t="s">
        <v>102</v>
      </c>
      <c r="G94" s="751" t="s">
        <v>62</v>
      </c>
      <c r="H94" s="751" t="s">
        <v>63</v>
      </c>
      <c r="I94" s="752" t="s">
        <v>64</v>
      </c>
      <c r="J94" s="149"/>
      <c r="K94" s="824">
        <f>K102+K95</f>
        <v>9110.4</v>
      </c>
      <c r="L94" s="165">
        <f>L102+L95</f>
        <v>0</v>
      </c>
      <c r="M94" s="165">
        <f>M102+M95</f>
        <v>9110.4</v>
      </c>
      <c r="N94" s="165">
        <f>N102+N95</f>
        <v>9110.7999999999993</v>
      </c>
    </row>
    <row r="95" spans="1:14" s="391" customFormat="1" ht="39.75" customHeight="1">
      <c r="A95" s="150"/>
      <c r="B95" s="168" t="s">
        <v>146</v>
      </c>
      <c r="C95" s="164" t="s">
        <v>3</v>
      </c>
      <c r="D95" s="149" t="s">
        <v>84</v>
      </c>
      <c r="E95" s="149" t="s">
        <v>109</v>
      </c>
      <c r="F95" s="750" t="s">
        <v>102</v>
      </c>
      <c r="G95" s="751" t="s">
        <v>110</v>
      </c>
      <c r="H95" s="751" t="s">
        <v>63</v>
      </c>
      <c r="I95" s="752" t="s">
        <v>64</v>
      </c>
      <c r="J95" s="149"/>
      <c r="K95" s="824">
        <f>K96+K99</f>
        <v>262.3</v>
      </c>
      <c r="L95" s="165">
        <f>L96+L99</f>
        <v>0</v>
      </c>
      <c r="M95" s="165">
        <f>M96+M99</f>
        <v>262.3</v>
      </c>
      <c r="N95" s="165">
        <f>N96+N99</f>
        <v>262.3</v>
      </c>
    </row>
    <row r="96" spans="1:14" s="391" customFormat="1" ht="39" customHeight="1">
      <c r="A96" s="150"/>
      <c r="B96" s="168" t="s">
        <v>311</v>
      </c>
      <c r="C96" s="164" t="s">
        <v>3</v>
      </c>
      <c r="D96" s="149" t="s">
        <v>84</v>
      </c>
      <c r="E96" s="149" t="s">
        <v>109</v>
      </c>
      <c r="F96" s="750" t="s">
        <v>102</v>
      </c>
      <c r="G96" s="751" t="s">
        <v>110</v>
      </c>
      <c r="H96" s="751" t="s">
        <v>57</v>
      </c>
      <c r="I96" s="752" t="s">
        <v>64</v>
      </c>
      <c r="J96" s="149"/>
      <c r="K96" s="824">
        <f t="shared" ref="K96:N97" si="10">K97</f>
        <v>21.6</v>
      </c>
      <c r="L96" s="165">
        <f t="shared" si="10"/>
        <v>0</v>
      </c>
      <c r="M96" s="165">
        <f t="shared" si="10"/>
        <v>21.6</v>
      </c>
      <c r="N96" s="165">
        <f t="shared" si="10"/>
        <v>21.6</v>
      </c>
    </row>
    <row r="97" spans="1:14" s="391" customFormat="1" ht="36" customHeight="1">
      <c r="A97" s="150"/>
      <c r="B97" s="166" t="s">
        <v>148</v>
      </c>
      <c r="C97" s="164" t="s">
        <v>3</v>
      </c>
      <c r="D97" s="149" t="s">
        <v>84</v>
      </c>
      <c r="E97" s="149" t="s">
        <v>109</v>
      </c>
      <c r="F97" s="750" t="s">
        <v>102</v>
      </c>
      <c r="G97" s="751" t="s">
        <v>110</v>
      </c>
      <c r="H97" s="751" t="s">
        <v>57</v>
      </c>
      <c r="I97" s="752" t="s">
        <v>111</v>
      </c>
      <c r="J97" s="149"/>
      <c r="K97" s="824">
        <f t="shared" si="10"/>
        <v>21.6</v>
      </c>
      <c r="L97" s="165">
        <f t="shared" si="10"/>
        <v>0</v>
      </c>
      <c r="M97" s="165">
        <f t="shared" si="10"/>
        <v>21.6</v>
      </c>
      <c r="N97" s="165">
        <f t="shared" si="10"/>
        <v>21.6</v>
      </c>
    </row>
    <row r="98" spans="1:14" s="391" customFormat="1" ht="57.75" customHeight="1">
      <c r="A98" s="150"/>
      <c r="B98" s="163" t="s">
        <v>75</v>
      </c>
      <c r="C98" s="164" t="s">
        <v>3</v>
      </c>
      <c r="D98" s="149" t="s">
        <v>84</v>
      </c>
      <c r="E98" s="149" t="s">
        <v>109</v>
      </c>
      <c r="F98" s="750" t="s">
        <v>102</v>
      </c>
      <c r="G98" s="751" t="s">
        <v>110</v>
      </c>
      <c r="H98" s="751" t="s">
        <v>57</v>
      </c>
      <c r="I98" s="752" t="s">
        <v>111</v>
      </c>
      <c r="J98" s="149" t="s">
        <v>76</v>
      </c>
      <c r="K98" s="824">
        <v>21.6</v>
      </c>
      <c r="L98" s="165">
        <f>M98-K98</f>
        <v>0</v>
      </c>
      <c r="M98" s="165">
        <v>21.6</v>
      </c>
      <c r="N98" s="165">
        <v>21.6</v>
      </c>
    </row>
    <row r="99" spans="1:14" s="391" customFormat="1" ht="57.75" customHeight="1">
      <c r="A99" s="150"/>
      <c r="B99" s="166" t="s">
        <v>147</v>
      </c>
      <c r="C99" s="164" t="s">
        <v>3</v>
      </c>
      <c r="D99" s="149" t="s">
        <v>84</v>
      </c>
      <c r="E99" s="149" t="s">
        <v>109</v>
      </c>
      <c r="F99" s="750" t="s">
        <v>102</v>
      </c>
      <c r="G99" s="751" t="s">
        <v>110</v>
      </c>
      <c r="H99" s="751" t="s">
        <v>59</v>
      </c>
      <c r="I99" s="752" t="s">
        <v>64</v>
      </c>
      <c r="J99" s="149"/>
      <c r="K99" s="824">
        <f t="shared" ref="K99:N100" si="11">K100</f>
        <v>240.7</v>
      </c>
      <c r="L99" s="165">
        <f t="shared" si="11"/>
        <v>0</v>
      </c>
      <c r="M99" s="165">
        <f t="shared" si="11"/>
        <v>240.7</v>
      </c>
      <c r="N99" s="165">
        <f t="shared" si="11"/>
        <v>240.7</v>
      </c>
    </row>
    <row r="100" spans="1:14" s="391" customFormat="1" ht="31.5" customHeight="1">
      <c r="A100" s="150"/>
      <c r="B100" s="166" t="s">
        <v>148</v>
      </c>
      <c r="C100" s="164" t="s">
        <v>3</v>
      </c>
      <c r="D100" s="149" t="s">
        <v>84</v>
      </c>
      <c r="E100" s="149" t="s">
        <v>109</v>
      </c>
      <c r="F100" s="750" t="s">
        <v>102</v>
      </c>
      <c r="G100" s="751" t="s">
        <v>110</v>
      </c>
      <c r="H100" s="751" t="s">
        <v>59</v>
      </c>
      <c r="I100" s="752" t="s">
        <v>111</v>
      </c>
      <c r="J100" s="149"/>
      <c r="K100" s="824">
        <f t="shared" si="11"/>
        <v>240.7</v>
      </c>
      <c r="L100" s="165">
        <f t="shared" si="11"/>
        <v>0</v>
      </c>
      <c r="M100" s="165">
        <f t="shared" si="11"/>
        <v>240.7</v>
      </c>
      <c r="N100" s="165">
        <f t="shared" si="11"/>
        <v>240.7</v>
      </c>
    </row>
    <row r="101" spans="1:14" s="391" customFormat="1" ht="57.75" customHeight="1">
      <c r="A101" s="150"/>
      <c r="B101" s="163" t="s">
        <v>75</v>
      </c>
      <c r="C101" s="164" t="s">
        <v>3</v>
      </c>
      <c r="D101" s="149" t="s">
        <v>84</v>
      </c>
      <c r="E101" s="149" t="s">
        <v>109</v>
      </c>
      <c r="F101" s="750" t="s">
        <v>102</v>
      </c>
      <c r="G101" s="751" t="s">
        <v>110</v>
      </c>
      <c r="H101" s="751" t="s">
        <v>59</v>
      </c>
      <c r="I101" s="752" t="s">
        <v>111</v>
      </c>
      <c r="J101" s="149" t="s">
        <v>76</v>
      </c>
      <c r="K101" s="824">
        <v>240.7</v>
      </c>
      <c r="L101" s="165">
        <f>M101-K101</f>
        <v>0</v>
      </c>
      <c r="M101" s="165">
        <v>240.7</v>
      </c>
      <c r="N101" s="165">
        <v>240.7</v>
      </c>
    </row>
    <row r="102" spans="1:14" s="391" customFormat="1" ht="75">
      <c r="A102" s="150"/>
      <c r="B102" s="168" t="s">
        <v>453</v>
      </c>
      <c r="C102" s="164" t="s">
        <v>3</v>
      </c>
      <c r="D102" s="149" t="s">
        <v>84</v>
      </c>
      <c r="E102" s="149" t="s">
        <v>109</v>
      </c>
      <c r="F102" s="750" t="s">
        <v>102</v>
      </c>
      <c r="G102" s="751" t="s">
        <v>50</v>
      </c>
      <c r="H102" s="751" t="s">
        <v>63</v>
      </c>
      <c r="I102" s="752" t="s">
        <v>64</v>
      </c>
      <c r="J102" s="149"/>
      <c r="K102" s="824">
        <f t="shared" ref="K102:N103" si="12">K103</f>
        <v>8848.1</v>
      </c>
      <c r="L102" s="165">
        <f t="shared" si="12"/>
        <v>0</v>
      </c>
      <c r="M102" s="165">
        <f t="shared" si="12"/>
        <v>8848.1</v>
      </c>
      <c r="N102" s="165">
        <f t="shared" si="12"/>
        <v>8848.5</v>
      </c>
    </row>
    <row r="103" spans="1:14" s="391" customFormat="1" ht="78.75" customHeight="1">
      <c r="A103" s="150"/>
      <c r="B103" s="166" t="s">
        <v>386</v>
      </c>
      <c r="C103" s="164" t="s">
        <v>3</v>
      </c>
      <c r="D103" s="149" t="s">
        <v>84</v>
      </c>
      <c r="E103" s="149" t="s">
        <v>109</v>
      </c>
      <c r="F103" s="750" t="s">
        <v>102</v>
      </c>
      <c r="G103" s="751" t="s">
        <v>50</v>
      </c>
      <c r="H103" s="751" t="s">
        <v>57</v>
      </c>
      <c r="I103" s="752" t="s">
        <v>64</v>
      </c>
      <c r="J103" s="149"/>
      <c r="K103" s="824">
        <f t="shared" si="12"/>
        <v>8848.1</v>
      </c>
      <c r="L103" s="165">
        <f t="shared" si="12"/>
        <v>0</v>
      </c>
      <c r="M103" s="165">
        <f t="shared" si="12"/>
        <v>8848.1</v>
      </c>
      <c r="N103" s="165">
        <f t="shared" si="12"/>
        <v>8848.5</v>
      </c>
    </row>
    <row r="104" spans="1:14" s="391" customFormat="1" ht="38.25" customHeight="1">
      <c r="A104" s="150"/>
      <c r="B104" s="303" t="s">
        <v>795</v>
      </c>
      <c r="C104" s="164" t="s">
        <v>3</v>
      </c>
      <c r="D104" s="149" t="s">
        <v>84</v>
      </c>
      <c r="E104" s="149" t="s">
        <v>109</v>
      </c>
      <c r="F104" s="750" t="s">
        <v>102</v>
      </c>
      <c r="G104" s="751" t="s">
        <v>50</v>
      </c>
      <c r="H104" s="751" t="s">
        <v>57</v>
      </c>
      <c r="I104" s="752" t="s">
        <v>112</v>
      </c>
      <c r="J104" s="149"/>
      <c r="K104" s="824">
        <f>K105+K106+K107</f>
        <v>8848.1</v>
      </c>
      <c r="L104" s="165">
        <f>L105+L106+L107</f>
        <v>0</v>
      </c>
      <c r="M104" s="165">
        <f>M105+M106+M107</f>
        <v>8848.1</v>
      </c>
      <c r="N104" s="165">
        <f>N105+N106+N107</f>
        <v>8848.5</v>
      </c>
    </row>
    <row r="105" spans="1:14" s="391" customFormat="1" ht="112.5">
      <c r="A105" s="150"/>
      <c r="B105" s="163" t="s">
        <v>69</v>
      </c>
      <c r="C105" s="164" t="s">
        <v>3</v>
      </c>
      <c r="D105" s="149" t="s">
        <v>84</v>
      </c>
      <c r="E105" s="149" t="s">
        <v>109</v>
      </c>
      <c r="F105" s="750" t="s">
        <v>102</v>
      </c>
      <c r="G105" s="751" t="s">
        <v>50</v>
      </c>
      <c r="H105" s="751" t="s">
        <v>57</v>
      </c>
      <c r="I105" s="752" t="s">
        <v>112</v>
      </c>
      <c r="J105" s="149" t="s">
        <v>70</v>
      </c>
      <c r="K105" s="824">
        <v>7482.1</v>
      </c>
      <c r="L105" s="165">
        <f>M105-K105</f>
        <v>0</v>
      </c>
      <c r="M105" s="165">
        <v>7482.1</v>
      </c>
      <c r="N105" s="165">
        <v>7482.1</v>
      </c>
    </row>
    <row r="106" spans="1:14" s="391" customFormat="1" ht="56.25">
      <c r="A106" s="150"/>
      <c r="B106" s="163" t="s">
        <v>75</v>
      </c>
      <c r="C106" s="164" t="s">
        <v>3</v>
      </c>
      <c r="D106" s="149" t="s">
        <v>84</v>
      </c>
      <c r="E106" s="149" t="s">
        <v>109</v>
      </c>
      <c r="F106" s="750" t="s">
        <v>102</v>
      </c>
      <c r="G106" s="751" t="s">
        <v>50</v>
      </c>
      <c r="H106" s="751" t="s">
        <v>57</v>
      </c>
      <c r="I106" s="752" t="s">
        <v>112</v>
      </c>
      <c r="J106" s="149" t="s">
        <v>76</v>
      </c>
      <c r="K106" s="824">
        <v>1359.7</v>
      </c>
      <c r="L106" s="165">
        <f>M106-K106</f>
        <v>0</v>
      </c>
      <c r="M106" s="165">
        <v>1359.7</v>
      </c>
      <c r="N106" s="165">
        <v>1360.1</v>
      </c>
    </row>
    <row r="107" spans="1:14" s="391" customFormat="1" ht="18.75">
      <c r="A107" s="150"/>
      <c r="B107" s="163" t="s">
        <v>77</v>
      </c>
      <c r="C107" s="164" t="s">
        <v>3</v>
      </c>
      <c r="D107" s="149" t="s">
        <v>84</v>
      </c>
      <c r="E107" s="149" t="s">
        <v>109</v>
      </c>
      <c r="F107" s="750" t="s">
        <v>102</v>
      </c>
      <c r="G107" s="751" t="s">
        <v>50</v>
      </c>
      <c r="H107" s="751" t="s">
        <v>57</v>
      </c>
      <c r="I107" s="752" t="s">
        <v>112</v>
      </c>
      <c r="J107" s="149" t="s">
        <v>78</v>
      </c>
      <c r="K107" s="824">
        <v>6.3</v>
      </c>
      <c r="L107" s="165">
        <f>M107-K107</f>
        <v>0</v>
      </c>
      <c r="M107" s="165">
        <v>6.3</v>
      </c>
      <c r="N107" s="165">
        <v>6.3</v>
      </c>
    </row>
    <row r="108" spans="1:14" s="391" customFormat="1" ht="18.75">
      <c r="A108" s="150"/>
      <c r="B108" s="163" t="s">
        <v>113</v>
      </c>
      <c r="C108" s="164" t="s">
        <v>3</v>
      </c>
      <c r="D108" s="149" t="s">
        <v>72</v>
      </c>
      <c r="E108" s="149"/>
      <c r="F108" s="750"/>
      <c r="G108" s="751"/>
      <c r="H108" s="751"/>
      <c r="I108" s="752"/>
      <c r="J108" s="149"/>
      <c r="K108" s="824">
        <f>K109+K118+K124</f>
        <v>23816.9</v>
      </c>
      <c r="L108" s="165">
        <f>L109+L118+L124</f>
        <v>0</v>
      </c>
      <c r="M108" s="165">
        <f>M109+M118+M124</f>
        <v>23816.9</v>
      </c>
      <c r="N108" s="165">
        <f>N109+N118+N124</f>
        <v>24744.1</v>
      </c>
    </row>
    <row r="109" spans="1:14" s="146" customFormat="1" ht="18.75">
      <c r="A109" s="150"/>
      <c r="B109" s="163" t="s">
        <v>114</v>
      </c>
      <c r="C109" s="164" t="s">
        <v>3</v>
      </c>
      <c r="D109" s="149" t="s">
        <v>72</v>
      </c>
      <c r="E109" s="149" t="s">
        <v>86</v>
      </c>
      <c r="F109" s="750"/>
      <c r="G109" s="751"/>
      <c r="H109" s="751"/>
      <c r="I109" s="752"/>
      <c r="J109" s="149"/>
      <c r="K109" s="824">
        <f t="shared" ref="K109:N110" si="13">K110</f>
        <v>11258.5</v>
      </c>
      <c r="L109" s="165">
        <f t="shared" si="13"/>
        <v>0</v>
      </c>
      <c r="M109" s="165">
        <f t="shared" si="13"/>
        <v>11258.5</v>
      </c>
      <c r="N109" s="165">
        <f t="shared" si="13"/>
        <v>11258.5</v>
      </c>
    </row>
    <row r="110" spans="1:14" s="391" customFormat="1" ht="59.25" customHeight="1">
      <c r="A110" s="150"/>
      <c r="B110" s="163" t="s">
        <v>115</v>
      </c>
      <c r="C110" s="164" t="s">
        <v>3</v>
      </c>
      <c r="D110" s="149" t="s">
        <v>72</v>
      </c>
      <c r="E110" s="149" t="s">
        <v>86</v>
      </c>
      <c r="F110" s="750" t="s">
        <v>88</v>
      </c>
      <c r="G110" s="751" t="s">
        <v>62</v>
      </c>
      <c r="H110" s="751" t="s">
        <v>63</v>
      </c>
      <c r="I110" s="752" t="s">
        <v>64</v>
      </c>
      <c r="J110" s="149"/>
      <c r="K110" s="824">
        <f t="shared" si="13"/>
        <v>11258.5</v>
      </c>
      <c r="L110" s="165">
        <f t="shared" si="13"/>
        <v>0</v>
      </c>
      <c r="M110" s="165">
        <f t="shared" si="13"/>
        <v>11258.5</v>
      </c>
      <c r="N110" s="165">
        <f t="shared" si="13"/>
        <v>11258.5</v>
      </c>
    </row>
    <row r="111" spans="1:14" s="146" customFormat="1" ht="37.5">
      <c r="A111" s="150"/>
      <c r="B111" s="163" t="s">
        <v>404</v>
      </c>
      <c r="C111" s="164" t="s">
        <v>3</v>
      </c>
      <c r="D111" s="149" t="s">
        <v>72</v>
      </c>
      <c r="E111" s="149" t="s">
        <v>86</v>
      </c>
      <c r="F111" s="750" t="s">
        <v>88</v>
      </c>
      <c r="G111" s="751" t="s">
        <v>65</v>
      </c>
      <c r="H111" s="751" t="s">
        <v>63</v>
      </c>
      <c r="I111" s="752" t="s">
        <v>64</v>
      </c>
      <c r="J111" s="149"/>
      <c r="K111" s="824">
        <f>K112+K115</f>
        <v>11258.5</v>
      </c>
      <c r="L111" s="165">
        <f>L112+L115</f>
        <v>0</v>
      </c>
      <c r="M111" s="165">
        <f>M112+M115</f>
        <v>11258.5</v>
      </c>
      <c r="N111" s="165">
        <f>N112+N115</f>
        <v>11258.5</v>
      </c>
    </row>
    <row r="112" spans="1:14" s="146" customFormat="1" ht="56.25">
      <c r="A112" s="150"/>
      <c r="B112" s="163" t="s">
        <v>116</v>
      </c>
      <c r="C112" s="164" t="s">
        <v>3</v>
      </c>
      <c r="D112" s="149" t="s">
        <v>72</v>
      </c>
      <c r="E112" s="149" t="s">
        <v>86</v>
      </c>
      <c r="F112" s="750" t="s">
        <v>88</v>
      </c>
      <c r="G112" s="751" t="s">
        <v>65</v>
      </c>
      <c r="H112" s="751" t="s">
        <v>57</v>
      </c>
      <c r="I112" s="752" t="s">
        <v>64</v>
      </c>
      <c r="J112" s="149"/>
      <c r="K112" s="824">
        <f t="shared" ref="K112:N112" si="14">K113</f>
        <v>11070.6</v>
      </c>
      <c r="L112" s="165">
        <f t="shared" si="14"/>
        <v>0</v>
      </c>
      <c r="M112" s="165">
        <f t="shared" si="14"/>
        <v>11070.6</v>
      </c>
      <c r="N112" s="165">
        <f t="shared" si="14"/>
        <v>11070.6</v>
      </c>
    </row>
    <row r="113" spans="1:14" s="146" customFormat="1" ht="75">
      <c r="A113" s="150"/>
      <c r="B113" s="195" t="s">
        <v>582</v>
      </c>
      <c r="C113" s="164" t="s">
        <v>3</v>
      </c>
      <c r="D113" s="149" t="s">
        <v>72</v>
      </c>
      <c r="E113" s="149" t="s">
        <v>86</v>
      </c>
      <c r="F113" s="750" t="s">
        <v>88</v>
      </c>
      <c r="G113" s="751" t="s">
        <v>65</v>
      </c>
      <c r="H113" s="751" t="s">
        <v>57</v>
      </c>
      <c r="I113" s="752" t="s">
        <v>82</v>
      </c>
      <c r="J113" s="149"/>
      <c r="K113" s="824">
        <f>K114</f>
        <v>11070.6</v>
      </c>
      <c r="L113" s="165">
        <f>L114</f>
        <v>0</v>
      </c>
      <c r="M113" s="165">
        <f>M114</f>
        <v>11070.6</v>
      </c>
      <c r="N113" s="165">
        <f>N114</f>
        <v>11070.6</v>
      </c>
    </row>
    <row r="114" spans="1:14" s="391" customFormat="1" ht="18.75">
      <c r="A114" s="150"/>
      <c r="B114" s="163" t="s">
        <v>77</v>
      </c>
      <c r="C114" s="164" t="s">
        <v>3</v>
      </c>
      <c r="D114" s="149" t="s">
        <v>72</v>
      </c>
      <c r="E114" s="149" t="s">
        <v>86</v>
      </c>
      <c r="F114" s="750" t="s">
        <v>88</v>
      </c>
      <c r="G114" s="751" t="s">
        <v>65</v>
      </c>
      <c r="H114" s="751" t="s">
        <v>57</v>
      </c>
      <c r="I114" s="752" t="s">
        <v>82</v>
      </c>
      <c r="J114" s="149" t="s">
        <v>78</v>
      </c>
      <c r="K114" s="824">
        <v>11070.6</v>
      </c>
      <c r="L114" s="165">
        <f>M114-K114</f>
        <v>0</v>
      </c>
      <c r="M114" s="165">
        <v>11070.6</v>
      </c>
      <c r="N114" s="165">
        <v>11070.6</v>
      </c>
    </row>
    <row r="115" spans="1:14" s="146" customFormat="1" ht="57" customHeight="1">
      <c r="A115" s="150"/>
      <c r="B115" s="163" t="s">
        <v>117</v>
      </c>
      <c r="C115" s="164" t="s">
        <v>3</v>
      </c>
      <c r="D115" s="149" t="s">
        <v>72</v>
      </c>
      <c r="E115" s="149" t="s">
        <v>86</v>
      </c>
      <c r="F115" s="750" t="s">
        <v>88</v>
      </c>
      <c r="G115" s="751" t="s">
        <v>65</v>
      </c>
      <c r="H115" s="751" t="s">
        <v>59</v>
      </c>
      <c r="I115" s="752" t="s">
        <v>64</v>
      </c>
      <c r="J115" s="149"/>
      <c r="K115" s="824">
        <f t="shared" ref="K115:N116" si="15">K116</f>
        <v>187.9</v>
      </c>
      <c r="L115" s="165">
        <f t="shared" si="15"/>
        <v>0</v>
      </c>
      <c r="M115" s="165">
        <f t="shared" si="15"/>
        <v>187.9</v>
      </c>
      <c r="N115" s="165">
        <f t="shared" si="15"/>
        <v>187.9</v>
      </c>
    </row>
    <row r="116" spans="1:14" s="146" customFormat="1" ht="172.5" customHeight="1">
      <c r="A116" s="150"/>
      <c r="B116" s="163" t="s">
        <v>687</v>
      </c>
      <c r="C116" s="164" t="s">
        <v>3</v>
      </c>
      <c r="D116" s="149" t="s">
        <v>72</v>
      </c>
      <c r="E116" s="149" t="s">
        <v>86</v>
      </c>
      <c r="F116" s="750" t="s">
        <v>88</v>
      </c>
      <c r="G116" s="751" t="s">
        <v>65</v>
      </c>
      <c r="H116" s="751" t="s">
        <v>59</v>
      </c>
      <c r="I116" s="752" t="s">
        <v>118</v>
      </c>
      <c r="J116" s="149"/>
      <c r="K116" s="824">
        <f t="shared" si="15"/>
        <v>187.9</v>
      </c>
      <c r="L116" s="165">
        <f t="shared" si="15"/>
        <v>0</v>
      </c>
      <c r="M116" s="165">
        <f t="shared" si="15"/>
        <v>187.9</v>
      </c>
      <c r="N116" s="165">
        <f t="shared" si="15"/>
        <v>187.9</v>
      </c>
    </row>
    <row r="117" spans="1:14" s="391" customFormat="1" ht="56.25">
      <c r="A117" s="150"/>
      <c r="B117" s="163" t="s">
        <v>75</v>
      </c>
      <c r="C117" s="164" t="s">
        <v>3</v>
      </c>
      <c r="D117" s="149" t="s">
        <v>72</v>
      </c>
      <c r="E117" s="149" t="s">
        <v>86</v>
      </c>
      <c r="F117" s="750" t="s">
        <v>88</v>
      </c>
      <c r="G117" s="751" t="s">
        <v>65</v>
      </c>
      <c r="H117" s="751" t="s">
        <v>59</v>
      </c>
      <c r="I117" s="752" t="s">
        <v>118</v>
      </c>
      <c r="J117" s="149" t="s">
        <v>76</v>
      </c>
      <c r="K117" s="824">
        <v>187.9</v>
      </c>
      <c r="L117" s="165">
        <f>M117-K117</f>
        <v>0</v>
      </c>
      <c r="M117" s="165">
        <v>187.9</v>
      </c>
      <c r="N117" s="165">
        <v>187.9</v>
      </c>
    </row>
    <row r="118" spans="1:14" s="146" customFormat="1" ht="18.75">
      <c r="A118" s="150"/>
      <c r="B118" s="168" t="s">
        <v>119</v>
      </c>
      <c r="C118" s="164" t="s">
        <v>3</v>
      </c>
      <c r="D118" s="149" t="s">
        <v>72</v>
      </c>
      <c r="E118" s="149" t="s">
        <v>100</v>
      </c>
      <c r="F118" s="750"/>
      <c r="G118" s="751"/>
      <c r="H118" s="751"/>
      <c r="I118" s="752"/>
      <c r="J118" s="149"/>
      <c r="K118" s="824">
        <f t="shared" ref="K118:N122" si="16">K119</f>
        <v>5907.9</v>
      </c>
      <c r="L118" s="165">
        <f t="shared" si="16"/>
        <v>0</v>
      </c>
      <c r="M118" s="165">
        <f t="shared" si="16"/>
        <v>5907.9</v>
      </c>
      <c r="N118" s="165">
        <f t="shared" si="16"/>
        <v>6835.1</v>
      </c>
    </row>
    <row r="119" spans="1:14" s="391" customFormat="1" ht="56.25">
      <c r="A119" s="150"/>
      <c r="B119" s="163" t="s">
        <v>120</v>
      </c>
      <c r="C119" s="164" t="s">
        <v>3</v>
      </c>
      <c r="D119" s="149" t="s">
        <v>72</v>
      </c>
      <c r="E119" s="149" t="s">
        <v>100</v>
      </c>
      <c r="F119" s="750" t="s">
        <v>121</v>
      </c>
      <c r="G119" s="751" t="s">
        <v>62</v>
      </c>
      <c r="H119" s="751" t="s">
        <v>63</v>
      </c>
      <c r="I119" s="752" t="s">
        <v>64</v>
      </c>
      <c r="J119" s="149"/>
      <c r="K119" s="824">
        <f t="shared" si="16"/>
        <v>5907.9</v>
      </c>
      <c r="L119" s="165">
        <f t="shared" si="16"/>
        <v>0</v>
      </c>
      <c r="M119" s="165">
        <f t="shared" si="16"/>
        <v>5907.9</v>
      </c>
      <c r="N119" s="165">
        <f t="shared" si="16"/>
        <v>6835.1</v>
      </c>
    </row>
    <row r="120" spans="1:14" s="146" customFormat="1" ht="37.5">
      <c r="A120" s="150"/>
      <c r="B120" s="163" t="s">
        <v>404</v>
      </c>
      <c r="C120" s="164" t="s">
        <v>3</v>
      </c>
      <c r="D120" s="149" t="s">
        <v>72</v>
      </c>
      <c r="E120" s="149" t="s">
        <v>100</v>
      </c>
      <c r="F120" s="750" t="s">
        <v>121</v>
      </c>
      <c r="G120" s="751" t="s">
        <v>65</v>
      </c>
      <c r="H120" s="751" t="s">
        <v>63</v>
      </c>
      <c r="I120" s="752" t="s">
        <v>64</v>
      </c>
      <c r="J120" s="149"/>
      <c r="K120" s="824">
        <f t="shared" si="16"/>
        <v>5907.9</v>
      </c>
      <c r="L120" s="165">
        <f t="shared" si="16"/>
        <v>0</v>
      </c>
      <c r="M120" s="165">
        <f t="shared" si="16"/>
        <v>5907.9</v>
      </c>
      <c r="N120" s="165">
        <f t="shared" si="16"/>
        <v>6835.1</v>
      </c>
    </row>
    <row r="121" spans="1:14" s="146" customFormat="1" ht="93.75">
      <c r="A121" s="150"/>
      <c r="B121" s="163" t="s">
        <v>122</v>
      </c>
      <c r="C121" s="164" t="s">
        <v>3</v>
      </c>
      <c r="D121" s="149" t="s">
        <v>72</v>
      </c>
      <c r="E121" s="149" t="s">
        <v>100</v>
      </c>
      <c r="F121" s="750" t="s">
        <v>121</v>
      </c>
      <c r="G121" s="751" t="s">
        <v>65</v>
      </c>
      <c r="H121" s="751" t="s">
        <v>57</v>
      </c>
      <c r="I121" s="752" t="s">
        <v>64</v>
      </c>
      <c r="J121" s="149"/>
      <c r="K121" s="824">
        <f t="shared" si="16"/>
        <v>5907.9</v>
      </c>
      <c r="L121" s="165">
        <f t="shared" si="16"/>
        <v>0</v>
      </c>
      <c r="M121" s="165">
        <f t="shared" si="16"/>
        <v>5907.9</v>
      </c>
      <c r="N121" s="165">
        <f t="shared" si="16"/>
        <v>6835.1</v>
      </c>
    </row>
    <row r="122" spans="1:14" s="146" customFormat="1" ht="75.75" customHeight="1">
      <c r="A122" s="150"/>
      <c r="B122" s="169" t="s">
        <v>123</v>
      </c>
      <c r="C122" s="164" t="s">
        <v>3</v>
      </c>
      <c r="D122" s="149" t="s">
        <v>72</v>
      </c>
      <c r="E122" s="149" t="s">
        <v>100</v>
      </c>
      <c r="F122" s="750" t="s">
        <v>121</v>
      </c>
      <c r="G122" s="751" t="s">
        <v>65</v>
      </c>
      <c r="H122" s="751" t="s">
        <v>57</v>
      </c>
      <c r="I122" s="752" t="s">
        <v>124</v>
      </c>
      <c r="J122" s="149"/>
      <c r="K122" s="824">
        <f t="shared" si="16"/>
        <v>5907.9</v>
      </c>
      <c r="L122" s="165">
        <f t="shared" si="16"/>
        <v>0</v>
      </c>
      <c r="M122" s="165">
        <f t="shared" si="16"/>
        <v>5907.9</v>
      </c>
      <c r="N122" s="165">
        <f t="shared" si="16"/>
        <v>6835.1</v>
      </c>
    </row>
    <row r="123" spans="1:14" s="391" customFormat="1" ht="56.25">
      <c r="A123" s="150"/>
      <c r="B123" s="163" t="s">
        <v>75</v>
      </c>
      <c r="C123" s="164" t="s">
        <v>3</v>
      </c>
      <c r="D123" s="149" t="s">
        <v>72</v>
      </c>
      <c r="E123" s="149" t="s">
        <v>100</v>
      </c>
      <c r="F123" s="750" t="s">
        <v>121</v>
      </c>
      <c r="G123" s="751" t="s">
        <v>65</v>
      </c>
      <c r="H123" s="751" t="s">
        <v>57</v>
      </c>
      <c r="I123" s="752" t="s">
        <v>124</v>
      </c>
      <c r="J123" s="149" t="s">
        <v>76</v>
      </c>
      <c r="K123" s="824">
        <v>5907.9</v>
      </c>
      <c r="L123" s="165">
        <f>M123-K123</f>
        <v>0</v>
      </c>
      <c r="M123" s="165">
        <v>5907.9</v>
      </c>
      <c r="N123" s="165">
        <v>6835.1</v>
      </c>
    </row>
    <row r="124" spans="1:14" s="146" customFormat="1" ht="37.5">
      <c r="A124" s="150"/>
      <c r="B124" s="168" t="s">
        <v>127</v>
      </c>
      <c r="C124" s="164" t="s">
        <v>3</v>
      </c>
      <c r="D124" s="149" t="s">
        <v>72</v>
      </c>
      <c r="E124" s="149" t="s">
        <v>121</v>
      </c>
      <c r="F124" s="750"/>
      <c r="G124" s="751"/>
      <c r="H124" s="751"/>
      <c r="I124" s="752"/>
      <c r="J124" s="149"/>
      <c r="K124" s="824">
        <f>K125+K134+K141</f>
        <v>6650.5</v>
      </c>
      <c r="L124" s="165">
        <f>L125+L134+L141</f>
        <v>0</v>
      </c>
      <c r="M124" s="165">
        <f>M125+M134+M141</f>
        <v>6650.5</v>
      </c>
      <c r="N124" s="165">
        <f>N125+N134+N141</f>
        <v>6650.5</v>
      </c>
    </row>
    <row r="125" spans="1:14" s="391" customFormat="1" ht="75">
      <c r="A125" s="150"/>
      <c r="B125" s="163" t="s">
        <v>128</v>
      </c>
      <c r="C125" s="164" t="s">
        <v>3</v>
      </c>
      <c r="D125" s="149" t="s">
        <v>72</v>
      </c>
      <c r="E125" s="149" t="s">
        <v>121</v>
      </c>
      <c r="F125" s="750" t="s">
        <v>92</v>
      </c>
      <c r="G125" s="751" t="s">
        <v>62</v>
      </c>
      <c r="H125" s="751" t="s">
        <v>63</v>
      </c>
      <c r="I125" s="752" t="s">
        <v>64</v>
      </c>
      <c r="J125" s="149"/>
      <c r="K125" s="824">
        <f>K130+K126</f>
        <v>1025.0999999999999</v>
      </c>
      <c r="L125" s="165">
        <f>L130+L126</f>
        <v>0</v>
      </c>
      <c r="M125" s="165">
        <f>M130+M126</f>
        <v>1025.0999999999999</v>
      </c>
      <c r="N125" s="165">
        <f>N130+N126</f>
        <v>1025.0999999999999</v>
      </c>
    </row>
    <row r="126" spans="1:14" s="391" customFormat="1" ht="56.25">
      <c r="A126" s="150"/>
      <c r="B126" s="168" t="s">
        <v>129</v>
      </c>
      <c r="C126" s="164" t="s">
        <v>3</v>
      </c>
      <c r="D126" s="149" t="s">
        <v>72</v>
      </c>
      <c r="E126" s="149" t="s">
        <v>121</v>
      </c>
      <c r="F126" s="750" t="s">
        <v>92</v>
      </c>
      <c r="G126" s="751" t="s">
        <v>65</v>
      </c>
      <c r="H126" s="751" t="s">
        <v>63</v>
      </c>
      <c r="I126" s="752" t="s">
        <v>64</v>
      </c>
      <c r="J126" s="149"/>
      <c r="K126" s="824">
        <f t="shared" ref="K126:N128" si="17">K127</f>
        <v>310</v>
      </c>
      <c r="L126" s="165">
        <f t="shared" si="17"/>
        <v>0</v>
      </c>
      <c r="M126" s="165">
        <f t="shared" si="17"/>
        <v>310</v>
      </c>
      <c r="N126" s="165">
        <f t="shared" si="17"/>
        <v>310</v>
      </c>
    </row>
    <row r="127" spans="1:14" s="391" customFormat="1" ht="37.5">
      <c r="A127" s="150"/>
      <c r="B127" s="163" t="s">
        <v>130</v>
      </c>
      <c r="C127" s="164" t="s">
        <v>3</v>
      </c>
      <c r="D127" s="149" t="s">
        <v>72</v>
      </c>
      <c r="E127" s="149" t="s">
        <v>121</v>
      </c>
      <c r="F127" s="750" t="s">
        <v>92</v>
      </c>
      <c r="G127" s="751" t="s">
        <v>65</v>
      </c>
      <c r="H127" s="751" t="s">
        <v>57</v>
      </c>
      <c r="I127" s="752" t="s">
        <v>64</v>
      </c>
      <c r="J127" s="149"/>
      <c r="K127" s="824">
        <f t="shared" si="17"/>
        <v>310</v>
      </c>
      <c r="L127" s="165">
        <f t="shared" si="17"/>
        <v>0</v>
      </c>
      <c r="M127" s="165">
        <f t="shared" si="17"/>
        <v>310</v>
      </c>
      <c r="N127" s="165">
        <f t="shared" si="17"/>
        <v>310</v>
      </c>
    </row>
    <row r="128" spans="1:14" s="391" customFormat="1" ht="37.5">
      <c r="A128" s="150"/>
      <c r="B128" s="168" t="s">
        <v>131</v>
      </c>
      <c r="C128" s="164" t="s">
        <v>3</v>
      </c>
      <c r="D128" s="149" t="s">
        <v>72</v>
      </c>
      <c r="E128" s="149" t="s">
        <v>121</v>
      </c>
      <c r="F128" s="750" t="s">
        <v>92</v>
      </c>
      <c r="G128" s="751" t="s">
        <v>65</v>
      </c>
      <c r="H128" s="751" t="s">
        <v>57</v>
      </c>
      <c r="I128" s="752" t="s">
        <v>132</v>
      </c>
      <c r="J128" s="149"/>
      <c r="K128" s="824">
        <f t="shared" si="17"/>
        <v>310</v>
      </c>
      <c r="L128" s="165">
        <f t="shared" si="17"/>
        <v>0</v>
      </c>
      <c r="M128" s="165">
        <f t="shared" si="17"/>
        <v>310</v>
      </c>
      <c r="N128" s="165">
        <f t="shared" si="17"/>
        <v>310</v>
      </c>
    </row>
    <row r="129" spans="1:15" s="391" customFormat="1" ht="56.25">
      <c r="A129" s="150"/>
      <c r="B129" s="163" t="s">
        <v>75</v>
      </c>
      <c r="C129" s="164" t="s">
        <v>3</v>
      </c>
      <c r="D129" s="149" t="s">
        <v>72</v>
      </c>
      <c r="E129" s="149" t="s">
        <v>121</v>
      </c>
      <c r="F129" s="750" t="s">
        <v>92</v>
      </c>
      <c r="G129" s="751" t="s">
        <v>65</v>
      </c>
      <c r="H129" s="751" t="s">
        <v>57</v>
      </c>
      <c r="I129" s="752" t="s">
        <v>132</v>
      </c>
      <c r="J129" s="149" t="s">
        <v>76</v>
      </c>
      <c r="K129" s="824">
        <v>310</v>
      </c>
      <c r="L129" s="165">
        <f>M129-K129</f>
        <v>0</v>
      </c>
      <c r="M129" s="165">
        <v>310</v>
      </c>
      <c r="N129" s="165">
        <v>310</v>
      </c>
    </row>
    <row r="130" spans="1:15" s="391" customFormat="1" ht="37.5">
      <c r="A130" s="150"/>
      <c r="B130" s="168" t="s">
        <v>133</v>
      </c>
      <c r="C130" s="164" t="s">
        <v>3</v>
      </c>
      <c r="D130" s="149" t="s">
        <v>72</v>
      </c>
      <c r="E130" s="149" t="s">
        <v>121</v>
      </c>
      <c r="F130" s="750" t="s">
        <v>92</v>
      </c>
      <c r="G130" s="751" t="s">
        <v>110</v>
      </c>
      <c r="H130" s="751" t="s">
        <v>63</v>
      </c>
      <c r="I130" s="752" t="s">
        <v>64</v>
      </c>
      <c r="J130" s="149"/>
      <c r="K130" s="824">
        <f t="shared" ref="K130:N132" si="18">K131</f>
        <v>715.1</v>
      </c>
      <c r="L130" s="165">
        <f t="shared" si="18"/>
        <v>0</v>
      </c>
      <c r="M130" s="165">
        <f t="shared" si="18"/>
        <v>715.1</v>
      </c>
      <c r="N130" s="165">
        <f t="shared" si="18"/>
        <v>715.1</v>
      </c>
    </row>
    <row r="131" spans="1:15" s="146" customFormat="1" ht="56.25">
      <c r="A131" s="150"/>
      <c r="B131" s="168" t="s">
        <v>134</v>
      </c>
      <c r="C131" s="164" t="s">
        <v>3</v>
      </c>
      <c r="D131" s="149" t="s">
        <v>72</v>
      </c>
      <c r="E131" s="149" t="s">
        <v>121</v>
      </c>
      <c r="F131" s="750" t="s">
        <v>92</v>
      </c>
      <c r="G131" s="751" t="s">
        <v>110</v>
      </c>
      <c r="H131" s="751" t="s">
        <v>57</v>
      </c>
      <c r="I131" s="752" t="s">
        <v>64</v>
      </c>
      <c r="J131" s="149"/>
      <c r="K131" s="824">
        <f t="shared" si="18"/>
        <v>715.1</v>
      </c>
      <c r="L131" s="165">
        <f t="shared" si="18"/>
        <v>0</v>
      </c>
      <c r="M131" s="165">
        <f t="shared" si="18"/>
        <v>715.1</v>
      </c>
      <c r="N131" s="165">
        <f t="shared" si="18"/>
        <v>715.1</v>
      </c>
    </row>
    <row r="132" spans="1:15" s="391" customFormat="1" ht="79.5" customHeight="1">
      <c r="A132" s="150"/>
      <c r="B132" s="168" t="s">
        <v>135</v>
      </c>
      <c r="C132" s="164" t="s">
        <v>3</v>
      </c>
      <c r="D132" s="149" t="s">
        <v>72</v>
      </c>
      <c r="E132" s="149" t="s">
        <v>121</v>
      </c>
      <c r="F132" s="750" t="s">
        <v>92</v>
      </c>
      <c r="G132" s="751" t="s">
        <v>110</v>
      </c>
      <c r="H132" s="751" t="s">
        <v>57</v>
      </c>
      <c r="I132" s="752" t="s">
        <v>136</v>
      </c>
      <c r="J132" s="149"/>
      <c r="K132" s="824">
        <f t="shared" si="18"/>
        <v>715.1</v>
      </c>
      <c r="L132" s="165">
        <f t="shared" si="18"/>
        <v>0</v>
      </c>
      <c r="M132" s="165">
        <f t="shared" si="18"/>
        <v>715.1</v>
      </c>
      <c r="N132" s="165">
        <f t="shared" si="18"/>
        <v>715.1</v>
      </c>
    </row>
    <row r="133" spans="1:15" s="146" customFormat="1" ht="56.25">
      <c r="A133" s="150"/>
      <c r="B133" s="163" t="s">
        <v>75</v>
      </c>
      <c r="C133" s="164" t="s">
        <v>3</v>
      </c>
      <c r="D133" s="149" t="s">
        <v>72</v>
      </c>
      <c r="E133" s="149" t="s">
        <v>121</v>
      </c>
      <c r="F133" s="750" t="s">
        <v>92</v>
      </c>
      <c r="G133" s="751" t="s">
        <v>110</v>
      </c>
      <c r="H133" s="751" t="s">
        <v>57</v>
      </c>
      <c r="I133" s="752" t="s">
        <v>136</v>
      </c>
      <c r="J133" s="149" t="s">
        <v>76</v>
      </c>
      <c r="K133" s="824">
        <v>715.1</v>
      </c>
      <c r="L133" s="165">
        <f>M133-K133</f>
        <v>0</v>
      </c>
      <c r="M133" s="165">
        <v>715.1</v>
      </c>
      <c r="N133" s="165">
        <v>715.1</v>
      </c>
    </row>
    <row r="134" spans="1:15" s="391" customFormat="1" ht="75">
      <c r="A134" s="150"/>
      <c r="B134" s="163" t="s">
        <v>137</v>
      </c>
      <c r="C134" s="164" t="s">
        <v>3</v>
      </c>
      <c r="D134" s="149" t="s">
        <v>72</v>
      </c>
      <c r="E134" s="149" t="s">
        <v>121</v>
      </c>
      <c r="F134" s="750" t="s">
        <v>109</v>
      </c>
      <c r="G134" s="751" t="s">
        <v>62</v>
      </c>
      <c r="H134" s="751" t="s">
        <v>63</v>
      </c>
      <c r="I134" s="752" t="s">
        <v>64</v>
      </c>
      <c r="J134" s="149"/>
      <c r="K134" s="824">
        <f t="shared" ref="K134:N135" si="19">K135</f>
        <v>891.2</v>
      </c>
      <c r="L134" s="165">
        <f t="shared" si="19"/>
        <v>0</v>
      </c>
      <c r="M134" s="165">
        <f t="shared" si="19"/>
        <v>891.2</v>
      </c>
      <c r="N134" s="165">
        <f t="shared" si="19"/>
        <v>891.2</v>
      </c>
    </row>
    <row r="135" spans="1:15" s="391" customFormat="1" ht="37.5">
      <c r="A135" s="150"/>
      <c r="B135" s="163" t="s">
        <v>404</v>
      </c>
      <c r="C135" s="164" t="s">
        <v>3</v>
      </c>
      <c r="D135" s="149" t="s">
        <v>72</v>
      </c>
      <c r="E135" s="149" t="s">
        <v>121</v>
      </c>
      <c r="F135" s="750" t="s">
        <v>109</v>
      </c>
      <c r="G135" s="751" t="s">
        <v>65</v>
      </c>
      <c r="H135" s="751" t="s">
        <v>63</v>
      </c>
      <c r="I135" s="752" t="s">
        <v>64</v>
      </c>
      <c r="J135" s="149"/>
      <c r="K135" s="824">
        <f t="shared" si="19"/>
        <v>891.2</v>
      </c>
      <c r="L135" s="165">
        <f t="shared" si="19"/>
        <v>0</v>
      </c>
      <c r="M135" s="165">
        <f t="shared" si="19"/>
        <v>891.2</v>
      </c>
      <c r="N135" s="165">
        <f t="shared" si="19"/>
        <v>891.2</v>
      </c>
    </row>
    <row r="136" spans="1:15" s="146" customFormat="1" ht="75">
      <c r="A136" s="150"/>
      <c r="B136" s="168" t="s">
        <v>360</v>
      </c>
      <c r="C136" s="164" t="s">
        <v>3</v>
      </c>
      <c r="D136" s="149" t="s">
        <v>72</v>
      </c>
      <c r="E136" s="149" t="s">
        <v>121</v>
      </c>
      <c r="F136" s="750" t="s">
        <v>109</v>
      </c>
      <c r="G136" s="751" t="s">
        <v>65</v>
      </c>
      <c r="H136" s="751" t="s">
        <v>57</v>
      </c>
      <c r="I136" s="752" t="s">
        <v>64</v>
      </c>
      <c r="J136" s="149"/>
      <c r="K136" s="824">
        <f>K139+K137</f>
        <v>891.2</v>
      </c>
      <c r="L136" s="165">
        <f>L139+L137</f>
        <v>0</v>
      </c>
      <c r="M136" s="165">
        <f>M139+M137</f>
        <v>891.2</v>
      </c>
      <c r="N136" s="165">
        <f>N139+N137</f>
        <v>891.2</v>
      </c>
    </row>
    <row r="137" spans="1:15" s="146" customFormat="1" ht="56.25">
      <c r="A137" s="150"/>
      <c r="B137" s="168" t="s">
        <v>138</v>
      </c>
      <c r="C137" s="164" t="s">
        <v>3</v>
      </c>
      <c r="D137" s="149" t="s">
        <v>72</v>
      </c>
      <c r="E137" s="149" t="s">
        <v>121</v>
      </c>
      <c r="F137" s="750" t="s">
        <v>109</v>
      </c>
      <c r="G137" s="751" t="s">
        <v>65</v>
      </c>
      <c r="H137" s="751" t="s">
        <v>57</v>
      </c>
      <c r="I137" s="752" t="s">
        <v>139</v>
      </c>
      <c r="J137" s="149"/>
      <c r="K137" s="824">
        <f>K138</f>
        <v>112.2</v>
      </c>
      <c r="L137" s="165">
        <f>L138</f>
        <v>0</v>
      </c>
      <c r="M137" s="165">
        <f>M138</f>
        <v>112.2</v>
      </c>
      <c r="N137" s="165">
        <f>N138</f>
        <v>112.2</v>
      </c>
    </row>
    <row r="138" spans="1:15" s="146" customFormat="1" ht="56.25">
      <c r="A138" s="150"/>
      <c r="B138" s="163" t="s">
        <v>75</v>
      </c>
      <c r="C138" s="164" t="s">
        <v>3</v>
      </c>
      <c r="D138" s="149" t="s">
        <v>72</v>
      </c>
      <c r="E138" s="149" t="s">
        <v>121</v>
      </c>
      <c r="F138" s="750" t="s">
        <v>109</v>
      </c>
      <c r="G138" s="751" t="s">
        <v>65</v>
      </c>
      <c r="H138" s="751" t="s">
        <v>57</v>
      </c>
      <c r="I138" s="752" t="s">
        <v>139</v>
      </c>
      <c r="J138" s="149" t="s">
        <v>76</v>
      </c>
      <c r="K138" s="824">
        <v>112.2</v>
      </c>
      <c r="L138" s="165">
        <f>M138-K138</f>
        <v>0</v>
      </c>
      <c r="M138" s="165">
        <v>112.2</v>
      </c>
      <c r="N138" s="165">
        <v>112.2</v>
      </c>
    </row>
    <row r="139" spans="1:15" s="146" customFormat="1" ht="75">
      <c r="A139" s="523"/>
      <c r="B139" s="163" t="s">
        <v>497</v>
      </c>
      <c r="C139" s="164" t="s">
        <v>3</v>
      </c>
      <c r="D139" s="149" t="s">
        <v>72</v>
      </c>
      <c r="E139" s="149" t="s">
        <v>121</v>
      </c>
      <c r="F139" s="750" t="s">
        <v>109</v>
      </c>
      <c r="G139" s="751" t="s">
        <v>65</v>
      </c>
      <c r="H139" s="751" t="s">
        <v>57</v>
      </c>
      <c r="I139" s="752" t="s">
        <v>496</v>
      </c>
      <c r="J139" s="149"/>
      <c r="K139" s="824">
        <f t="shared" ref="K139:N139" si="20">K140</f>
        <v>779</v>
      </c>
      <c r="L139" s="165">
        <f t="shared" si="20"/>
        <v>0</v>
      </c>
      <c r="M139" s="165">
        <f t="shared" si="20"/>
        <v>779</v>
      </c>
      <c r="N139" s="165">
        <f t="shared" si="20"/>
        <v>779</v>
      </c>
      <c r="O139" s="524"/>
    </row>
    <row r="140" spans="1:15" s="146" customFormat="1" ht="56.25">
      <c r="A140" s="523"/>
      <c r="B140" s="163" t="s">
        <v>75</v>
      </c>
      <c r="C140" s="164" t="s">
        <v>3</v>
      </c>
      <c r="D140" s="149" t="s">
        <v>72</v>
      </c>
      <c r="E140" s="149" t="s">
        <v>121</v>
      </c>
      <c r="F140" s="750" t="s">
        <v>109</v>
      </c>
      <c r="G140" s="751" t="s">
        <v>65</v>
      </c>
      <c r="H140" s="751" t="s">
        <v>57</v>
      </c>
      <c r="I140" s="752" t="s">
        <v>496</v>
      </c>
      <c r="J140" s="149" t="s">
        <v>76</v>
      </c>
      <c r="K140" s="824">
        <v>779</v>
      </c>
      <c r="L140" s="165">
        <f>M140-K140</f>
        <v>0</v>
      </c>
      <c r="M140" s="165">
        <v>779</v>
      </c>
      <c r="N140" s="165">
        <v>779</v>
      </c>
      <c r="O140" s="524"/>
    </row>
    <row r="141" spans="1:15" s="146" customFormat="1" ht="58.5" customHeight="1">
      <c r="A141" s="150"/>
      <c r="B141" s="163" t="s">
        <v>60</v>
      </c>
      <c r="C141" s="164" t="s">
        <v>3</v>
      </c>
      <c r="D141" s="149" t="s">
        <v>72</v>
      </c>
      <c r="E141" s="149" t="s">
        <v>121</v>
      </c>
      <c r="F141" s="750" t="s">
        <v>61</v>
      </c>
      <c r="G141" s="751" t="s">
        <v>62</v>
      </c>
      <c r="H141" s="751" t="s">
        <v>63</v>
      </c>
      <c r="I141" s="752" t="s">
        <v>64</v>
      </c>
      <c r="J141" s="149"/>
      <c r="K141" s="824">
        <f t="shared" ref="K141:N142" si="21">K142</f>
        <v>4734.2</v>
      </c>
      <c r="L141" s="165">
        <f t="shared" si="21"/>
        <v>0</v>
      </c>
      <c r="M141" s="165">
        <f t="shared" si="21"/>
        <v>4734.2</v>
      </c>
      <c r="N141" s="165">
        <f t="shared" si="21"/>
        <v>4734.2</v>
      </c>
    </row>
    <row r="142" spans="1:15" s="146" customFormat="1" ht="37.5">
      <c r="A142" s="150"/>
      <c r="B142" s="163" t="s">
        <v>404</v>
      </c>
      <c r="C142" s="164" t="s">
        <v>3</v>
      </c>
      <c r="D142" s="149" t="s">
        <v>72</v>
      </c>
      <c r="E142" s="149" t="s">
        <v>121</v>
      </c>
      <c r="F142" s="750" t="s">
        <v>61</v>
      </c>
      <c r="G142" s="751" t="s">
        <v>65</v>
      </c>
      <c r="H142" s="751" t="s">
        <v>63</v>
      </c>
      <c r="I142" s="752" t="s">
        <v>64</v>
      </c>
      <c r="J142" s="149"/>
      <c r="K142" s="824">
        <f t="shared" si="21"/>
        <v>4734.2</v>
      </c>
      <c r="L142" s="165">
        <f t="shared" si="21"/>
        <v>0</v>
      </c>
      <c r="M142" s="165">
        <f t="shared" si="21"/>
        <v>4734.2</v>
      </c>
      <c r="N142" s="165">
        <f t="shared" si="21"/>
        <v>4734.2</v>
      </c>
    </row>
    <row r="143" spans="1:15" s="146" customFormat="1" ht="56.25">
      <c r="A143" s="150"/>
      <c r="B143" s="163" t="s">
        <v>396</v>
      </c>
      <c r="C143" s="164" t="s">
        <v>3</v>
      </c>
      <c r="D143" s="149" t="s">
        <v>72</v>
      </c>
      <c r="E143" s="149" t="s">
        <v>121</v>
      </c>
      <c r="F143" s="750" t="s">
        <v>61</v>
      </c>
      <c r="G143" s="751" t="s">
        <v>65</v>
      </c>
      <c r="H143" s="751" t="s">
        <v>109</v>
      </c>
      <c r="I143" s="752" t="s">
        <v>64</v>
      </c>
      <c r="J143" s="149"/>
      <c r="K143" s="824">
        <f>K144</f>
        <v>4734.2</v>
      </c>
      <c r="L143" s="165">
        <f>L144</f>
        <v>0</v>
      </c>
      <c r="M143" s="165">
        <f>M144</f>
        <v>4734.2</v>
      </c>
      <c r="N143" s="165">
        <f>N144</f>
        <v>4734.2</v>
      </c>
    </row>
    <row r="144" spans="1:15" s="146" customFormat="1" ht="41.25" customHeight="1">
      <c r="A144" s="150"/>
      <c r="B144" s="303" t="s">
        <v>795</v>
      </c>
      <c r="C144" s="164" t="s">
        <v>3</v>
      </c>
      <c r="D144" s="149" t="s">
        <v>72</v>
      </c>
      <c r="E144" s="149" t="s">
        <v>121</v>
      </c>
      <c r="F144" s="750" t="s">
        <v>61</v>
      </c>
      <c r="G144" s="751" t="s">
        <v>65</v>
      </c>
      <c r="H144" s="751" t="s">
        <v>109</v>
      </c>
      <c r="I144" s="752" t="s">
        <v>112</v>
      </c>
      <c r="J144" s="149"/>
      <c r="K144" s="824">
        <f>K145+K146</f>
        <v>4734.2</v>
      </c>
      <c r="L144" s="165">
        <f>L145+L146</f>
        <v>0</v>
      </c>
      <c r="M144" s="165">
        <f>M145+M146</f>
        <v>4734.2</v>
      </c>
      <c r="N144" s="165">
        <f>N145+N146</f>
        <v>4734.2</v>
      </c>
    </row>
    <row r="145" spans="1:14" s="146" customFormat="1" ht="112.5">
      <c r="A145" s="150"/>
      <c r="B145" s="163" t="s">
        <v>69</v>
      </c>
      <c r="C145" s="164" t="s">
        <v>3</v>
      </c>
      <c r="D145" s="149" t="s">
        <v>72</v>
      </c>
      <c r="E145" s="149" t="s">
        <v>121</v>
      </c>
      <c r="F145" s="750" t="s">
        <v>61</v>
      </c>
      <c r="G145" s="751" t="s">
        <v>65</v>
      </c>
      <c r="H145" s="751" t="s">
        <v>109</v>
      </c>
      <c r="I145" s="752" t="s">
        <v>112</v>
      </c>
      <c r="J145" s="149" t="s">
        <v>70</v>
      </c>
      <c r="K145" s="824">
        <v>4490.2</v>
      </c>
      <c r="L145" s="165">
        <f>M145-K145</f>
        <v>0</v>
      </c>
      <c r="M145" s="165">
        <v>4490.2</v>
      </c>
      <c r="N145" s="165">
        <v>4490.2</v>
      </c>
    </row>
    <row r="146" spans="1:14" s="146" customFormat="1" ht="56.25">
      <c r="A146" s="150"/>
      <c r="B146" s="163" t="s">
        <v>75</v>
      </c>
      <c r="C146" s="164" t="s">
        <v>3</v>
      </c>
      <c r="D146" s="149" t="s">
        <v>72</v>
      </c>
      <c r="E146" s="149" t="s">
        <v>121</v>
      </c>
      <c r="F146" s="750" t="s">
        <v>61</v>
      </c>
      <c r="G146" s="751" t="s">
        <v>65</v>
      </c>
      <c r="H146" s="751" t="s">
        <v>109</v>
      </c>
      <c r="I146" s="752" t="s">
        <v>112</v>
      </c>
      <c r="J146" s="149" t="s">
        <v>76</v>
      </c>
      <c r="K146" s="824">
        <v>244</v>
      </c>
      <c r="L146" s="165">
        <f>M146-K146</f>
        <v>0</v>
      </c>
      <c r="M146" s="165">
        <v>244</v>
      </c>
      <c r="N146" s="165">
        <v>244</v>
      </c>
    </row>
    <row r="147" spans="1:14" s="146" customFormat="1" ht="18.75">
      <c r="A147" s="150"/>
      <c r="B147" s="163" t="s">
        <v>199</v>
      </c>
      <c r="C147" s="164" t="s">
        <v>3</v>
      </c>
      <c r="D147" s="149" t="s">
        <v>86</v>
      </c>
      <c r="E147" s="149"/>
      <c r="F147" s="750"/>
      <c r="G147" s="751"/>
      <c r="H147" s="751"/>
      <c r="I147" s="752"/>
      <c r="J147" s="149"/>
      <c r="K147" s="824">
        <f t="shared" ref="K147:N148" si="22">K148</f>
        <v>0</v>
      </c>
      <c r="L147" s="165">
        <f t="shared" si="22"/>
        <v>0</v>
      </c>
      <c r="M147" s="165">
        <f t="shared" si="22"/>
        <v>0</v>
      </c>
      <c r="N147" s="165">
        <f t="shared" si="22"/>
        <v>25766.9</v>
      </c>
    </row>
    <row r="148" spans="1:14" s="146" customFormat="1" ht="18.75">
      <c r="A148" s="150"/>
      <c r="B148" s="163" t="s">
        <v>823</v>
      </c>
      <c r="C148" s="164" t="s">
        <v>3</v>
      </c>
      <c r="D148" s="149" t="s">
        <v>86</v>
      </c>
      <c r="E148" s="149" t="s">
        <v>57</v>
      </c>
      <c r="F148" s="750"/>
      <c r="G148" s="751"/>
      <c r="H148" s="751"/>
      <c r="I148" s="752"/>
      <c r="J148" s="149"/>
      <c r="K148" s="824">
        <f t="shared" si="22"/>
        <v>0</v>
      </c>
      <c r="L148" s="165">
        <f t="shared" si="22"/>
        <v>0</v>
      </c>
      <c r="M148" s="165">
        <f t="shared" si="22"/>
        <v>0</v>
      </c>
      <c r="N148" s="165">
        <f t="shared" si="22"/>
        <v>25766.9</v>
      </c>
    </row>
    <row r="149" spans="1:14" s="146" customFormat="1" ht="78" customHeight="1">
      <c r="A149" s="150"/>
      <c r="B149" s="419" t="s">
        <v>397</v>
      </c>
      <c r="C149" s="164" t="s">
        <v>3</v>
      </c>
      <c r="D149" s="149" t="s">
        <v>86</v>
      </c>
      <c r="E149" s="149" t="s">
        <v>57</v>
      </c>
      <c r="F149" s="750" t="s">
        <v>125</v>
      </c>
      <c r="G149" s="751" t="s">
        <v>62</v>
      </c>
      <c r="H149" s="751" t="s">
        <v>63</v>
      </c>
      <c r="I149" s="752" t="s">
        <v>64</v>
      </c>
      <c r="J149" s="149"/>
      <c r="K149" s="824">
        <f>K151</f>
        <v>0</v>
      </c>
      <c r="L149" s="165">
        <f>L151</f>
        <v>0</v>
      </c>
      <c r="M149" s="165">
        <f>M151</f>
        <v>0</v>
      </c>
      <c r="N149" s="165">
        <f>N150</f>
        <v>25766.9</v>
      </c>
    </row>
    <row r="150" spans="1:14" s="146" customFormat="1" ht="37.5" customHeight="1">
      <c r="A150" s="150"/>
      <c r="B150" s="618" t="s">
        <v>876</v>
      </c>
      <c r="C150" s="164" t="s">
        <v>3</v>
      </c>
      <c r="D150" s="149" t="s">
        <v>86</v>
      </c>
      <c r="E150" s="149" t="s">
        <v>57</v>
      </c>
      <c r="F150" s="750" t="s">
        <v>125</v>
      </c>
      <c r="G150" s="751" t="s">
        <v>877</v>
      </c>
      <c r="H150" s="751" t="s">
        <v>63</v>
      </c>
      <c r="I150" s="752" t="s">
        <v>64</v>
      </c>
      <c r="J150" s="149"/>
      <c r="K150" s="824"/>
      <c r="L150" s="165">
        <f>L151</f>
        <v>0</v>
      </c>
      <c r="M150" s="165">
        <f>M151</f>
        <v>0</v>
      </c>
      <c r="N150" s="165">
        <f>N151</f>
        <v>25766.9</v>
      </c>
    </row>
    <row r="151" spans="1:14" s="146" customFormat="1" ht="56.25" customHeight="1">
      <c r="A151" s="150"/>
      <c r="B151" s="163" t="s">
        <v>821</v>
      </c>
      <c r="C151" s="164" t="s">
        <v>3</v>
      </c>
      <c r="D151" s="149" t="s">
        <v>86</v>
      </c>
      <c r="E151" s="149" t="s">
        <v>57</v>
      </c>
      <c r="F151" s="750" t="s">
        <v>125</v>
      </c>
      <c r="G151" s="751" t="s">
        <v>877</v>
      </c>
      <c r="H151" s="751" t="s">
        <v>818</v>
      </c>
      <c r="I151" s="752" t="s">
        <v>64</v>
      </c>
      <c r="J151" s="149"/>
      <c r="K151" s="824">
        <f>K152+K154</f>
        <v>0</v>
      </c>
      <c r="L151" s="165">
        <f>L152+L154</f>
        <v>0</v>
      </c>
      <c r="M151" s="165">
        <f>M152+M154</f>
        <v>0</v>
      </c>
      <c r="N151" s="165">
        <f>N152+N154</f>
        <v>25766.9</v>
      </c>
    </row>
    <row r="152" spans="1:14" s="146" customFormat="1" ht="109.5" customHeight="1">
      <c r="A152" s="150"/>
      <c r="B152" s="163" t="s">
        <v>822</v>
      </c>
      <c r="C152" s="164" t="s">
        <v>3</v>
      </c>
      <c r="D152" s="149" t="s">
        <v>86</v>
      </c>
      <c r="E152" s="149" t="s">
        <v>57</v>
      </c>
      <c r="F152" s="750" t="s">
        <v>125</v>
      </c>
      <c r="G152" s="751" t="s">
        <v>877</v>
      </c>
      <c r="H152" s="751" t="s">
        <v>818</v>
      </c>
      <c r="I152" s="752" t="s">
        <v>819</v>
      </c>
      <c r="J152" s="149"/>
      <c r="K152" s="824">
        <f>K153</f>
        <v>0</v>
      </c>
      <c r="L152" s="165">
        <f>L153</f>
        <v>0</v>
      </c>
      <c r="M152" s="165">
        <f>M153</f>
        <v>0</v>
      </c>
      <c r="N152" s="165">
        <f>N153</f>
        <v>20613.5</v>
      </c>
    </row>
    <row r="153" spans="1:14" s="146" customFormat="1" ht="56.25">
      <c r="A153" s="150"/>
      <c r="B153" s="163" t="s">
        <v>225</v>
      </c>
      <c r="C153" s="164" t="s">
        <v>3</v>
      </c>
      <c r="D153" s="149" t="s">
        <v>86</v>
      </c>
      <c r="E153" s="149" t="s">
        <v>57</v>
      </c>
      <c r="F153" s="750" t="s">
        <v>125</v>
      </c>
      <c r="G153" s="751" t="s">
        <v>877</v>
      </c>
      <c r="H153" s="751" t="s">
        <v>818</v>
      </c>
      <c r="I153" s="752" t="s">
        <v>819</v>
      </c>
      <c r="J153" s="149" t="s">
        <v>226</v>
      </c>
      <c r="K153" s="824">
        <v>0</v>
      </c>
      <c r="L153" s="165">
        <f>M153-K153</f>
        <v>0</v>
      </c>
      <c r="M153" s="165">
        <v>0</v>
      </c>
      <c r="N153" s="165">
        <v>20613.5</v>
      </c>
    </row>
    <row r="154" spans="1:14" s="146" customFormat="1" ht="112.5" customHeight="1">
      <c r="A154" s="150"/>
      <c r="B154" s="163" t="s">
        <v>822</v>
      </c>
      <c r="C154" s="164" t="s">
        <v>3</v>
      </c>
      <c r="D154" s="149" t="s">
        <v>86</v>
      </c>
      <c r="E154" s="149" t="s">
        <v>57</v>
      </c>
      <c r="F154" s="750" t="s">
        <v>125</v>
      </c>
      <c r="G154" s="751" t="s">
        <v>877</v>
      </c>
      <c r="H154" s="751" t="s">
        <v>818</v>
      </c>
      <c r="I154" s="752" t="s">
        <v>820</v>
      </c>
      <c r="J154" s="149"/>
      <c r="K154" s="824">
        <f>K155</f>
        <v>0</v>
      </c>
      <c r="L154" s="165">
        <f>L155</f>
        <v>0</v>
      </c>
      <c r="M154" s="165">
        <f>M155</f>
        <v>0</v>
      </c>
      <c r="N154" s="165">
        <f>N155</f>
        <v>5153.3999999999996</v>
      </c>
    </row>
    <row r="155" spans="1:14" s="146" customFormat="1" ht="56.25">
      <c r="A155" s="150"/>
      <c r="B155" s="362" t="s">
        <v>225</v>
      </c>
      <c r="C155" s="164" t="s">
        <v>3</v>
      </c>
      <c r="D155" s="149" t="s">
        <v>86</v>
      </c>
      <c r="E155" s="149" t="s">
        <v>57</v>
      </c>
      <c r="F155" s="750" t="s">
        <v>125</v>
      </c>
      <c r="G155" s="751" t="s">
        <v>877</v>
      </c>
      <c r="H155" s="751" t="s">
        <v>818</v>
      </c>
      <c r="I155" s="752" t="s">
        <v>820</v>
      </c>
      <c r="J155" s="149" t="s">
        <v>226</v>
      </c>
      <c r="K155" s="824">
        <v>0</v>
      </c>
      <c r="L155" s="165">
        <f>M155-K155</f>
        <v>0</v>
      </c>
      <c r="M155" s="165">
        <v>0</v>
      </c>
      <c r="N155" s="165">
        <v>5153.3999999999996</v>
      </c>
    </row>
    <row r="156" spans="1:14" s="391" customFormat="1" ht="18.75">
      <c r="A156" s="150"/>
      <c r="B156" s="163" t="s">
        <v>140</v>
      </c>
      <c r="C156" s="164" t="s">
        <v>3</v>
      </c>
      <c r="D156" s="149" t="s">
        <v>125</v>
      </c>
      <c r="E156" s="149"/>
      <c r="F156" s="750"/>
      <c r="G156" s="751"/>
      <c r="H156" s="751"/>
      <c r="I156" s="752"/>
      <c r="J156" s="149"/>
      <c r="K156" s="824">
        <f>K157+K163</f>
        <v>1480.7</v>
      </c>
      <c r="L156" s="165">
        <f>L157+L163</f>
        <v>0</v>
      </c>
      <c r="M156" s="165">
        <f>M157+M163</f>
        <v>1480.7</v>
      </c>
      <c r="N156" s="165">
        <f>N157+N163</f>
        <v>1480.7</v>
      </c>
    </row>
    <row r="157" spans="1:14" s="391" customFormat="1" ht="18.75">
      <c r="A157" s="150"/>
      <c r="B157" s="163" t="s">
        <v>432</v>
      </c>
      <c r="C157" s="164" t="s">
        <v>3</v>
      </c>
      <c r="D157" s="149" t="s">
        <v>125</v>
      </c>
      <c r="E157" s="149" t="s">
        <v>57</v>
      </c>
      <c r="F157" s="750"/>
      <c r="G157" s="751"/>
      <c r="H157" s="751"/>
      <c r="I157" s="752"/>
      <c r="J157" s="149"/>
      <c r="K157" s="824">
        <f t="shared" ref="K157:N161" si="23">K158</f>
        <v>552</v>
      </c>
      <c r="L157" s="165">
        <f t="shared" si="23"/>
        <v>0</v>
      </c>
      <c r="M157" s="165">
        <f t="shared" si="23"/>
        <v>552</v>
      </c>
      <c r="N157" s="165">
        <f t="shared" si="23"/>
        <v>552</v>
      </c>
    </row>
    <row r="158" spans="1:14" s="391" customFormat="1" ht="56.25">
      <c r="A158" s="150"/>
      <c r="B158" s="170" t="s">
        <v>339</v>
      </c>
      <c r="C158" s="164" t="s">
        <v>3</v>
      </c>
      <c r="D158" s="149" t="s">
        <v>125</v>
      </c>
      <c r="E158" s="149" t="s">
        <v>57</v>
      </c>
      <c r="F158" s="750" t="s">
        <v>100</v>
      </c>
      <c r="G158" s="751" t="s">
        <v>62</v>
      </c>
      <c r="H158" s="751" t="s">
        <v>63</v>
      </c>
      <c r="I158" s="752" t="s">
        <v>64</v>
      </c>
      <c r="J158" s="149"/>
      <c r="K158" s="824">
        <f t="shared" si="23"/>
        <v>552</v>
      </c>
      <c r="L158" s="165">
        <f t="shared" si="23"/>
        <v>0</v>
      </c>
      <c r="M158" s="165">
        <f t="shared" si="23"/>
        <v>552</v>
      </c>
      <c r="N158" s="165">
        <f t="shared" si="23"/>
        <v>552</v>
      </c>
    </row>
    <row r="159" spans="1:14" s="391" customFormat="1" ht="37.5">
      <c r="A159" s="150"/>
      <c r="B159" s="163" t="s">
        <v>404</v>
      </c>
      <c r="C159" s="164" t="s">
        <v>3</v>
      </c>
      <c r="D159" s="149" t="s">
        <v>125</v>
      </c>
      <c r="E159" s="149" t="s">
        <v>57</v>
      </c>
      <c r="F159" s="750" t="s">
        <v>100</v>
      </c>
      <c r="G159" s="751" t="s">
        <v>65</v>
      </c>
      <c r="H159" s="751" t="s">
        <v>63</v>
      </c>
      <c r="I159" s="752" t="s">
        <v>64</v>
      </c>
      <c r="J159" s="149"/>
      <c r="K159" s="824">
        <f t="shared" si="23"/>
        <v>552</v>
      </c>
      <c r="L159" s="165">
        <f t="shared" si="23"/>
        <v>0</v>
      </c>
      <c r="M159" s="165">
        <f t="shared" si="23"/>
        <v>552</v>
      </c>
      <c r="N159" s="165">
        <f t="shared" si="23"/>
        <v>552</v>
      </c>
    </row>
    <row r="160" spans="1:14" s="391" customFormat="1" ht="93.75">
      <c r="A160" s="150"/>
      <c r="B160" s="166" t="s">
        <v>754</v>
      </c>
      <c r="C160" s="164" t="s">
        <v>3</v>
      </c>
      <c r="D160" s="149" t="s">
        <v>125</v>
      </c>
      <c r="E160" s="149" t="s">
        <v>57</v>
      </c>
      <c r="F160" s="750" t="s">
        <v>100</v>
      </c>
      <c r="G160" s="751" t="s">
        <v>65</v>
      </c>
      <c r="H160" s="751" t="s">
        <v>72</v>
      </c>
      <c r="I160" s="752" t="s">
        <v>64</v>
      </c>
      <c r="J160" s="149"/>
      <c r="K160" s="824">
        <f t="shared" si="23"/>
        <v>552</v>
      </c>
      <c r="L160" s="165">
        <f t="shared" si="23"/>
        <v>0</v>
      </c>
      <c r="M160" s="165">
        <f t="shared" si="23"/>
        <v>552</v>
      </c>
      <c r="N160" s="165">
        <f t="shared" si="23"/>
        <v>552</v>
      </c>
    </row>
    <row r="161" spans="1:14" s="391" customFormat="1" ht="75.75" customHeight="1">
      <c r="A161" s="150"/>
      <c r="B161" s="166" t="s">
        <v>746</v>
      </c>
      <c r="C161" s="164" t="s">
        <v>3</v>
      </c>
      <c r="D161" s="149" t="s">
        <v>125</v>
      </c>
      <c r="E161" s="149" t="s">
        <v>57</v>
      </c>
      <c r="F161" s="750" t="s">
        <v>100</v>
      </c>
      <c r="G161" s="751" t="s">
        <v>65</v>
      </c>
      <c r="H161" s="751" t="s">
        <v>72</v>
      </c>
      <c r="I161" s="752" t="s">
        <v>433</v>
      </c>
      <c r="J161" s="149"/>
      <c r="K161" s="824">
        <f t="shared" si="23"/>
        <v>552</v>
      </c>
      <c r="L161" s="165">
        <f t="shared" si="23"/>
        <v>0</v>
      </c>
      <c r="M161" s="165">
        <f t="shared" si="23"/>
        <v>552</v>
      </c>
      <c r="N161" s="165">
        <f t="shared" si="23"/>
        <v>552</v>
      </c>
    </row>
    <row r="162" spans="1:14" s="391" customFormat="1" ht="37.5">
      <c r="A162" s="150"/>
      <c r="B162" s="167" t="s">
        <v>141</v>
      </c>
      <c r="C162" s="164" t="s">
        <v>3</v>
      </c>
      <c r="D162" s="149" t="s">
        <v>125</v>
      </c>
      <c r="E162" s="149" t="s">
        <v>57</v>
      </c>
      <c r="F162" s="750" t="s">
        <v>100</v>
      </c>
      <c r="G162" s="751" t="s">
        <v>65</v>
      </c>
      <c r="H162" s="751" t="s">
        <v>72</v>
      </c>
      <c r="I162" s="752" t="s">
        <v>433</v>
      </c>
      <c r="J162" s="149" t="s">
        <v>142</v>
      </c>
      <c r="K162" s="824">
        <v>552</v>
      </c>
      <c r="L162" s="165">
        <f>M162-K162</f>
        <v>0</v>
      </c>
      <c r="M162" s="165">
        <v>552</v>
      </c>
      <c r="N162" s="165">
        <v>552</v>
      </c>
    </row>
    <row r="163" spans="1:14" s="391" customFormat="1" ht="37.5">
      <c r="A163" s="150"/>
      <c r="B163" s="163" t="s">
        <v>143</v>
      </c>
      <c r="C163" s="164" t="s">
        <v>3</v>
      </c>
      <c r="D163" s="149" t="s">
        <v>125</v>
      </c>
      <c r="E163" s="149" t="s">
        <v>102</v>
      </c>
      <c r="F163" s="750"/>
      <c r="G163" s="751"/>
      <c r="H163" s="751"/>
      <c r="I163" s="752"/>
      <c r="J163" s="149"/>
      <c r="K163" s="824">
        <f t="shared" ref="K163:M166" si="24">K164</f>
        <v>928.7</v>
      </c>
      <c r="L163" s="165">
        <f t="shared" si="24"/>
        <v>0</v>
      </c>
      <c r="M163" s="165">
        <f t="shared" si="24"/>
        <v>928.7</v>
      </c>
      <c r="N163" s="165">
        <f t="shared" ref="N163:N166" si="25">N164</f>
        <v>928.7</v>
      </c>
    </row>
    <row r="164" spans="1:14" s="391" customFormat="1" ht="93.75">
      <c r="A164" s="150"/>
      <c r="B164" s="163" t="s">
        <v>93</v>
      </c>
      <c r="C164" s="164" t="s">
        <v>3</v>
      </c>
      <c r="D164" s="149" t="s">
        <v>125</v>
      </c>
      <c r="E164" s="149" t="s">
        <v>102</v>
      </c>
      <c r="F164" s="750" t="s">
        <v>94</v>
      </c>
      <c r="G164" s="751" t="s">
        <v>62</v>
      </c>
      <c r="H164" s="751" t="s">
        <v>63</v>
      </c>
      <c r="I164" s="752" t="s">
        <v>64</v>
      </c>
      <c r="J164" s="149"/>
      <c r="K164" s="824">
        <f t="shared" si="24"/>
        <v>928.7</v>
      </c>
      <c r="L164" s="165">
        <f t="shared" si="24"/>
        <v>0</v>
      </c>
      <c r="M164" s="165">
        <f t="shared" si="24"/>
        <v>928.7</v>
      </c>
      <c r="N164" s="165">
        <f t="shared" si="25"/>
        <v>928.7</v>
      </c>
    </row>
    <row r="165" spans="1:14" s="391" customFormat="1" ht="37.5">
      <c r="A165" s="150"/>
      <c r="B165" s="163" t="s">
        <v>404</v>
      </c>
      <c r="C165" s="164" t="s">
        <v>3</v>
      </c>
      <c r="D165" s="149" t="s">
        <v>125</v>
      </c>
      <c r="E165" s="149" t="s">
        <v>102</v>
      </c>
      <c r="F165" s="750" t="s">
        <v>94</v>
      </c>
      <c r="G165" s="751" t="s">
        <v>65</v>
      </c>
      <c r="H165" s="751" t="s">
        <v>63</v>
      </c>
      <c r="I165" s="752" t="s">
        <v>64</v>
      </c>
      <c r="J165" s="149"/>
      <c r="K165" s="824">
        <f t="shared" si="24"/>
        <v>928.7</v>
      </c>
      <c r="L165" s="165">
        <f t="shared" si="24"/>
        <v>0</v>
      </c>
      <c r="M165" s="165">
        <f t="shared" si="24"/>
        <v>928.7</v>
      </c>
      <c r="N165" s="165">
        <f t="shared" si="25"/>
        <v>928.7</v>
      </c>
    </row>
    <row r="166" spans="1:14" s="391" customFormat="1" ht="56.25">
      <c r="A166" s="150"/>
      <c r="B166" s="166" t="s">
        <v>306</v>
      </c>
      <c r="C166" s="164" t="s">
        <v>3</v>
      </c>
      <c r="D166" s="149" t="s">
        <v>125</v>
      </c>
      <c r="E166" s="149" t="s">
        <v>102</v>
      </c>
      <c r="F166" s="750" t="s">
        <v>94</v>
      </c>
      <c r="G166" s="751" t="s">
        <v>65</v>
      </c>
      <c r="H166" s="751" t="s">
        <v>57</v>
      </c>
      <c r="I166" s="752" t="s">
        <v>64</v>
      </c>
      <c r="J166" s="149"/>
      <c r="K166" s="824">
        <f t="shared" si="24"/>
        <v>928.7</v>
      </c>
      <c r="L166" s="165">
        <f t="shared" si="24"/>
        <v>0</v>
      </c>
      <c r="M166" s="165">
        <f t="shared" si="24"/>
        <v>928.7</v>
      </c>
      <c r="N166" s="165">
        <f t="shared" si="25"/>
        <v>928.7</v>
      </c>
    </row>
    <row r="167" spans="1:14" s="391" customFormat="1" ht="56.25">
      <c r="A167" s="150"/>
      <c r="B167" s="166" t="s">
        <v>95</v>
      </c>
      <c r="C167" s="164" t="s">
        <v>3</v>
      </c>
      <c r="D167" s="149" t="s">
        <v>125</v>
      </c>
      <c r="E167" s="149" t="s">
        <v>102</v>
      </c>
      <c r="F167" s="750" t="s">
        <v>94</v>
      </c>
      <c r="G167" s="751" t="s">
        <v>65</v>
      </c>
      <c r="H167" s="751" t="s">
        <v>57</v>
      </c>
      <c r="I167" s="752" t="s">
        <v>96</v>
      </c>
      <c r="J167" s="149"/>
      <c r="K167" s="824">
        <f>K168</f>
        <v>928.7</v>
      </c>
      <c r="L167" s="165">
        <f>L168</f>
        <v>0</v>
      </c>
      <c r="M167" s="165">
        <f>M168</f>
        <v>928.7</v>
      </c>
      <c r="N167" s="165">
        <f>N168</f>
        <v>928.7</v>
      </c>
    </row>
    <row r="168" spans="1:14" s="391" customFormat="1" ht="56.25">
      <c r="A168" s="150"/>
      <c r="B168" s="167" t="s">
        <v>97</v>
      </c>
      <c r="C168" s="164" t="s">
        <v>3</v>
      </c>
      <c r="D168" s="149" t="s">
        <v>125</v>
      </c>
      <c r="E168" s="149" t="s">
        <v>102</v>
      </c>
      <c r="F168" s="750" t="s">
        <v>94</v>
      </c>
      <c r="G168" s="751" t="s">
        <v>65</v>
      </c>
      <c r="H168" s="751" t="s">
        <v>57</v>
      </c>
      <c r="I168" s="752" t="s">
        <v>96</v>
      </c>
      <c r="J168" s="149" t="s">
        <v>98</v>
      </c>
      <c r="K168" s="824">
        <v>928.7</v>
      </c>
      <c r="L168" s="165">
        <f>M168-K168</f>
        <v>0</v>
      </c>
      <c r="M168" s="165">
        <v>928.7</v>
      </c>
      <c r="N168" s="165">
        <v>928.7</v>
      </c>
    </row>
    <row r="169" spans="1:14" s="391" customFormat="1" ht="37.5">
      <c r="A169" s="150"/>
      <c r="B169" s="663" t="s">
        <v>475</v>
      </c>
      <c r="C169" s="164" t="s">
        <v>3</v>
      </c>
      <c r="D169" s="149" t="s">
        <v>92</v>
      </c>
      <c r="E169" s="149"/>
      <c r="F169" s="750"/>
      <c r="G169" s="751"/>
      <c r="H169" s="751"/>
      <c r="I169" s="752"/>
      <c r="J169" s="149"/>
      <c r="K169" s="824">
        <f t="shared" ref="K169:N174" si="26">K170</f>
        <v>9.4</v>
      </c>
      <c r="L169" s="165">
        <f t="shared" si="26"/>
        <v>0</v>
      </c>
      <c r="M169" s="165">
        <f t="shared" si="26"/>
        <v>9.4</v>
      </c>
      <c r="N169" s="165">
        <f t="shared" si="26"/>
        <v>0</v>
      </c>
    </row>
    <row r="170" spans="1:14" s="391" customFormat="1" ht="37.5">
      <c r="A170" s="150"/>
      <c r="B170" s="647" t="s">
        <v>769</v>
      </c>
      <c r="C170" s="164" t="s">
        <v>3</v>
      </c>
      <c r="D170" s="149" t="s">
        <v>92</v>
      </c>
      <c r="E170" s="149" t="s">
        <v>57</v>
      </c>
      <c r="F170" s="750"/>
      <c r="G170" s="751"/>
      <c r="H170" s="751"/>
      <c r="I170" s="752"/>
      <c r="J170" s="149"/>
      <c r="K170" s="824">
        <f t="shared" si="26"/>
        <v>9.4</v>
      </c>
      <c r="L170" s="165">
        <f t="shared" si="26"/>
        <v>0</v>
      </c>
      <c r="M170" s="165">
        <f t="shared" si="26"/>
        <v>9.4</v>
      </c>
      <c r="N170" s="165">
        <f t="shared" si="26"/>
        <v>0</v>
      </c>
    </row>
    <row r="171" spans="1:14" s="391" customFormat="1" ht="55.5" customHeight="1">
      <c r="A171" s="150"/>
      <c r="B171" s="163" t="s">
        <v>60</v>
      </c>
      <c r="C171" s="164" t="s">
        <v>3</v>
      </c>
      <c r="D171" s="149" t="s">
        <v>92</v>
      </c>
      <c r="E171" s="149" t="s">
        <v>57</v>
      </c>
      <c r="F171" s="750" t="s">
        <v>61</v>
      </c>
      <c r="G171" s="751" t="s">
        <v>62</v>
      </c>
      <c r="H171" s="751" t="s">
        <v>63</v>
      </c>
      <c r="I171" s="752" t="s">
        <v>64</v>
      </c>
      <c r="J171" s="149"/>
      <c r="K171" s="824">
        <f t="shared" si="26"/>
        <v>9.4</v>
      </c>
      <c r="L171" s="165">
        <f t="shared" si="26"/>
        <v>0</v>
      </c>
      <c r="M171" s="165">
        <f t="shared" si="26"/>
        <v>9.4</v>
      </c>
      <c r="N171" s="165">
        <f t="shared" si="26"/>
        <v>0</v>
      </c>
    </row>
    <row r="172" spans="1:14" s="391" customFormat="1" ht="37.5">
      <c r="A172" s="150"/>
      <c r="B172" s="163" t="s">
        <v>404</v>
      </c>
      <c r="C172" s="164" t="s">
        <v>3</v>
      </c>
      <c r="D172" s="149" t="s">
        <v>92</v>
      </c>
      <c r="E172" s="149" t="s">
        <v>57</v>
      </c>
      <c r="F172" s="750" t="s">
        <v>61</v>
      </c>
      <c r="G172" s="751" t="s">
        <v>65</v>
      </c>
      <c r="H172" s="751" t="s">
        <v>63</v>
      </c>
      <c r="I172" s="752" t="s">
        <v>64</v>
      </c>
      <c r="J172" s="149"/>
      <c r="K172" s="824">
        <f t="shared" si="26"/>
        <v>9.4</v>
      </c>
      <c r="L172" s="165">
        <f t="shared" si="26"/>
        <v>0</v>
      </c>
      <c r="M172" s="165">
        <f t="shared" si="26"/>
        <v>9.4</v>
      </c>
      <c r="N172" s="165">
        <f t="shared" si="26"/>
        <v>0</v>
      </c>
    </row>
    <row r="173" spans="1:14" s="391" customFormat="1" ht="56.25">
      <c r="A173" s="150"/>
      <c r="B173" s="167" t="s">
        <v>472</v>
      </c>
      <c r="C173" s="164" t="s">
        <v>3</v>
      </c>
      <c r="D173" s="149" t="s">
        <v>92</v>
      </c>
      <c r="E173" s="149" t="s">
        <v>57</v>
      </c>
      <c r="F173" s="750" t="s">
        <v>61</v>
      </c>
      <c r="G173" s="751" t="s">
        <v>65</v>
      </c>
      <c r="H173" s="751" t="s">
        <v>100</v>
      </c>
      <c r="I173" s="752" t="s">
        <v>64</v>
      </c>
      <c r="J173" s="149"/>
      <c r="K173" s="824">
        <f t="shared" si="26"/>
        <v>9.4</v>
      </c>
      <c r="L173" s="165">
        <f t="shared" si="26"/>
        <v>0</v>
      </c>
      <c r="M173" s="165">
        <f t="shared" si="26"/>
        <v>9.4</v>
      </c>
      <c r="N173" s="165">
        <f t="shared" si="26"/>
        <v>0</v>
      </c>
    </row>
    <row r="174" spans="1:14" s="391" customFormat="1" ht="31.15" customHeight="1">
      <c r="A174" s="150"/>
      <c r="B174" s="167" t="s">
        <v>473</v>
      </c>
      <c r="C174" s="164" t="s">
        <v>3</v>
      </c>
      <c r="D174" s="149" t="s">
        <v>92</v>
      </c>
      <c r="E174" s="149" t="s">
        <v>57</v>
      </c>
      <c r="F174" s="750" t="s">
        <v>61</v>
      </c>
      <c r="G174" s="751" t="s">
        <v>65</v>
      </c>
      <c r="H174" s="751" t="s">
        <v>100</v>
      </c>
      <c r="I174" s="752" t="s">
        <v>474</v>
      </c>
      <c r="J174" s="149"/>
      <c r="K174" s="824">
        <f t="shared" si="26"/>
        <v>9.4</v>
      </c>
      <c r="L174" s="165">
        <f t="shared" si="26"/>
        <v>0</v>
      </c>
      <c r="M174" s="165">
        <f t="shared" si="26"/>
        <v>9.4</v>
      </c>
      <c r="N174" s="165">
        <f t="shared" si="26"/>
        <v>0</v>
      </c>
    </row>
    <row r="175" spans="1:14" s="391" customFormat="1" ht="37.5">
      <c r="A175" s="150"/>
      <c r="B175" s="167" t="s">
        <v>475</v>
      </c>
      <c r="C175" s="164" t="s">
        <v>3</v>
      </c>
      <c r="D175" s="149" t="s">
        <v>92</v>
      </c>
      <c r="E175" s="149" t="s">
        <v>57</v>
      </c>
      <c r="F175" s="750" t="s">
        <v>61</v>
      </c>
      <c r="G175" s="751" t="s">
        <v>65</v>
      </c>
      <c r="H175" s="751" t="s">
        <v>100</v>
      </c>
      <c r="I175" s="752" t="s">
        <v>474</v>
      </c>
      <c r="J175" s="149" t="s">
        <v>476</v>
      </c>
      <c r="K175" s="824">
        <v>9.4</v>
      </c>
      <c r="L175" s="165">
        <f>M175-K175</f>
        <v>0</v>
      </c>
      <c r="M175" s="165">
        <v>9.4</v>
      </c>
      <c r="N175" s="165">
        <v>0</v>
      </c>
    </row>
    <row r="176" spans="1:14" s="391" customFormat="1" ht="18.75">
      <c r="A176" s="150"/>
      <c r="B176" s="167"/>
      <c r="C176" s="164"/>
      <c r="D176" s="149"/>
      <c r="E176" s="149"/>
      <c r="F176" s="750"/>
      <c r="G176" s="751"/>
      <c r="H176" s="751"/>
      <c r="I176" s="752"/>
      <c r="J176" s="149"/>
      <c r="K176" s="824"/>
      <c r="L176" s="165"/>
      <c r="M176" s="165"/>
      <c r="N176" s="165"/>
    </row>
    <row r="177" spans="1:14" ht="56.25">
      <c r="A177" s="390">
        <v>2</v>
      </c>
      <c r="B177" s="157" t="s">
        <v>10</v>
      </c>
      <c r="C177" s="158" t="s">
        <v>354</v>
      </c>
      <c r="D177" s="159"/>
      <c r="E177" s="159"/>
      <c r="F177" s="160"/>
      <c r="G177" s="161"/>
      <c r="H177" s="161"/>
      <c r="I177" s="162"/>
      <c r="J177" s="159"/>
      <c r="K177" s="823">
        <f>K178+K196</f>
        <v>33406.9</v>
      </c>
      <c r="L177" s="188">
        <f>L178+L196</f>
        <v>0</v>
      </c>
      <c r="M177" s="188">
        <f>M178+M196</f>
        <v>33406.9</v>
      </c>
      <c r="N177" s="188">
        <f>N178+N196</f>
        <v>33407.599999999999</v>
      </c>
    </row>
    <row r="178" spans="1:14" s="395" customFormat="1" ht="18.75">
      <c r="A178" s="150"/>
      <c r="B178" s="163" t="s">
        <v>56</v>
      </c>
      <c r="C178" s="164" t="s">
        <v>354</v>
      </c>
      <c r="D178" s="149" t="s">
        <v>57</v>
      </c>
      <c r="E178" s="149"/>
      <c r="F178" s="750"/>
      <c r="G178" s="751"/>
      <c r="H178" s="751"/>
      <c r="I178" s="752"/>
      <c r="J178" s="149"/>
      <c r="K178" s="824">
        <f>K179+K187</f>
        <v>27906.9</v>
      </c>
      <c r="L178" s="165">
        <f>L179+L187</f>
        <v>0</v>
      </c>
      <c r="M178" s="165">
        <f>M179+M187</f>
        <v>27906.9</v>
      </c>
      <c r="N178" s="165">
        <f>N179+N187</f>
        <v>27907.599999999999</v>
      </c>
    </row>
    <row r="179" spans="1:14" s="396" customFormat="1" ht="75">
      <c r="A179" s="150"/>
      <c r="B179" s="163" t="s">
        <v>151</v>
      </c>
      <c r="C179" s="164" t="s">
        <v>354</v>
      </c>
      <c r="D179" s="149" t="s">
        <v>57</v>
      </c>
      <c r="E179" s="149" t="s">
        <v>102</v>
      </c>
      <c r="F179" s="750"/>
      <c r="G179" s="751"/>
      <c r="H179" s="751"/>
      <c r="I179" s="752"/>
      <c r="J179" s="149"/>
      <c r="K179" s="824">
        <f t="shared" ref="K179:N182" si="27">K180</f>
        <v>25025.600000000002</v>
      </c>
      <c r="L179" s="165">
        <f t="shared" si="27"/>
        <v>0</v>
      </c>
      <c r="M179" s="165">
        <f t="shared" si="27"/>
        <v>25025.600000000002</v>
      </c>
      <c r="N179" s="165">
        <f t="shared" si="27"/>
        <v>25026.3</v>
      </c>
    </row>
    <row r="180" spans="1:14" s="391" customFormat="1" ht="54.75" customHeight="1">
      <c r="A180" s="150"/>
      <c r="B180" s="163" t="s">
        <v>245</v>
      </c>
      <c r="C180" s="164" t="s">
        <v>354</v>
      </c>
      <c r="D180" s="149" t="s">
        <v>57</v>
      </c>
      <c r="E180" s="149" t="s">
        <v>102</v>
      </c>
      <c r="F180" s="750" t="s">
        <v>246</v>
      </c>
      <c r="G180" s="751" t="s">
        <v>62</v>
      </c>
      <c r="H180" s="751" t="s">
        <v>63</v>
      </c>
      <c r="I180" s="752" t="s">
        <v>64</v>
      </c>
      <c r="J180" s="149"/>
      <c r="K180" s="824">
        <f t="shared" si="27"/>
        <v>25025.600000000002</v>
      </c>
      <c r="L180" s="165">
        <f t="shared" si="27"/>
        <v>0</v>
      </c>
      <c r="M180" s="165">
        <f t="shared" si="27"/>
        <v>25025.600000000002</v>
      </c>
      <c r="N180" s="165">
        <f t="shared" si="27"/>
        <v>25026.3</v>
      </c>
    </row>
    <row r="181" spans="1:14" s="391" customFormat="1" ht="37.5">
      <c r="A181" s="150"/>
      <c r="B181" s="163" t="s">
        <v>404</v>
      </c>
      <c r="C181" s="164" t="s">
        <v>354</v>
      </c>
      <c r="D181" s="149" t="s">
        <v>57</v>
      </c>
      <c r="E181" s="149" t="s">
        <v>102</v>
      </c>
      <c r="F181" s="171" t="s">
        <v>246</v>
      </c>
      <c r="G181" s="172" t="s">
        <v>65</v>
      </c>
      <c r="H181" s="751" t="s">
        <v>63</v>
      </c>
      <c r="I181" s="752" t="s">
        <v>64</v>
      </c>
      <c r="J181" s="149"/>
      <c r="K181" s="824">
        <f>K182</f>
        <v>25025.600000000002</v>
      </c>
      <c r="L181" s="165">
        <f>L182</f>
        <v>0</v>
      </c>
      <c r="M181" s="165">
        <f>M182</f>
        <v>25025.600000000002</v>
      </c>
      <c r="N181" s="165">
        <f>N182</f>
        <v>25026.3</v>
      </c>
    </row>
    <row r="182" spans="1:14" s="391" customFormat="1" ht="56.25">
      <c r="A182" s="150"/>
      <c r="B182" s="163" t="s">
        <v>355</v>
      </c>
      <c r="C182" s="164" t="s">
        <v>354</v>
      </c>
      <c r="D182" s="149" t="s">
        <v>57</v>
      </c>
      <c r="E182" s="149" t="s">
        <v>102</v>
      </c>
      <c r="F182" s="171" t="s">
        <v>246</v>
      </c>
      <c r="G182" s="172" t="s">
        <v>65</v>
      </c>
      <c r="H182" s="751" t="s">
        <v>57</v>
      </c>
      <c r="I182" s="752" t="s">
        <v>64</v>
      </c>
      <c r="J182" s="149"/>
      <c r="K182" s="824">
        <f t="shared" si="27"/>
        <v>25025.600000000002</v>
      </c>
      <c r="L182" s="165">
        <f t="shared" si="27"/>
        <v>0</v>
      </c>
      <c r="M182" s="165">
        <f t="shared" si="27"/>
        <v>25025.600000000002</v>
      </c>
      <c r="N182" s="165">
        <f t="shared" si="27"/>
        <v>25026.3</v>
      </c>
    </row>
    <row r="183" spans="1:14" s="391" customFormat="1" ht="37.5">
      <c r="A183" s="150"/>
      <c r="B183" s="163" t="s">
        <v>67</v>
      </c>
      <c r="C183" s="164" t="s">
        <v>354</v>
      </c>
      <c r="D183" s="149" t="s">
        <v>57</v>
      </c>
      <c r="E183" s="149" t="s">
        <v>102</v>
      </c>
      <c r="F183" s="171" t="s">
        <v>246</v>
      </c>
      <c r="G183" s="172" t="s">
        <v>65</v>
      </c>
      <c r="H183" s="751" t="s">
        <v>57</v>
      </c>
      <c r="I183" s="752" t="s">
        <v>68</v>
      </c>
      <c r="J183" s="149"/>
      <c r="K183" s="824">
        <f>SUM(K184:K186)</f>
        <v>25025.600000000002</v>
      </c>
      <c r="L183" s="165">
        <f>SUM(L184:L186)</f>
        <v>0</v>
      </c>
      <c r="M183" s="165">
        <f>SUM(M184:M186)</f>
        <v>25025.600000000002</v>
      </c>
      <c r="N183" s="165">
        <f>SUM(N184:N186)</f>
        <v>25026.3</v>
      </c>
    </row>
    <row r="184" spans="1:14" s="391" customFormat="1" ht="112.5">
      <c r="A184" s="150"/>
      <c r="B184" s="163" t="s">
        <v>69</v>
      </c>
      <c r="C184" s="164" t="s">
        <v>354</v>
      </c>
      <c r="D184" s="149" t="s">
        <v>57</v>
      </c>
      <c r="E184" s="149" t="s">
        <v>102</v>
      </c>
      <c r="F184" s="171" t="s">
        <v>246</v>
      </c>
      <c r="G184" s="172" t="s">
        <v>65</v>
      </c>
      <c r="H184" s="751" t="s">
        <v>57</v>
      </c>
      <c r="I184" s="752" t="s">
        <v>68</v>
      </c>
      <c r="J184" s="149" t="s">
        <v>70</v>
      </c>
      <c r="K184" s="824">
        <v>24258.5</v>
      </c>
      <c r="L184" s="165">
        <f>M184-K184</f>
        <v>0</v>
      </c>
      <c r="M184" s="165">
        <v>24258.5</v>
      </c>
      <c r="N184" s="165">
        <v>24258.5</v>
      </c>
    </row>
    <row r="185" spans="1:14" s="391" customFormat="1" ht="56.25">
      <c r="A185" s="150"/>
      <c r="B185" s="163" t="s">
        <v>75</v>
      </c>
      <c r="C185" s="164" t="s">
        <v>354</v>
      </c>
      <c r="D185" s="149" t="s">
        <v>57</v>
      </c>
      <c r="E185" s="149" t="s">
        <v>102</v>
      </c>
      <c r="F185" s="171" t="s">
        <v>246</v>
      </c>
      <c r="G185" s="172" t="s">
        <v>65</v>
      </c>
      <c r="H185" s="751" t="s">
        <v>57</v>
      </c>
      <c r="I185" s="752" t="s">
        <v>68</v>
      </c>
      <c r="J185" s="149" t="s">
        <v>76</v>
      </c>
      <c r="K185" s="824">
        <v>762.4</v>
      </c>
      <c r="L185" s="165">
        <f>M185-K185</f>
        <v>0</v>
      </c>
      <c r="M185" s="165">
        <v>762.4</v>
      </c>
      <c r="N185" s="165">
        <v>763.2</v>
      </c>
    </row>
    <row r="186" spans="1:14" s="396" customFormat="1" ht="18.75">
      <c r="A186" s="150"/>
      <c r="B186" s="163" t="s">
        <v>77</v>
      </c>
      <c r="C186" s="164" t="s">
        <v>354</v>
      </c>
      <c r="D186" s="149" t="s">
        <v>57</v>
      </c>
      <c r="E186" s="149" t="s">
        <v>102</v>
      </c>
      <c r="F186" s="171" t="s">
        <v>246</v>
      </c>
      <c r="G186" s="172" t="s">
        <v>65</v>
      </c>
      <c r="H186" s="751" t="s">
        <v>57</v>
      </c>
      <c r="I186" s="752" t="s">
        <v>68</v>
      </c>
      <c r="J186" s="149" t="s">
        <v>78</v>
      </c>
      <c r="K186" s="824">
        <v>4.7</v>
      </c>
      <c r="L186" s="165">
        <f>M186-K186</f>
        <v>0</v>
      </c>
      <c r="M186" s="165">
        <v>4.7</v>
      </c>
      <c r="N186" s="165">
        <v>4.5999999999999996</v>
      </c>
    </row>
    <row r="187" spans="1:14" s="396" customFormat="1" ht="18.75">
      <c r="A187" s="150"/>
      <c r="B187" s="163" t="s">
        <v>91</v>
      </c>
      <c r="C187" s="164" t="s">
        <v>354</v>
      </c>
      <c r="D187" s="149" t="s">
        <v>57</v>
      </c>
      <c r="E187" s="149" t="s">
        <v>92</v>
      </c>
      <c r="F187" s="171"/>
      <c r="G187" s="172"/>
      <c r="H187" s="751"/>
      <c r="I187" s="752"/>
      <c r="J187" s="149"/>
      <c r="K187" s="824">
        <f t="shared" ref="K187:N188" si="28">K188</f>
        <v>2881.3</v>
      </c>
      <c r="L187" s="165">
        <f t="shared" si="28"/>
        <v>0</v>
      </c>
      <c r="M187" s="165">
        <f t="shared" si="28"/>
        <v>2881.3</v>
      </c>
      <c r="N187" s="165">
        <f t="shared" si="28"/>
        <v>2881.3</v>
      </c>
    </row>
    <row r="188" spans="1:14" s="396" customFormat="1" ht="75">
      <c r="A188" s="150"/>
      <c r="B188" s="163" t="s">
        <v>245</v>
      </c>
      <c r="C188" s="164" t="s">
        <v>354</v>
      </c>
      <c r="D188" s="149" t="s">
        <v>57</v>
      </c>
      <c r="E188" s="149" t="s">
        <v>92</v>
      </c>
      <c r="F188" s="171" t="s">
        <v>246</v>
      </c>
      <c r="G188" s="172" t="s">
        <v>62</v>
      </c>
      <c r="H188" s="751" t="s">
        <v>63</v>
      </c>
      <c r="I188" s="752" t="s">
        <v>64</v>
      </c>
      <c r="J188" s="149"/>
      <c r="K188" s="824">
        <f t="shared" si="28"/>
        <v>2881.3</v>
      </c>
      <c r="L188" s="165">
        <f t="shared" si="28"/>
        <v>0</v>
      </c>
      <c r="M188" s="165">
        <f t="shared" si="28"/>
        <v>2881.3</v>
      </c>
      <c r="N188" s="165">
        <f t="shared" si="28"/>
        <v>2881.3</v>
      </c>
    </row>
    <row r="189" spans="1:14" s="396" customFormat="1" ht="37.5">
      <c r="A189" s="150"/>
      <c r="B189" s="163" t="s">
        <v>404</v>
      </c>
      <c r="C189" s="164" t="s">
        <v>354</v>
      </c>
      <c r="D189" s="149" t="s">
        <v>57</v>
      </c>
      <c r="E189" s="149" t="s">
        <v>92</v>
      </c>
      <c r="F189" s="171" t="s">
        <v>246</v>
      </c>
      <c r="G189" s="172" t="s">
        <v>65</v>
      </c>
      <c r="H189" s="751" t="s">
        <v>63</v>
      </c>
      <c r="I189" s="752" t="s">
        <v>64</v>
      </c>
      <c r="J189" s="149"/>
      <c r="K189" s="824">
        <f>K190+K193</f>
        <v>2881.3</v>
      </c>
      <c r="L189" s="165">
        <f>L190+L193</f>
        <v>0</v>
      </c>
      <c r="M189" s="165">
        <f>M190+M193</f>
        <v>2881.3</v>
      </c>
      <c r="N189" s="165">
        <f>N190+N193</f>
        <v>2881.3</v>
      </c>
    </row>
    <row r="190" spans="1:14" s="396" customFormat="1" ht="37.5">
      <c r="A190" s="150"/>
      <c r="B190" s="163" t="s">
        <v>428</v>
      </c>
      <c r="C190" s="164" t="s">
        <v>354</v>
      </c>
      <c r="D190" s="149" t="s">
        <v>57</v>
      </c>
      <c r="E190" s="149" t="s">
        <v>92</v>
      </c>
      <c r="F190" s="171" t="s">
        <v>246</v>
      </c>
      <c r="G190" s="172" t="s">
        <v>65</v>
      </c>
      <c r="H190" s="751" t="s">
        <v>84</v>
      </c>
      <c r="I190" s="752" t="s">
        <v>64</v>
      </c>
      <c r="J190" s="149"/>
      <c r="K190" s="824">
        <f t="shared" ref="K190:N191" si="29">K191</f>
        <v>2863.3</v>
      </c>
      <c r="L190" s="165">
        <f t="shared" si="29"/>
        <v>0</v>
      </c>
      <c r="M190" s="165">
        <f t="shared" si="29"/>
        <v>2863.3</v>
      </c>
      <c r="N190" s="165">
        <f t="shared" si="29"/>
        <v>2863.3</v>
      </c>
    </row>
    <row r="191" spans="1:14" s="396" customFormat="1" ht="57" customHeight="1">
      <c r="A191" s="150"/>
      <c r="B191" s="163" t="s">
        <v>429</v>
      </c>
      <c r="C191" s="164" t="s">
        <v>354</v>
      </c>
      <c r="D191" s="149" t="s">
        <v>57</v>
      </c>
      <c r="E191" s="149" t="s">
        <v>92</v>
      </c>
      <c r="F191" s="171" t="s">
        <v>246</v>
      </c>
      <c r="G191" s="172" t="s">
        <v>65</v>
      </c>
      <c r="H191" s="751" t="s">
        <v>84</v>
      </c>
      <c r="I191" s="752" t="s">
        <v>126</v>
      </c>
      <c r="J191" s="149"/>
      <c r="K191" s="824">
        <f t="shared" si="29"/>
        <v>2863.3</v>
      </c>
      <c r="L191" s="165">
        <f t="shared" si="29"/>
        <v>0</v>
      </c>
      <c r="M191" s="165">
        <f t="shared" si="29"/>
        <v>2863.3</v>
      </c>
      <c r="N191" s="165">
        <f t="shared" si="29"/>
        <v>2863.3</v>
      </c>
    </row>
    <row r="192" spans="1:14" s="396" customFormat="1" ht="56.25">
      <c r="A192" s="150"/>
      <c r="B192" s="163" t="s">
        <v>75</v>
      </c>
      <c r="C192" s="164" t="s">
        <v>354</v>
      </c>
      <c r="D192" s="149" t="s">
        <v>57</v>
      </c>
      <c r="E192" s="149" t="s">
        <v>92</v>
      </c>
      <c r="F192" s="171" t="s">
        <v>246</v>
      </c>
      <c r="G192" s="172" t="s">
        <v>65</v>
      </c>
      <c r="H192" s="751" t="s">
        <v>84</v>
      </c>
      <c r="I192" s="752" t="s">
        <v>126</v>
      </c>
      <c r="J192" s="149" t="s">
        <v>76</v>
      </c>
      <c r="K192" s="824">
        <v>2863.3</v>
      </c>
      <c r="L192" s="165">
        <f>M192-K192</f>
        <v>0</v>
      </c>
      <c r="M192" s="165">
        <v>2863.3</v>
      </c>
      <c r="N192" s="165">
        <v>2863.3</v>
      </c>
    </row>
    <row r="193" spans="1:14" s="396" customFormat="1" ht="37.5">
      <c r="A193" s="150"/>
      <c r="B193" s="163" t="s">
        <v>799</v>
      </c>
      <c r="C193" s="164" t="s">
        <v>354</v>
      </c>
      <c r="D193" s="149" t="s">
        <v>57</v>
      </c>
      <c r="E193" s="149" t="s">
        <v>92</v>
      </c>
      <c r="F193" s="171" t="s">
        <v>246</v>
      </c>
      <c r="G193" s="172" t="s">
        <v>65</v>
      </c>
      <c r="H193" s="751" t="s">
        <v>86</v>
      </c>
      <c r="I193" s="752" t="s">
        <v>64</v>
      </c>
      <c r="J193" s="149"/>
      <c r="K193" s="824">
        <f t="shared" ref="K193:N194" si="30">K194</f>
        <v>18</v>
      </c>
      <c r="L193" s="165">
        <f t="shared" si="30"/>
        <v>0</v>
      </c>
      <c r="M193" s="165">
        <f t="shared" si="30"/>
        <v>18</v>
      </c>
      <c r="N193" s="165">
        <f t="shared" si="30"/>
        <v>18</v>
      </c>
    </row>
    <row r="194" spans="1:14" s="396" customFormat="1" ht="18.75">
      <c r="A194" s="150"/>
      <c r="B194" s="163" t="s">
        <v>797</v>
      </c>
      <c r="C194" s="164" t="s">
        <v>354</v>
      </c>
      <c r="D194" s="149" t="s">
        <v>57</v>
      </c>
      <c r="E194" s="149" t="s">
        <v>92</v>
      </c>
      <c r="F194" s="171" t="s">
        <v>246</v>
      </c>
      <c r="G194" s="172" t="s">
        <v>65</v>
      </c>
      <c r="H194" s="751" t="s">
        <v>86</v>
      </c>
      <c r="I194" s="752" t="s">
        <v>798</v>
      </c>
      <c r="J194" s="149"/>
      <c r="K194" s="824">
        <f t="shared" si="30"/>
        <v>18</v>
      </c>
      <c r="L194" s="165">
        <f t="shared" si="30"/>
        <v>0</v>
      </c>
      <c r="M194" s="165">
        <f t="shared" si="30"/>
        <v>18</v>
      </c>
      <c r="N194" s="165">
        <f t="shared" si="30"/>
        <v>18</v>
      </c>
    </row>
    <row r="195" spans="1:14" s="396" customFormat="1" ht="56.25">
      <c r="A195" s="150"/>
      <c r="B195" s="163" t="s">
        <v>75</v>
      </c>
      <c r="C195" s="164" t="s">
        <v>354</v>
      </c>
      <c r="D195" s="149" t="s">
        <v>57</v>
      </c>
      <c r="E195" s="149" t="s">
        <v>92</v>
      </c>
      <c r="F195" s="171" t="s">
        <v>246</v>
      </c>
      <c r="G195" s="172" t="s">
        <v>65</v>
      </c>
      <c r="H195" s="751" t="s">
        <v>86</v>
      </c>
      <c r="I195" s="752" t="s">
        <v>798</v>
      </c>
      <c r="J195" s="149" t="s">
        <v>76</v>
      </c>
      <c r="K195" s="824">
        <v>18</v>
      </c>
      <c r="L195" s="165">
        <f>M195-K195</f>
        <v>0</v>
      </c>
      <c r="M195" s="165">
        <v>18</v>
      </c>
      <c r="N195" s="165">
        <v>18</v>
      </c>
    </row>
    <row r="196" spans="1:14" s="396" customFormat="1" ht="56.25">
      <c r="A196" s="150"/>
      <c r="B196" s="163" t="s">
        <v>222</v>
      </c>
      <c r="C196" s="164" t="s">
        <v>354</v>
      </c>
      <c r="D196" s="149" t="s">
        <v>109</v>
      </c>
      <c r="E196" s="149"/>
      <c r="F196" s="171"/>
      <c r="G196" s="172"/>
      <c r="H196" s="751"/>
      <c r="I196" s="752"/>
      <c r="J196" s="149"/>
      <c r="K196" s="824">
        <f t="shared" ref="K196:N199" si="31">K197</f>
        <v>5500</v>
      </c>
      <c r="L196" s="165">
        <f t="shared" si="31"/>
        <v>0</v>
      </c>
      <c r="M196" s="165">
        <f t="shared" si="31"/>
        <v>5500</v>
      </c>
      <c r="N196" s="165">
        <f t="shared" si="31"/>
        <v>5500</v>
      </c>
    </row>
    <row r="197" spans="1:14" s="396" customFormat="1" ht="56.25">
      <c r="A197" s="150"/>
      <c r="B197" s="169" t="s">
        <v>223</v>
      </c>
      <c r="C197" s="164" t="s">
        <v>354</v>
      </c>
      <c r="D197" s="149" t="s">
        <v>109</v>
      </c>
      <c r="E197" s="149" t="s">
        <v>57</v>
      </c>
      <c r="F197" s="171"/>
      <c r="G197" s="172"/>
      <c r="H197" s="751"/>
      <c r="I197" s="752"/>
      <c r="J197" s="149"/>
      <c r="K197" s="824">
        <f t="shared" si="31"/>
        <v>5500</v>
      </c>
      <c r="L197" s="165">
        <f t="shared" si="31"/>
        <v>0</v>
      </c>
      <c r="M197" s="165">
        <f t="shared" si="31"/>
        <v>5500</v>
      </c>
      <c r="N197" s="165">
        <f t="shared" si="31"/>
        <v>5500</v>
      </c>
    </row>
    <row r="198" spans="1:14" s="396" customFormat="1" ht="60.75" customHeight="1">
      <c r="A198" s="150"/>
      <c r="B198" s="163" t="s">
        <v>245</v>
      </c>
      <c r="C198" s="164" t="s">
        <v>354</v>
      </c>
      <c r="D198" s="149" t="s">
        <v>109</v>
      </c>
      <c r="E198" s="149" t="s">
        <v>57</v>
      </c>
      <c r="F198" s="171" t="s">
        <v>246</v>
      </c>
      <c r="G198" s="172" t="s">
        <v>62</v>
      </c>
      <c r="H198" s="751" t="s">
        <v>63</v>
      </c>
      <c r="I198" s="752" t="s">
        <v>64</v>
      </c>
      <c r="J198" s="149"/>
      <c r="K198" s="824">
        <f t="shared" si="31"/>
        <v>5500</v>
      </c>
      <c r="L198" s="165">
        <f t="shared" si="31"/>
        <v>0</v>
      </c>
      <c r="M198" s="165">
        <f t="shared" si="31"/>
        <v>5500</v>
      </c>
      <c r="N198" s="165">
        <f t="shared" si="31"/>
        <v>5500</v>
      </c>
    </row>
    <row r="199" spans="1:14" s="396" customFormat="1" ht="37.5">
      <c r="A199" s="150"/>
      <c r="B199" s="163" t="s">
        <v>404</v>
      </c>
      <c r="C199" s="164" t="s">
        <v>354</v>
      </c>
      <c r="D199" s="149" t="s">
        <v>109</v>
      </c>
      <c r="E199" s="149" t="s">
        <v>57</v>
      </c>
      <c r="F199" s="171" t="s">
        <v>246</v>
      </c>
      <c r="G199" s="172" t="s">
        <v>65</v>
      </c>
      <c r="H199" s="751" t="s">
        <v>63</v>
      </c>
      <c r="I199" s="752" t="s">
        <v>64</v>
      </c>
      <c r="J199" s="149"/>
      <c r="K199" s="824">
        <f t="shared" si="31"/>
        <v>5500</v>
      </c>
      <c r="L199" s="165">
        <f t="shared" si="31"/>
        <v>0</v>
      </c>
      <c r="M199" s="165">
        <f t="shared" si="31"/>
        <v>5500</v>
      </c>
      <c r="N199" s="165">
        <f t="shared" si="31"/>
        <v>5500</v>
      </c>
    </row>
    <row r="200" spans="1:14" s="396" customFormat="1" ht="37.5">
      <c r="A200" s="150"/>
      <c r="B200" s="163" t="s">
        <v>356</v>
      </c>
      <c r="C200" s="164" t="s">
        <v>354</v>
      </c>
      <c r="D200" s="149" t="s">
        <v>109</v>
      </c>
      <c r="E200" s="149" t="s">
        <v>57</v>
      </c>
      <c r="F200" s="171" t="s">
        <v>246</v>
      </c>
      <c r="G200" s="172" t="s">
        <v>65</v>
      </c>
      <c r="H200" s="751" t="s">
        <v>59</v>
      </c>
      <c r="I200" s="752" t="s">
        <v>64</v>
      </c>
      <c r="J200" s="149"/>
      <c r="K200" s="824">
        <f>K201</f>
        <v>5500</v>
      </c>
      <c r="L200" s="165">
        <f>L201</f>
        <v>0</v>
      </c>
      <c r="M200" s="165">
        <f>M201</f>
        <v>5500</v>
      </c>
      <c r="N200" s="165">
        <f>N201</f>
        <v>5500</v>
      </c>
    </row>
    <row r="201" spans="1:14" s="396" customFormat="1" ht="37.5">
      <c r="A201" s="150"/>
      <c r="B201" s="163" t="s">
        <v>298</v>
      </c>
      <c r="C201" s="164" t="s">
        <v>354</v>
      </c>
      <c r="D201" s="149" t="s">
        <v>109</v>
      </c>
      <c r="E201" s="149" t="s">
        <v>57</v>
      </c>
      <c r="F201" s="171" t="s">
        <v>246</v>
      </c>
      <c r="G201" s="172" t="s">
        <v>65</v>
      </c>
      <c r="H201" s="751" t="s">
        <v>59</v>
      </c>
      <c r="I201" s="752" t="s">
        <v>578</v>
      </c>
      <c r="J201" s="149"/>
      <c r="K201" s="824">
        <f t="shared" ref="K201:N201" si="32">K202</f>
        <v>5500</v>
      </c>
      <c r="L201" s="165">
        <f t="shared" si="32"/>
        <v>0</v>
      </c>
      <c r="M201" s="165">
        <f t="shared" si="32"/>
        <v>5500</v>
      </c>
      <c r="N201" s="165">
        <f t="shared" si="32"/>
        <v>5500</v>
      </c>
    </row>
    <row r="202" spans="1:14" s="396" customFormat="1" ht="18.75">
      <c r="A202" s="150"/>
      <c r="B202" s="163" t="s">
        <v>144</v>
      </c>
      <c r="C202" s="164" t="s">
        <v>354</v>
      </c>
      <c r="D202" s="149" t="s">
        <v>109</v>
      </c>
      <c r="E202" s="149" t="s">
        <v>57</v>
      </c>
      <c r="F202" s="171" t="s">
        <v>246</v>
      </c>
      <c r="G202" s="172" t="s">
        <v>65</v>
      </c>
      <c r="H202" s="751" t="s">
        <v>59</v>
      </c>
      <c r="I202" s="752" t="s">
        <v>578</v>
      </c>
      <c r="J202" s="149" t="s">
        <v>145</v>
      </c>
      <c r="K202" s="824">
        <v>5500</v>
      </c>
      <c r="L202" s="165">
        <f>M202-K202</f>
        <v>0</v>
      </c>
      <c r="M202" s="165">
        <v>5500</v>
      </c>
      <c r="N202" s="165">
        <v>5500</v>
      </c>
    </row>
    <row r="203" spans="1:14" s="396" customFormat="1" ht="18.75">
      <c r="A203" s="150"/>
      <c r="B203" s="163"/>
      <c r="C203" s="164"/>
      <c r="D203" s="149"/>
      <c r="E203" s="149"/>
      <c r="F203" s="171"/>
      <c r="G203" s="172"/>
      <c r="H203" s="751"/>
      <c r="I203" s="752"/>
      <c r="J203" s="149"/>
      <c r="K203" s="824"/>
      <c r="L203" s="165"/>
      <c r="M203" s="165"/>
      <c r="N203" s="165"/>
    </row>
    <row r="204" spans="1:14" s="397" customFormat="1" ht="56.25">
      <c r="A204" s="390">
        <v>3</v>
      </c>
      <c r="B204" s="157" t="s">
        <v>55</v>
      </c>
      <c r="C204" s="158" t="s">
        <v>150</v>
      </c>
      <c r="D204" s="159"/>
      <c r="E204" s="159"/>
      <c r="F204" s="160"/>
      <c r="G204" s="161"/>
      <c r="H204" s="161"/>
      <c r="I204" s="162"/>
      <c r="J204" s="159"/>
      <c r="K204" s="823">
        <f t="shared" ref="K204:N207" si="33">K205</f>
        <v>4306.6000000000004</v>
      </c>
      <c r="L204" s="188">
        <f t="shared" si="33"/>
        <v>0</v>
      </c>
      <c r="M204" s="188">
        <f t="shared" si="33"/>
        <v>4306.6000000000004</v>
      </c>
      <c r="N204" s="188">
        <f t="shared" si="33"/>
        <v>4306.7</v>
      </c>
    </row>
    <row r="205" spans="1:14" s="397" customFormat="1" ht="18.75">
      <c r="A205" s="150"/>
      <c r="B205" s="163" t="s">
        <v>56</v>
      </c>
      <c r="C205" s="164" t="s">
        <v>150</v>
      </c>
      <c r="D205" s="149" t="s">
        <v>57</v>
      </c>
      <c r="E205" s="149"/>
      <c r="F205" s="750"/>
      <c r="G205" s="751"/>
      <c r="H205" s="751"/>
      <c r="I205" s="752"/>
      <c r="J205" s="149"/>
      <c r="K205" s="824">
        <f t="shared" si="33"/>
        <v>4306.6000000000004</v>
      </c>
      <c r="L205" s="165">
        <f t="shared" si="33"/>
        <v>0</v>
      </c>
      <c r="M205" s="165">
        <f t="shared" si="33"/>
        <v>4306.6000000000004</v>
      </c>
      <c r="N205" s="165">
        <f t="shared" si="33"/>
        <v>4306.7</v>
      </c>
    </row>
    <row r="206" spans="1:14" s="397" customFormat="1" ht="59.25" customHeight="1">
      <c r="A206" s="150"/>
      <c r="B206" s="163" t="s">
        <v>151</v>
      </c>
      <c r="C206" s="164" t="s">
        <v>150</v>
      </c>
      <c r="D206" s="149" t="s">
        <v>57</v>
      </c>
      <c r="E206" s="149" t="s">
        <v>102</v>
      </c>
      <c r="F206" s="750"/>
      <c r="G206" s="751"/>
      <c r="H206" s="751"/>
      <c r="I206" s="752"/>
      <c r="J206" s="149"/>
      <c r="K206" s="824">
        <f t="shared" si="33"/>
        <v>4306.6000000000004</v>
      </c>
      <c r="L206" s="165">
        <f t="shared" si="33"/>
        <v>0</v>
      </c>
      <c r="M206" s="165">
        <f t="shared" si="33"/>
        <v>4306.6000000000004</v>
      </c>
      <c r="N206" s="165">
        <f t="shared" si="33"/>
        <v>4306.7</v>
      </c>
    </row>
    <row r="207" spans="1:14" s="397" customFormat="1" ht="42.75" customHeight="1">
      <c r="A207" s="150"/>
      <c r="B207" s="166" t="s">
        <v>152</v>
      </c>
      <c r="C207" s="164" t="s">
        <v>150</v>
      </c>
      <c r="D207" s="149" t="s">
        <v>57</v>
      </c>
      <c r="E207" s="149" t="s">
        <v>102</v>
      </c>
      <c r="F207" s="750" t="s">
        <v>153</v>
      </c>
      <c r="G207" s="751" t="s">
        <v>62</v>
      </c>
      <c r="H207" s="751" t="s">
        <v>63</v>
      </c>
      <c r="I207" s="752" t="s">
        <v>64</v>
      </c>
      <c r="J207" s="149"/>
      <c r="K207" s="824">
        <f t="shared" si="33"/>
        <v>4306.6000000000004</v>
      </c>
      <c r="L207" s="165">
        <f t="shared" si="33"/>
        <v>0</v>
      </c>
      <c r="M207" s="165">
        <f t="shared" si="33"/>
        <v>4306.6000000000004</v>
      </c>
      <c r="N207" s="165">
        <f t="shared" si="33"/>
        <v>4306.7</v>
      </c>
    </row>
    <row r="208" spans="1:14" s="397" customFormat="1" ht="34.5" customHeight="1">
      <c r="A208" s="150"/>
      <c r="B208" s="166" t="s">
        <v>154</v>
      </c>
      <c r="C208" s="164" t="s">
        <v>150</v>
      </c>
      <c r="D208" s="149" t="s">
        <v>57</v>
      </c>
      <c r="E208" s="149" t="s">
        <v>102</v>
      </c>
      <c r="F208" s="750" t="s">
        <v>153</v>
      </c>
      <c r="G208" s="751" t="s">
        <v>65</v>
      </c>
      <c r="H208" s="751" t="s">
        <v>63</v>
      </c>
      <c r="I208" s="752" t="s">
        <v>64</v>
      </c>
      <c r="J208" s="149"/>
      <c r="K208" s="824">
        <f>K209</f>
        <v>4306.6000000000004</v>
      </c>
      <c r="L208" s="165">
        <f>L209</f>
        <v>0</v>
      </c>
      <c r="M208" s="165">
        <f>M209</f>
        <v>4306.6000000000004</v>
      </c>
      <c r="N208" s="165">
        <f>N209</f>
        <v>4306.7</v>
      </c>
    </row>
    <row r="209" spans="1:14" s="397" customFormat="1" ht="37.5">
      <c r="A209" s="150"/>
      <c r="B209" s="163" t="s">
        <v>67</v>
      </c>
      <c r="C209" s="164" t="s">
        <v>150</v>
      </c>
      <c r="D209" s="149" t="s">
        <v>57</v>
      </c>
      <c r="E209" s="149" t="s">
        <v>102</v>
      </c>
      <c r="F209" s="750" t="s">
        <v>153</v>
      </c>
      <c r="G209" s="751" t="s">
        <v>65</v>
      </c>
      <c r="H209" s="751" t="s">
        <v>63</v>
      </c>
      <c r="I209" s="752" t="s">
        <v>68</v>
      </c>
      <c r="J209" s="149"/>
      <c r="K209" s="824">
        <f>K210+K211+K212</f>
        <v>4306.6000000000004</v>
      </c>
      <c r="L209" s="165">
        <f>L210+L211+L212</f>
        <v>0</v>
      </c>
      <c r="M209" s="165">
        <f>M210+M211+M212</f>
        <v>4306.6000000000004</v>
      </c>
      <c r="N209" s="165">
        <f>N210+N211+N212</f>
        <v>4306.7</v>
      </c>
    </row>
    <row r="210" spans="1:14" s="397" customFormat="1" ht="112.5">
      <c r="A210" s="150"/>
      <c r="B210" s="163" t="s">
        <v>69</v>
      </c>
      <c r="C210" s="164" t="s">
        <v>150</v>
      </c>
      <c r="D210" s="149" t="s">
        <v>57</v>
      </c>
      <c r="E210" s="149" t="s">
        <v>102</v>
      </c>
      <c r="F210" s="750" t="s">
        <v>153</v>
      </c>
      <c r="G210" s="751" t="s">
        <v>65</v>
      </c>
      <c r="H210" s="751" t="s">
        <v>63</v>
      </c>
      <c r="I210" s="752" t="s">
        <v>68</v>
      </c>
      <c r="J210" s="149" t="s">
        <v>70</v>
      </c>
      <c r="K210" s="824">
        <v>4101.3</v>
      </c>
      <c r="L210" s="165">
        <f>M210-K210</f>
        <v>0</v>
      </c>
      <c r="M210" s="165">
        <v>4101.3</v>
      </c>
      <c r="N210" s="165">
        <v>4101.3</v>
      </c>
    </row>
    <row r="211" spans="1:14" s="397" customFormat="1" ht="56.25">
      <c r="A211" s="150"/>
      <c r="B211" s="163" t="s">
        <v>75</v>
      </c>
      <c r="C211" s="164" t="s">
        <v>150</v>
      </c>
      <c r="D211" s="149" t="s">
        <v>57</v>
      </c>
      <c r="E211" s="149" t="s">
        <v>102</v>
      </c>
      <c r="F211" s="750" t="s">
        <v>153</v>
      </c>
      <c r="G211" s="751" t="s">
        <v>65</v>
      </c>
      <c r="H211" s="751" t="s">
        <v>63</v>
      </c>
      <c r="I211" s="752" t="s">
        <v>68</v>
      </c>
      <c r="J211" s="149" t="s">
        <v>76</v>
      </c>
      <c r="K211" s="824">
        <v>195.3</v>
      </c>
      <c r="L211" s="165">
        <f>M211-K211</f>
        <v>0</v>
      </c>
      <c r="M211" s="165">
        <v>195.3</v>
      </c>
      <c r="N211" s="165">
        <v>195.4</v>
      </c>
    </row>
    <row r="212" spans="1:14" s="397" customFormat="1" ht="18.75">
      <c r="A212" s="150"/>
      <c r="B212" s="163" t="s">
        <v>77</v>
      </c>
      <c r="C212" s="164" t="s">
        <v>150</v>
      </c>
      <c r="D212" s="149" t="s">
        <v>57</v>
      </c>
      <c r="E212" s="149" t="s">
        <v>102</v>
      </c>
      <c r="F212" s="750" t="s">
        <v>153</v>
      </c>
      <c r="G212" s="751" t="s">
        <v>65</v>
      </c>
      <c r="H212" s="751" t="s">
        <v>63</v>
      </c>
      <c r="I212" s="752" t="s">
        <v>68</v>
      </c>
      <c r="J212" s="149" t="s">
        <v>78</v>
      </c>
      <c r="K212" s="824">
        <v>10</v>
      </c>
      <c r="L212" s="165">
        <f>M212-K212</f>
        <v>0</v>
      </c>
      <c r="M212" s="165">
        <v>10</v>
      </c>
      <c r="N212" s="165">
        <v>10</v>
      </c>
    </row>
    <row r="213" spans="1:14" s="397" customFormat="1" ht="18.75">
      <c r="A213" s="150"/>
      <c r="B213" s="163"/>
      <c r="C213" s="164"/>
      <c r="D213" s="149"/>
      <c r="E213" s="149"/>
      <c r="F213" s="750"/>
      <c r="G213" s="751"/>
      <c r="H213" s="751"/>
      <c r="I213" s="752"/>
      <c r="J213" s="149"/>
      <c r="K213" s="824"/>
      <c r="L213" s="165"/>
      <c r="M213" s="165"/>
      <c r="N213" s="165"/>
    </row>
    <row r="214" spans="1:14" s="406" customFormat="1" ht="56.25">
      <c r="A214" s="398">
        <v>4</v>
      </c>
      <c r="B214" s="399" t="s">
        <v>17</v>
      </c>
      <c r="C214" s="400" t="s">
        <v>588</v>
      </c>
      <c r="D214" s="401"/>
      <c r="E214" s="401"/>
      <c r="F214" s="402"/>
      <c r="G214" s="403"/>
      <c r="H214" s="403"/>
      <c r="I214" s="404"/>
      <c r="J214" s="401"/>
      <c r="K214" s="825">
        <f>K215+K249+K269</f>
        <v>85460.1</v>
      </c>
      <c r="L214" s="405">
        <f>L215+L249+L269+L256</f>
        <v>90354.4</v>
      </c>
      <c r="M214" s="405">
        <f>M215+M249+M269+M256</f>
        <v>175814.5</v>
      </c>
      <c r="N214" s="405">
        <f>N215+N249+N269+N256</f>
        <v>65112.500000000007</v>
      </c>
    </row>
    <row r="215" spans="1:14" s="412" customFormat="1" ht="18.75">
      <c r="A215" s="407"/>
      <c r="B215" s="362" t="s">
        <v>56</v>
      </c>
      <c r="C215" s="408" t="s">
        <v>588</v>
      </c>
      <c r="D215" s="409" t="s">
        <v>57</v>
      </c>
      <c r="E215" s="310"/>
      <c r="F215" s="410"/>
      <c r="G215" s="308"/>
      <c r="H215" s="308"/>
      <c r="I215" s="309"/>
      <c r="J215" s="310"/>
      <c r="K215" s="826">
        <f>K216</f>
        <v>32902.5</v>
      </c>
      <c r="L215" s="411">
        <f>L216</f>
        <v>-8000</v>
      </c>
      <c r="M215" s="411">
        <f>M216</f>
        <v>24902.5</v>
      </c>
      <c r="N215" s="411">
        <f>N216</f>
        <v>24909.800000000003</v>
      </c>
    </row>
    <row r="216" spans="1:14" s="406" customFormat="1" ht="18.75">
      <c r="A216" s="407"/>
      <c r="B216" s="362" t="s">
        <v>91</v>
      </c>
      <c r="C216" s="408" t="s">
        <v>588</v>
      </c>
      <c r="D216" s="409" t="s">
        <v>57</v>
      </c>
      <c r="E216" s="409" t="s">
        <v>92</v>
      </c>
      <c r="F216" s="410"/>
      <c r="G216" s="308"/>
      <c r="H216" s="308"/>
      <c r="I216" s="309"/>
      <c r="J216" s="310"/>
      <c r="K216" s="826">
        <f>K217+K242</f>
        <v>32902.5</v>
      </c>
      <c r="L216" s="411">
        <f>L217+L242</f>
        <v>-8000</v>
      </c>
      <c r="M216" s="411">
        <f>M217+M242</f>
        <v>24902.5</v>
      </c>
      <c r="N216" s="411">
        <f>N217+N242</f>
        <v>24909.800000000003</v>
      </c>
    </row>
    <row r="217" spans="1:14" s="412" customFormat="1" ht="54" customHeight="1">
      <c r="A217" s="407"/>
      <c r="B217" s="362" t="s">
        <v>247</v>
      </c>
      <c r="C217" s="408" t="s">
        <v>588</v>
      </c>
      <c r="D217" s="409" t="s">
        <v>57</v>
      </c>
      <c r="E217" s="409" t="s">
        <v>92</v>
      </c>
      <c r="F217" s="338" t="s">
        <v>248</v>
      </c>
      <c r="G217" s="308" t="s">
        <v>62</v>
      </c>
      <c r="H217" s="308" t="s">
        <v>63</v>
      </c>
      <c r="I217" s="309" t="s">
        <v>64</v>
      </c>
      <c r="J217" s="310"/>
      <c r="K217" s="826">
        <f>K218+K224</f>
        <v>27719.5</v>
      </c>
      <c r="L217" s="411">
        <f>L218+L224</f>
        <v>-8000</v>
      </c>
      <c r="M217" s="411">
        <f>M218+M224</f>
        <v>19719.5</v>
      </c>
      <c r="N217" s="411">
        <f>N218+N224</f>
        <v>19723.400000000001</v>
      </c>
    </row>
    <row r="218" spans="1:14" s="412" customFormat="1" ht="41.25" customHeight="1">
      <c r="A218" s="407"/>
      <c r="B218" s="362" t="s">
        <v>249</v>
      </c>
      <c r="C218" s="408" t="s">
        <v>588</v>
      </c>
      <c r="D218" s="409" t="s">
        <v>57</v>
      </c>
      <c r="E218" s="409" t="s">
        <v>92</v>
      </c>
      <c r="F218" s="413" t="s">
        <v>248</v>
      </c>
      <c r="G218" s="414" t="s">
        <v>65</v>
      </c>
      <c r="H218" s="414" t="s">
        <v>63</v>
      </c>
      <c r="I218" s="415" t="s">
        <v>64</v>
      </c>
      <c r="J218" s="310"/>
      <c r="K218" s="826">
        <f t="shared" ref="K218:N222" si="34">K219</f>
        <v>8506.2000000000007</v>
      </c>
      <c r="L218" s="411">
        <f t="shared" si="34"/>
        <v>-8000</v>
      </c>
      <c r="M218" s="411">
        <f t="shared" si="34"/>
        <v>506.2</v>
      </c>
      <c r="N218" s="411">
        <f t="shared" si="34"/>
        <v>508.4</v>
      </c>
    </row>
    <row r="219" spans="1:14" s="406" customFormat="1" ht="37.5">
      <c r="A219" s="407"/>
      <c r="B219" s="357" t="s">
        <v>403</v>
      </c>
      <c r="C219" s="408" t="s">
        <v>588</v>
      </c>
      <c r="D219" s="409" t="s">
        <v>57</v>
      </c>
      <c r="E219" s="409" t="s">
        <v>92</v>
      </c>
      <c r="F219" s="307" t="s">
        <v>248</v>
      </c>
      <c r="G219" s="308" t="s">
        <v>65</v>
      </c>
      <c r="H219" s="308" t="s">
        <v>59</v>
      </c>
      <c r="I219" s="309" t="s">
        <v>64</v>
      </c>
      <c r="J219" s="310"/>
      <c r="K219" s="826">
        <f t="shared" ref="K219" si="35">K222+K220</f>
        <v>8506.2000000000007</v>
      </c>
      <c r="L219" s="411">
        <f t="shared" ref="L219" si="36">L222+L220</f>
        <v>-8000</v>
      </c>
      <c r="M219" s="411">
        <f t="shared" ref="M219:N219" si="37">M222+M220</f>
        <v>506.2</v>
      </c>
      <c r="N219" s="411">
        <f t="shared" si="37"/>
        <v>508.4</v>
      </c>
    </row>
    <row r="220" spans="1:14" s="406" customFormat="1" ht="37.5">
      <c r="A220" s="407"/>
      <c r="B220" s="357" t="s">
        <v>402</v>
      </c>
      <c r="C220" s="408" t="s">
        <v>588</v>
      </c>
      <c r="D220" s="409" t="s">
        <v>57</v>
      </c>
      <c r="E220" s="409" t="s">
        <v>92</v>
      </c>
      <c r="F220" s="307" t="s">
        <v>248</v>
      </c>
      <c r="G220" s="308" t="s">
        <v>65</v>
      </c>
      <c r="H220" s="308" t="s">
        <v>59</v>
      </c>
      <c r="I220" s="309" t="s">
        <v>401</v>
      </c>
      <c r="J220" s="310"/>
      <c r="K220" s="826">
        <f t="shared" si="34"/>
        <v>506.2</v>
      </c>
      <c r="L220" s="411">
        <f t="shared" si="34"/>
        <v>0</v>
      </c>
      <c r="M220" s="411">
        <f t="shared" si="34"/>
        <v>506.2</v>
      </c>
      <c r="N220" s="411">
        <f t="shared" si="34"/>
        <v>508.4</v>
      </c>
    </row>
    <row r="221" spans="1:14" s="406" customFormat="1" ht="56.25">
      <c r="A221" s="407"/>
      <c r="B221" s="357" t="s">
        <v>75</v>
      </c>
      <c r="C221" s="408" t="s">
        <v>588</v>
      </c>
      <c r="D221" s="409" t="s">
        <v>57</v>
      </c>
      <c r="E221" s="409" t="s">
        <v>92</v>
      </c>
      <c r="F221" s="307" t="s">
        <v>248</v>
      </c>
      <c r="G221" s="308" t="s">
        <v>65</v>
      </c>
      <c r="H221" s="308" t="s">
        <v>59</v>
      </c>
      <c r="I221" s="309" t="s">
        <v>401</v>
      </c>
      <c r="J221" s="310" t="s">
        <v>76</v>
      </c>
      <c r="K221" s="826">
        <v>506.2</v>
      </c>
      <c r="L221" s="165">
        <f>M221-K221</f>
        <v>0</v>
      </c>
      <c r="M221" s="411">
        <v>506.2</v>
      </c>
      <c r="N221" s="411">
        <v>508.4</v>
      </c>
    </row>
    <row r="222" spans="1:14" s="412" customFormat="1" ht="93.75">
      <c r="A222" s="407"/>
      <c r="B222" s="306" t="s">
        <v>1012</v>
      </c>
      <c r="C222" s="408" t="s">
        <v>588</v>
      </c>
      <c r="D222" s="409" t="s">
        <v>57</v>
      </c>
      <c r="E222" s="409" t="s">
        <v>92</v>
      </c>
      <c r="F222" s="307" t="s">
        <v>248</v>
      </c>
      <c r="G222" s="308" t="s">
        <v>65</v>
      </c>
      <c r="H222" s="308" t="s">
        <v>59</v>
      </c>
      <c r="I222" s="309" t="s">
        <v>593</v>
      </c>
      <c r="J222" s="310"/>
      <c r="K222" s="826">
        <f t="shared" si="34"/>
        <v>8000</v>
      </c>
      <c r="L222" s="411">
        <f t="shared" si="34"/>
        <v>-8000</v>
      </c>
      <c r="M222" s="411">
        <f t="shared" si="34"/>
        <v>0</v>
      </c>
      <c r="N222" s="411">
        <f t="shared" si="34"/>
        <v>0</v>
      </c>
    </row>
    <row r="223" spans="1:14" s="412" customFormat="1" ht="56.25">
      <c r="A223" s="407"/>
      <c r="B223" s="306" t="s">
        <v>225</v>
      </c>
      <c r="C223" s="408" t="s">
        <v>588</v>
      </c>
      <c r="D223" s="409" t="s">
        <v>57</v>
      </c>
      <c r="E223" s="409" t="s">
        <v>92</v>
      </c>
      <c r="F223" s="307" t="s">
        <v>248</v>
      </c>
      <c r="G223" s="308" t="s">
        <v>65</v>
      </c>
      <c r="H223" s="308" t="s">
        <v>59</v>
      </c>
      <c r="I223" s="309" t="s">
        <v>593</v>
      </c>
      <c r="J223" s="310" t="s">
        <v>226</v>
      </c>
      <c r="K223" s="827">
        <v>8000</v>
      </c>
      <c r="L223" s="165">
        <f>M223-K223</f>
        <v>-8000</v>
      </c>
      <c r="M223" s="821">
        <f>8000-8000</f>
        <v>0</v>
      </c>
      <c r="N223" s="411">
        <v>0</v>
      </c>
    </row>
    <row r="224" spans="1:14" s="406" customFormat="1" ht="37.5">
      <c r="A224" s="407"/>
      <c r="B224" s="362" t="s">
        <v>251</v>
      </c>
      <c r="C224" s="408" t="s">
        <v>588</v>
      </c>
      <c r="D224" s="409" t="s">
        <v>57</v>
      </c>
      <c r="E224" s="409" t="s">
        <v>92</v>
      </c>
      <c r="F224" s="338" t="s">
        <v>248</v>
      </c>
      <c r="G224" s="308" t="s">
        <v>110</v>
      </c>
      <c r="H224" s="308" t="s">
        <v>63</v>
      </c>
      <c r="I224" s="309" t="s">
        <v>64</v>
      </c>
      <c r="J224" s="310"/>
      <c r="K224" s="826">
        <f>K225+K236+K239</f>
        <v>19213.3</v>
      </c>
      <c r="L224" s="411">
        <f>L225+L236+L239</f>
        <v>0</v>
      </c>
      <c r="M224" s="411">
        <f>M225+M236+M239</f>
        <v>19213.3</v>
      </c>
      <c r="N224" s="411">
        <f>N225+N236+N239</f>
        <v>19215</v>
      </c>
    </row>
    <row r="225" spans="1:14" s="412" customFormat="1" ht="77.25" customHeight="1">
      <c r="A225" s="407"/>
      <c r="B225" s="362" t="s">
        <v>353</v>
      </c>
      <c r="C225" s="408" t="s">
        <v>588</v>
      </c>
      <c r="D225" s="409" t="s">
        <v>57</v>
      </c>
      <c r="E225" s="409" t="s">
        <v>92</v>
      </c>
      <c r="F225" s="338" t="s">
        <v>248</v>
      </c>
      <c r="G225" s="308" t="s">
        <v>110</v>
      </c>
      <c r="H225" s="308" t="s">
        <v>57</v>
      </c>
      <c r="I225" s="309" t="s">
        <v>64</v>
      </c>
      <c r="J225" s="310"/>
      <c r="K225" s="826">
        <f>K226+K230+K234</f>
        <v>18642.899999999998</v>
      </c>
      <c r="L225" s="411">
        <f>L226+L230+L234</f>
        <v>0</v>
      </c>
      <c r="M225" s="411">
        <f>M226+M230+M234</f>
        <v>18642.899999999998</v>
      </c>
      <c r="N225" s="411">
        <f>N226+N230+N234</f>
        <v>18644.599999999999</v>
      </c>
    </row>
    <row r="226" spans="1:14" s="406" customFormat="1" ht="37.5">
      <c r="A226" s="407"/>
      <c r="B226" s="362" t="s">
        <v>67</v>
      </c>
      <c r="C226" s="408" t="s">
        <v>588</v>
      </c>
      <c r="D226" s="409" t="s">
        <v>57</v>
      </c>
      <c r="E226" s="409" t="s">
        <v>92</v>
      </c>
      <c r="F226" s="416" t="s">
        <v>248</v>
      </c>
      <c r="G226" s="414" t="s">
        <v>110</v>
      </c>
      <c r="H226" s="414" t="s">
        <v>57</v>
      </c>
      <c r="I226" s="415" t="s">
        <v>68</v>
      </c>
      <c r="J226" s="310"/>
      <c r="K226" s="826">
        <f>K227+K228+K229</f>
        <v>13256.9</v>
      </c>
      <c r="L226" s="411">
        <f>L227+L228+L229</f>
        <v>0</v>
      </c>
      <c r="M226" s="411">
        <f>M227+M228+M229</f>
        <v>13256.9</v>
      </c>
      <c r="N226" s="411">
        <f>N227+N228+N229</f>
        <v>13257.3</v>
      </c>
    </row>
    <row r="227" spans="1:14" s="412" customFormat="1" ht="112.5">
      <c r="A227" s="407"/>
      <c r="B227" s="163" t="s">
        <v>69</v>
      </c>
      <c r="C227" s="408" t="s">
        <v>588</v>
      </c>
      <c r="D227" s="409" t="s">
        <v>57</v>
      </c>
      <c r="E227" s="409" t="s">
        <v>92</v>
      </c>
      <c r="F227" s="338" t="s">
        <v>248</v>
      </c>
      <c r="G227" s="308" t="s">
        <v>110</v>
      </c>
      <c r="H227" s="308" t="s">
        <v>57</v>
      </c>
      <c r="I227" s="309" t="s">
        <v>68</v>
      </c>
      <c r="J227" s="310" t="s">
        <v>70</v>
      </c>
      <c r="K227" s="826">
        <v>12941.4</v>
      </c>
      <c r="L227" s="165">
        <f>M227-K227</f>
        <v>0</v>
      </c>
      <c r="M227" s="411">
        <v>12941.4</v>
      </c>
      <c r="N227" s="411">
        <v>12941.4</v>
      </c>
    </row>
    <row r="228" spans="1:14" s="412" customFormat="1" ht="56.25">
      <c r="A228" s="407"/>
      <c r="B228" s="357" t="s">
        <v>75</v>
      </c>
      <c r="C228" s="408" t="s">
        <v>588</v>
      </c>
      <c r="D228" s="409" t="s">
        <v>57</v>
      </c>
      <c r="E228" s="409" t="s">
        <v>92</v>
      </c>
      <c r="F228" s="338" t="s">
        <v>248</v>
      </c>
      <c r="G228" s="308" t="s">
        <v>110</v>
      </c>
      <c r="H228" s="308" t="s">
        <v>57</v>
      </c>
      <c r="I228" s="309" t="s">
        <v>68</v>
      </c>
      <c r="J228" s="310" t="s">
        <v>76</v>
      </c>
      <c r="K228" s="826">
        <v>314.2</v>
      </c>
      <c r="L228" s="165">
        <f>M228-K228</f>
        <v>0</v>
      </c>
      <c r="M228" s="411">
        <v>314.2</v>
      </c>
      <c r="N228" s="411">
        <v>314.60000000000002</v>
      </c>
    </row>
    <row r="229" spans="1:14" s="412" customFormat="1" ht="18.75">
      <c r="A229" s="407"/>
      <c r="B229" s="362" t="s">
        <v>77</v>
      </c>
      <c r="C229" s="408" t="s">
        <v>588</v>
      </c>
      <c r="D229" s="409" t="s">
        <v>57</v>
      </c>
      <c r="E229" s="409" t="s">
        <v>92</v>
      </c>
      <c r="F229" s="338" t="s">
        <v>248</v>
      </c>
      <c r="G229" s="308" t="s">
        <v>110</v>
      </c>
      <c r="H229" s="308" t="s">
        <v>57</v>
      </c>
      <c r="I229" s="309" t="s">
        <v>68</v>
      </c>
      <c r="J229" s="310" t="s">
        <v>78</v>
      </c>
      <c r="K229" s="826">
        <v>1.3</v>
      </c>
      <c r="L229" s="165">
        <f>M229-K229</f>
        <v>0</v>
      </c>
      <c r="M229" s="411">
        <v>1.3</v>
      </c>
      <c r="N229" s="411">
        <v>1.3</v>
      </c>
    </row>
    <row r="230" spans="1:14" s="412" customFormat="1" ht="40.5" customHeight="1">
      <c r="A230" s="407"/>
      <c r="B230" s="303" t="s">
        <v>795</v>
      </c>
      <c r="C230" s="408" t="s">
        <v>588</v>
      </c>
      <c r="D230" s="409" t="s">
        <v>57</v>
      </c>
      <c r="E230" s="409" t="s">
        <v>92</v>
      </c>
      <c r="F230" s="338" t="s">
        <v>248</v>
      </c>
      <c r="G230" s="308" t="s">
        <v>110</v>
      </c>
      <c r="H230" s="308" t="s">
        <v>57</v>
      </c>
      <c r="I230" s="309" t="s">
        <v>112</v>
      </c>
      <c r="J230" s="310"/>
      <c r="K230" s="826">
        <f>K231+K232+K233</f>
        <v>5351.4999999999991</v>
      </c>
      <c r="L230" s="411">
        <f>L231+L232+L233</f>
        <v>0</v>
      </c>
      <c r="M230" s="411">
        <f>M231+M232+M233</f>
        <v>5351.4999999999991</v>
      </c>
      <c r="N230" s="411">
        <f>N231+N232+N233</f>
        <v>5352.8</v>
      </c>
    </row>
    <row r="231" spans="1:14" s="412" customFormat="1" ht="112.5">
      <c r="A231" s="407"/>
      <c r="B231" s="163" t="s">
        <v>69</v>
      </c>
      <c r="C231" s="408" t="s">
        <v>588</v>
      </c>
      <c r="D231" s="409" t="s">
        <v>57</v>
      </c>
      <c r="E231" s="409" t="s">
        <v>92</v>
      </c>
      <c r="F231" s="338" t="s">
        <v>248</v>
      </c>
      <c r="G231" s="308" t="s">
        <v>110</v>
      </c>
      <c r="H231" s="308" t="s">
        <v>57</v>
      </c>
      <c r="I231" s="309" t="s">
        <v>112</v>
      </c>
      <c r="J231" s="310" t="s">
        <v>70</v>
      </c>
      <c r="K231" s="826">
        <v>4981.3999999999996</v>
      </c>
      <c r="L231" s="165">
        <f>M231-K231</f>
        <v>0</v>
      </c>
      <c r="M231" s="411">
        <v>4981.3999999999996</v>
      </c>
      <c r="N231" s="411">
        <v>4981.3999999999996</v>
      </c>
    </row>
    <row r="232" spans="1:14" s="412" customFormat="1" ht="56.25">
      <c r="A232" s="407"/>
      <c r="B232" s="357" t="s">
        <v>75</v>
      </c>
      <c r="C232" s="408" t="s">
        <v>588</v>
      </c>
      <c r="D232" s="409" t="s">
        <v>57</v>
      </c>
      <c r="E232" s="409" t="s">
        <v>92</v>
      </c>
      <c r="F232" s="416" t="s">
        <v>248</v>
      </c>
      <c r="G232" s="414" t="s">
        <v>110</v>
      </c>
      <c r="H232" s="414" t="s">
        <v>57</v>
      </c>
      <c r="I232" s="415" t="s">
        <v>112</v>
      </c>
      <c r="J232" s="310" t="s">
        <v>76</v>
      </c>
      <c r="K232" s="826">
        <v>347.2</v>
      </c>
      <c r="L232" s="165">
        <f>M232-K232</f>
        <v>0</v>
      </c>
      <c r="M232" s="411">
        <v>347.2</v>
      </c>
      <c r="N232" s="411">
        <v>350.3</v>
      </c>
    </row>
    <row r="233" spans="1:14" s="412" customFormat="1" ht="18.75">
      <c r="A233" s="407"/>
      <c r="B233" s="362" t="s">
        <v>77</v>
      </c>
      <c r="C233" s="408" t="s">
        <v>588</v>
      </c>
      <c r="D233" s="409" t="s">
        <v>57</v>
      </c>
      <c r="E233" s="409" t="s">
        <v>92</v>
      </c>
      <c r="F233" s="338" t="s">
        <v>248</v>
      </c>
      <c r="G233" s="308" t="s">
        <v>110</v>
      </c>
      <c r="H233" s="308" t="s">
        <v>57</v>
      </c>
      <c r="I233" s="309" t="s">
        <v>112</v>
      </c>
      <c r="J233" s="310" t="s">
        <v>78</v>
      </c>
      <c r="K233" s="826">
        <v>22.9</v>
      </c>
      <c r="L233" s="165">
        <f>M233-K233</f>
        <v>0</v>
      </c>
      <c r="M233" s="411">
        <v>22.9</v>
      </c>
      <c r="N233" s="411">
        <v>21.1</v>
      </c>
    </row>
    <row r="234" spans="1:14" s="412" customFormat="1" ht="56.25">
      <c r="A234" s="407"/>
      <c r="B234" s="357" t="s">
        <v>431</v>
      </c>
      <c r="C234" s="408" t="s">
        <v>588</v>
      </c>
      <c r="D234" s="409" t="s">
        <v>57</v>
      </c>
      <c r="E234" s="409" t="s">
        <v>92</v>
      </c>
      <c r="F234" s="338" t="s">
        <v>248</v>
      </c>
      <c r="G234" s="308" t="s">
        <v>110</v>
      </c>
      <c r="H234" s="308" t="s">
        <v>57</v>
      </c>
      <c r="I234" s="309" t="s">
        <v>430</v>
      </c>
      <c r="J234" s="310"/>
      <c r="K234" s="826">
        <f>K235</f>
        <v>34.5</v>
      </c>
      <c r="L234" s="411">
        <f>L235</f>
        <v>0</v>
      </c>
      <c r="M234" s="411">
        <f>M235</f>
        <v>34.5</v>
      </c>
      <c r="N234" s="411">
        <f>N235</f>
        <v>34.5</v>
      </c>
    </row>
    <row r="235" spans="1:14" s="412" customFormat="1" ht="56.25">
      <c r="A235" s="407"/>
      <c r="B235" s="357" t="s">
        <v>75</v>
      </c>
      <c r="C235" s="408" t="s">
        <v>588</v>
      </c>
      <c r="D235" s="409" t="s">
        <v>57</v>
      </c>
      <c r="E235" s="409" t="s">
        <v>92</v>
      </c>
      <c r="F235" s="338" t="s">
        <v>248</v>
      </c>
      <c r="G235" s="308" t="s">
        <v>110</v>
      </c>
      <c r="H235" s="308" t="s">
        <v>57</v>
      </c>
      <c r="I235" s="455" t="s">
        <v>430</v>
      </c>
      <c r="J235" s="310" t="s">
        <v>76</v>
      </c>
      <c r="K235" s="826">
        <v>34.5</v>
      </c>
      <c r="L235" s="165">
        <f>M235-K235</f>
        <v>0</v>
      </c>
      <c r="M235" s="411">
        <v>34.5</v>
      </c>
      <c r="N235" s="411">
        <v>34.5</v>
      </c>
    </row>
    <row r="236" spans="1:14" s="412" customFormat="1" ht="37.5">
      <c r="A236" s="407"/>
      <c r="B236" s="457" t="s">
        <v>428</v>
      </c>
      <c r="C236" s="458" t="s">
        <v>588</v>
      </c>
      <c r="D236" s="459" t="s">
        <v>57</v>
      </c>
      <c r="E236" s="459" t="s">
        <v>92</v>
      </c>
      <c r="F236" s="338" t="s">
        <v>248</v>
      </c>
      <c r="G236" s="339" t="s">
        <v>110</v>
      </c>
      <c r="H236" s="339" t="s">
        <v>59</v>
      </c>
      <c r="I236" s="340" t="s">
        <v>64</v>
      </c>
      <c r="J236" s="341"/>
      <c r="K236" s="826">
        <f t="shared" ref="K236:N237" si="38">K237</f>
        <v>549.9</v>
      </c>
      <c r="L236" s="411">
        <f t="shared" si="38"/>
        <v>0</v>
      </c>
      <c r="M236" s="411">
        <f t="shared" si="38"/>
        <v>549.9</v>
      </c>
      <c r="N236" s="411">
        <f t="shared" si="38"/>
        <v>549.9</v>
      </c>
    </row>
    <row r="237" spans="1:14" s="412" customFormat="1" ht="58.5" customHeight="1">
      <c r="A237" s="407"/>
      <c r="B237" s="464" t="s">
        <v>429</v>
      </c>
      <c r="C237" s="408" t="s">
        <v>588</v>
      </c>
      <c r="D237" s="409" t="s">
        <v>57</v>
      </c>
      <c r="E237" s="409" t="s">
        <v>92</v>
      </c>
      <c r="F237" s="418" t="s">
        <v>248</v>
      </c>
      <c r="G237" s="339" t="s">
        <v>110</v>
      </c>
      <c r="H237" s="339" t="s">
        <v>59</v>
      </c>
      <c r="I237" s="340" t="s">
        <v>126</v>
      </c>
      <c r="J237" s="343"/>
      <c r="K237" s="826">
        <f t="shared" si="38"/>
        <v>549.9</v>
      </c>
      <c r="L237" s="411">
        <f t="shared" si="38"/>
        <v>0</v>
      </c>
      <c r="M237" s="411">
        <f t="shared" si="38"/>
        <v>549.9</v>
      </c>
      <c r="N237" s="411">
        <f t="shared" si="38"/>
        <v>549.9</v>
      </c>
    </row>
    <row r="238" spans="1:14" s="412" customFormat="1" ht="56.25">
      <c r="A238" s="407"/>
      <c r="B238" s="466" t="s">
        <v>75</v>
      </c>
      <c r="C238" s="408" t="s">
        <v>588</v>
      </c>
      <c r="D238" s="409" t="s">
        <v>57</v>
      </c>
      <c r="E238" s="409" t="s">
        <v>92</v>
      </c>
      <c r="F238" s="418" t="s">
        <v>248</v>
      </c>
      <c r="G238" s="347" t="s">
        <v>110</v>
      </c>
      <c r="H238" s="347" t="s">
        <v>59</v>
      </c>
      <c r="I238" s="467" t="s">
        <v>126</v>
      </c>
      <c r="J238" s="468" t="s">
        <v>76</v>
      </c>
      <c r="K238" s="826">
        <v>549.9</v>
      </c>
      <c r="L238" s="165">
        <f>M238-K238</f>
        <v>0</v>
      </c>
      <c r="M238" s="411">
        <v>549.9</v>
      </c>
      <c r="N238" s="411">
        <v>549.9</v>
      </c>
    </row>
    <row r="239" spans="1:14" s="412" customFormat="1" ht="37.5">
      <c r="A239" s="407"/>
      <c r="B239" s="469" t="s">
        <v>464</v>
      </c>
      <c r="C239" s="408" t="s">
        <v>588</v>
      </c>
      <c r="D239" s="409" t="s">
        <v>57</v>
      </c>
      <c r="E239" s="409" t="s">
        <v>92</v>
      </c>
      <c r="F239" s="418" t="s">
        <v>248</v>
      </c>
      <c r="G239" s="339" t="s">
        <v>110</v>
      </c>
      <c r="H239" s="339" t="s">
        <v>84</v>
      </c>
      <c r="I239" s="340" t="s">
        <v>64</v>
      </c>
      <c r="J239" s="343"/>
      <c r="K239" s="826">
        <f t="shared" ref="K239:N240" si="39">K240</f>
        <v>20.5</v>
      </c>
      <c r="L239" s="411">
        <f t="shared" si="39"/>
        <v>0</v>
      </c>
      <c r="M239" s="411">
        <f t="shared" si="39"/>
        <v>20.5</v>
      </c>
      <c r="N239" s="411">
        <f t="shared" si="39"/>
        <v>20.5</v>
      </c>
    </row>
    <row r="240" spans="1:14" s="412" customFormat="1" ht="37.5">
      <c r="A240" s="407"/>
      <c r="B240" s="469" t="s">
        <v>402</v>
      </c>
      <c r="C240" s="408" t="s">
        <v>588</v>
      </c>
      <c r="D240" s="409" t="s">
        <v>57</v>
      </c>
      <c r="E240" s="409" t="s">
        <v>92</v>
      </c>
      <c r="F240" s="346" t="s">
        <v>248</v>
      </c>
      <c r="G240" s="347" t="s">
        <v>110</v>
      </c>
      <c r="H240" s="347" t="s">
        <v>84</v>
      </c>
      <c r="I240" s="467" t="s">
        <v>401</v>
      </c>
      <c r="J240" s="343"/>
      <c r="K240" s="826">
        <f t="shared" si="39"/>
        <v>20.5</v>
      </c>
      <c r="L240" s="411">
        <f t="shared" si="39"/>
        <v>0</v>
      </c>
      <c r="M240" s="411">
        <f t="shared" si="39"/>
        <v>20.5</v>
      </c>
      <c r="N240" s="411">
        <f t="shared" si="39"/>
        <v>20.5</v>
      </c>
    </row>
    <row r="241" spans="1:14" s="412" customFormat="1" ht="18.75">
      <c r="A241" s="407"/>
      <c r="B241" s="362" t="s">
        <v>77</v>
      </c>
      <c r="C241" s="471" t="s">
        <v>588</v>
      </c>
      <c r="D241" s="409" t="s">
        <v>57</v>
      </c>
      <c r="E241" s="409" t="s">
        <v>92</v>
      </c>
      <c r="F241" s="338" t="s">
        <v>248</v>
      </c>
      <c r="G241" s="339" t="s">
        <v>110</v>
      </c>
      <c r="H241" s="339" t="s">
        <v>84</v>
      </c>
      <c r="I241" s="340" t="s">
        <v>401</v>
      </c>
      <c r="J241" s="343" t="s">
        <v>78</v>
      </c>
      <c r="K241" s="826">
        <v>20.5</v>
      </c>
      <c r="L241" s="165">
        <f>M241-K241</f>
        <v>0</v>
      </c>
      <c r="M241" s="411">
        <v>20.5</v>
      </c>
      <c r="N241" s="411">
        <v>20.5</v>
      </c>
    </row>
    <row r="242" spans="1:14" s="412" customFormat="1" ht="56.25" customHeight="1">
      <c r="A242" s="407"/>
      <c r="B242" s="417" t="s">
        <v>60</v>
      </c>
      <c r="C242" s="408" t="s">
        <v>588</v>
      </c>
      <c r="D242" s="409" t="s">
        <v>57</v>
      </c>
      <c r="E242" s="409" t="s">
        <v>92</v>
      </c>
      <c r="F242" s="418" t="s">
        <v>61</v>
      </c>
      <c r="G242" s="308" t="s">
        <v>62</v>
      </c>
      <c r="H242" s="308" t="s">
        <v>63</v>
      </c>
      <c r="I242" s="309" t="s">
        <v>64</v>
      </c>
      <c r="J242" s="310"/>
      <c r="K242" s="826">
        <f t="shared" ref="K242:N244" si="40">K243</f>
        <v>5183.0000000000009</v>
      </c>
      <c r="L242" s="411">
        <f t="shared" si="40"/>
        <v>0</v>
      </c>
      <c r="M242" s="411">
        <f t="shared" si="40"/>
        <v>5183.0000000000009</v>
      </c>
      <c r="N242" s="411">
        <f t="shared" si="40"/>
        <v>5186.4000000000005</v>
      </c>
    </row>
    <row r="243" spans="1:14" s="412" customFormat="1" ht="37.5">
      <c r="A243" s="407"/>
      <c r="B243" s="357" t="s">
        <v>404</v>
      </c>
      <c r="C243" s="408" t="s">
        <v>588</v>
      </c>
      <c r="D243" s="409" t="s">
        <v>57</v>
      </c>
      <c r="E243" s="409" t="s">
        <v>92</v>
      </c>
      <c r="F243" s="338" t="s">
        <v>61</v>
      </c>
      <c r="G243" s="308" t="s">
        <v>65</v>
      </c>
      <c r="H243" s="308" t="s">
        <v>63</v>
      </c>
      <c r="I243" s="309" t="s">
        <v>64</v>
      </c>
      <c r="J243" s="310"/>
      <c r="K243" s="826">
        <f t="shared" si="40"/>
        <v>5183.0000000000009</v>
      </c>
      <c r="L243" s="411">
        <f t="shared" si="40"/>
        <v>0</v>
      </c>
      <c r="M243" s="411">
        <f t="shared" si="40"/>
        <v>5183.0000000000009</v>
      </c>
      <c r="N243" s="411">
        <f t="shared" si="40"/>
        <v>5186.4000000000005</v>
      </c>
    </row>
    <row r="244" spans="1:14" s="412" customFormat="1" ht="75">
      <c r="A244" s="407"/>
      <c r="B244" s="362" t="s">
        <v>351</v>
      </c>
      <c r="C244" s="408" t="s">
        <v>588</v>
      </c>
      <c r="D244" s="409" t="s">
        <v>57</v>
      </c>
      <c r="E244" s="409" t="s">
        <v>92</v>
      </c>
      <c r="F244" s="338" t="s">
        <v>61</v>
      </c>
      <c r="G244" s="308" t="s">
        <v>65</v>
      </c>
      <c r="H244" s="308" t="s">
        <v>102</v>
      </c>
      <c r="I244" s="309" t="s">
        <v>64</v>
      </c>
      <c r="J244" s="310"/>
      <c r="K244" s="826">
        <f t="shared" si="40"/>
        <v>5183.0000000000009</v>
      </c>
      <c r="L244" s="411">
        <f t="shared" si="40"/>
        <v>0</v>
      </c>
      <c r="M244" s="411">
        <f t="shared" si="40"/>
        <v>5183.0000000000009</v>
      </c>
      <c r="N244" s="411">
        <f t="shared" si="40"/>
        <v>5186.4000000000005</v>
      </c>
    </row>
    <row r="245" spans="1:14" s="412" customFormat="1" ht="42.75" customHeight="1">
      <c r="A245" s="407"/>
      <c r="B245" s="303" t="s">
        <v>795</v>
      </c>
      <c r="C245" s="408" t="s">
        <v>588</v>
      </c>
      <c r="D245" s="409" t="s">
        <v>57</v>
      </c>
      <c r="E245" s="409" t="s">
        <v>92</v>
      </c>
      <c r="F245" s="338" t="s">
        <v>61</v>
      </c>
      <c r="G245" s="308" t="s">
        <v>65</v>
      </c>
      <c r="H245" s="308" t="s">
        <v>102</v>
      </c>
      <c r="I245" s="309" t="s">
        <v>112</v>
      </c>
      <c r="J245" s="310"/>
      <c r="K245" s="826">
        <f>K246+K247+K248</f>
        <v>5183.0000000000009</v>
      </c>
      <c r="L245" s="411">
        <f>L246+L247+L248</f>
        <v>0</v>
      </c>
      <c r="M245" s="411">
        <f>M246+M247+M248</f>
        <v>5183.0000000000009</v>
      </c>
      <c r="N245" s="411">
        <f>N246+N247+N248</f>
        <v>5186.4000000000005</v>
      </c>
    </row>
    <row r="246" spans="1:14" s="412" customFormat="1" ht="112.5">
      <c r="A246" s="407"/>
      <c r="B246" s="163" t="s">
        <v>69</v>
      </c>
      <c r="C246" s="408" t="s">
        <v>588</v>
      </c>
      <c r="D246" s="409" t="s">
        <v>57</v>
      </c>
      <c r="E246" s="409" t="s">
        <v>92</v>
      </c>
      <c r="F246" s="338" t="s">
        <v>61</v>
      </c>
      <c r="G246" s="308" t="s">
        <v>65</v>
      </c>
      <c r="H246" s="308" t="s">
        <v>102</v>
      </c>
      <c r="I246" s="309" t="s">
        <v>112</v>
      </c>
      <c r="J246" s="310" t="s">
        <v>70</v>
      </c>
      <c r="K246" s="826">
        <v>4729.8</v>
      </c>
      <c r="L246" s="165">
        <f>M246-K246</f>
        <v>0</v>
      </c>
      <c r="M246" s="411">
        <v>4729.8</v>
      </c>
      <c r="N246" s="411">
        <v>4729.8</v>
      </c>
    </row>
    <row r="247" spans="1:14" s="412" customFormat="1" ht="56.25">
      <c r="A247" s="407"/>
      <c r="B247" s="357" t="s">
        <v>75</v>
      </c>
      <c r="C247" s="408" t="s">
        <v>588</v>
      </c>
      <c r="D247" s="409" t="s">
        <v>57</v>
      </c>
      <c r="E247" s="409" t="s">
        <v>92</v>
      </c>
      <c r="F247" s="338" t="s">
        <v>61</v>
      </c>
      <c r="G247" s="308" t="s">
        <v>65</v>
      </c>
      <c r="H247" s="308" t="s">
        <v>102</v>
      </c>
      <c r="I247" s="309" t="s">
        <v>112</v>
      </c>
      <c r="J247" s="310" t="s">
        <v>76</v>
      </c>
      <c r="K247" s="826">
        <v>453.1</v>
      </c>
      <c r="L247" s="165">
        <f>M247-K247</f>
        <v>0</v>
      </c>
      <c r="M247" s="411">
        <v>453.1</v>
      </c>
      <c r="N247" s="411">
        <v>456.5</v>
      </c>
    </row>
    <row r="248" spans="1:14" s="412" customFormat="1" ht="18.75">
      <c r="A248" s="407"/>
      <c r="B248" s="357" t="s">
        <v>77</v>
      </c>
      <c r="C248" s="408" t="s">
        <v>588</v>
      </c>
      <c r="D248" s="409" t="s">
        <v>57</v>
      </c>
      <c r="E248" s="409" t="s">
        <v>92</v>
      </c>
      <c r="F248" s="338" t="s">
        <v>61</v>
      </c>
      <c r="G248" s="308" t="s">
        <v>65</v>
      </c>
      <c r="H248" s="308" t="s">
        <v>102</v>
      </c>
      <c r="I248" s="309" t="s">
        <v>112</v>
      </c>
      <c r="J248" s="310" t="s">
        <v>78</v>
      </c>
      <c r="K248" s="826">
        <v>0.1</v>
      </c>
      <c r="L248" s="165">
        <f>M248-K248</f>
        <v>0</v>
      </c>
      <c r="M248" s="411">
        <v>0.1</v>
      </c>
      <c r="N248" s="411">
        <v>0.1</v>
      </c>
    </row>
    <row r="249" spans="1:14" s="412" customFormat="1" ht="18.75">
      <c r="A249" s="407"/>
      <c r="B249" s="362" t="s">
        <v>199</v>
      </c>
      <c r="C249" s="408" t="s">
        <v>588</v>
      </c>
      <c r="D249" s="409" t="s">
        <v>86</v>
      </c>
      <c r="E249" s="409"/>
      <c r="F249" s="307"/>
      <c r="G249" s="308"/>
      <c r="H249" s="308"/>
      <c r="I249" s="363"/>
      <c r="J249" s="310"/>
      <c r="K249" s="826">
        <f t="shared" ref="K249:N254" si="41">K250</f>
        <v>12354.9</v>
      </c>
      <c r="L249" s="411">
        <f t="shared" si="41"/>
        <v>0</v>
      </c>
      <c r="M249" s="411">
        <f t="shared" si="41"/>
        <v>12354.9</v>
      </c>
      <c r="N249" s="411">
        <f t="shared" si="41"/>
        <v>0</v>
      </c>
    </row>
    <row r="250" spans="1:14" s="412" customFormat="1" ht="18.75">
      <c r="A250" s="407"/>
      <c r="B250" s="362" t="s">
        <v>398</v>
      </c>
      <c r="C250" s="408" t="s">
        <v>588</v>
      </c>
      <c r="D250" s="409" t="s">
        <v>86</v>
      </c>
      <c r="E250" s="409" t="s">
        <v>59</v>
      </c>
      <c r="F250" s="307"/>
      <c r="G250" s="308"/>
      <c r="H250" s="308"/>
      <c r="I250" s="363"/>
      <c r="J250" s="310"/>
      <c r="K250" s="826">
        <f t="shared" si="41"/>
        <v>12354.9</v>
      </c>
      <c r="L250" s="411">
        <f t="shared" si="41"/>
        <v>0</v>
      </c>
      <c r="M250" s="411">
        <f t="shared" si="41"/>
        <v>12354.9</v>
      </c>
      <c r="N250" s="411">
        <f t="shared" si="41"/>
        <v>0</v>
      </c>
    </row>
    <row r="251" spans="1:14" s="412" customFormat="1" ht="77.25" customHeight="1">
      <c r="A251" s="407"/>
      <c r="B251" s="419" t="s">
        <v>397</v>
      </c>
      <c r="C251" s="408" t="s">
        <v>588</v>
      </c>
      <c r="D251" s="409" t="s">
        <v>86</v>
      </c>
      <c r="E251" s="409" t="s">
        <v>59</v>
      </c>
      <c r="F251" s="307" t="s">
        <v>125</v>
      </c>
      <c r="G251" s="308" t="s">
        <v>62</v>
      </c>
      <c r="H251" s="308" t="s">
        <v>63</v>
      </c>
      <c r="I251" s="363" t="s">
        <v>64</v>
      </c>
      <c r="J251" s="310"/>
      <c r="K251" s="826">
        <f t="shared" si="41"/>
        <v>12354.9</v>
      </c>
      <c r="L251" s="411">
        <f t="shared" si="41"/>
        <v>0</v>
      </c>
      <c r="M251" s="411">
        <f t="shared" si="41"/>
        <v>12354.9</v>
      </c>
      <c r="N251" s="411">
        <f t="shared" si="41"/>
        <v>0</v>
      </c>
    </row>
    <row r="252" spans="1:14" s="412" customFormat="1" ht="56.25">
      <c r="A252" s="407"/>
      <c r="B252" s="357" t="s">
        <v>399</v>
      </c>
      <c r="C252" s="408" t="s">
        <v>588</v>
      </c>
      <c r="D252" s="409" t="s">
        <v>86</v>
      </c>
      <c r="E252" s="409" t="s">
        <v>59</v>
      </c>
      <c r="F252" s="307" t="s">
        <v>125</v>
      </c>
      <c r="G252" s="308" t="s">
        <v>65</v>
      </c>
      <c r="H252" s="308" t="s">
        <v>63</v>
      </c>
      <c r="I252" s="363" t="s">
        <v>64</v>
      </c>
      <c r="J252" s="310"/>
      <c r="K252" s="826">
        <f t="shared" si="41"/>
        <v>12354.9</v>
      </c>
      <c r="L252" s="411">
        <f t="shared" si="41"/>
        <v>0</v>
      </c>
      <c r="M252" s="411">
        <f t="shared" si="41"/>
        <v>12354.9</v>
      </c>
      <c r="N252" s="411">
        <f t="shared" si="41"/>
        <v>0</v>
      </c>
    </row>
    <row r="253" spans="1:14" s="412" customFormat="1" ht="56.25">
      <c r="A253" s="407"/>
      <c r="B253" s="357" t="s">
        <v>460</v>
      </c>
      <c r="C253" s="408" t="s">
        <v>588</v>
      </c>
      <c r="D253" s="409" t="s">
        <v>86</v>
      </c>
      <c r="E253" s="409" t="s">
        <v>59</v>
      </c>
      <c r="F253" s="307" t="s">
        <v>125</v>
      </c>
      <c r="G253" s="308" t="s">
        <v>65</v>
      </c>
      <c r="H253" s="308" t="s">
        <v>57</v>
      </c>
      <c r="I253" s="363" t="s">
        <v>64</v>
      </c>
      <c r="J253" s="310"/>
      <c r="K253" s="826">
        <f t="shared" si="41"/>
        <v>12354.9</v>
      </c>
      <c r="L253" s="411">
        <f t="shared" si="41"/>
        <v>0</v>
      </c>
      <c r="M253" s="411">
        <f t="shared" si="41"/>
        <v>12354.9</v>
      </c>
      <c r="N253" s="411">
        <f t="shared" si="41"/>
        <v>0</v>
      </c>
    </row>
    <row r="254" spans="1:14" s="412" customFormat="1" ht="75">
      <c r="A254" s="407"/>
      <c r="B254" s="357" t="s">
        <v>1011</v>
      </c>
      <c r="C254" s="408" t="s">
        <v>588</v>
      </c>
      <c r="D254" s="409" t="s">
        <v>86</v>
      </c>
      <c r="E254" s="409" t="s">
        <v>59</v>
      </c>
      <c r="F254" s="307" t="s">
        <v>125</v>
      </c>
      <c r="G254" s="308" t="s">
        <v>65</v>
      </c>
      <c r="H254" s="308" t="s">
        <v>57</v>
      </c>
      <c r="I254" s="363" t="s">
        <v>589</v>
      </c>
      <c r="J254" s="310"/>
      <c r="K254" s="826">
        <f t="shared" si="41"/>
        <v>12354.9</v>
      </c>
      <c r="L254" s="411">
        <f t="shared" si="41"/>
        <v>0</v>
      </c>
      <c r="M254" s="411">
        <f>M255</f>
        <v>12354.9</v>
      </c>
      <c r="N254" s="411">
        <f t="shared" si="41"/>
        <v>0</v>
      </c>
    </row>
    <row r="255" spans="1:14" s="412" customFormat="1" ht="56.25">
      <c r="A255" s="407"/>
      <c r="B255" s="357" t="s">
        <v>225</v>
      </c>
      <c r="C255" s="408" t="s">
        <v>588</v>
      </c>
      <c r="D255" s="409" t="s">
        <v>86</v>
      </c>
      <c r="E255" s="409" t="s">
        <v>59</v>
      </c>
      <c r="F255" s="307" t="s">
        <v>125</v>
      </c>
      <c r="G255" s="308" t="s">
        <v>65</v>
      </c>
      <c r="H255" s="308" t="s">
        <v>57</v>
      </c>
      <c r="I255" s="363" t="s">
        <v>589</v>
      </c>
      <c r="J255" s="310" t="s">
        <v>226</v>
      </c>
      <c r="K255" s="826">
        <v>12354.9</v>
      </c>
      <c r="L255" s="165">
        <f>M255-K255</f>
        <v>0</v>
      </c>
      <c r="M255" s="411">
        <v>12354.9</v>
      </c>
      <c r="N255" s="411">
        <v>0</v>
      </c>
    </row>
    <row r="256" spans="1:14" s="412" customFormat="1" ht="18.75">
      <c r="A256" s="407"/>
      <c r="B256" s="306" t="s">
        <v>201</v>
      </c>
      <c r="C256" s="408" t="s">
        <v>588</v>
      </c>
      <c r="D256" s="409" t="s">
        <v>246</v>
      </c>
      <c r="E256" s="409"/>
      <c r="F256" s="307"/>
      <c r="G256" s="308"/>
      <c r="H256" s="308"/>
      <c r="I256" s="363"/>
      <c r="J256" s="310"/>
      <c r="K256" s="872"/>
      <c r="L256" s="165">
        <f>L257+L263</f>
        <v>98354.4</v>
      </c>
      <c r="M256" s="165">
        <f t="shared" ref="M256:N256" si="42">M257+M263</f>
        <v>98354.4</v>
      </c>
      <c r="N256" s="165">
        <f t="shared" si="42"/>
        <v>0</v>
      </c>
    </row>
    <row r="257" spans="1:14" s="412" customFormat="1" ht="18.75">
      <c r="A257" s="407"/>
      <c r="B257" s="863" t="s">
        <v>203</v>
      </c>
      <c r="C257" s="864" t="s">
        <v>588</v>
      </c>
      <c r="D257" s="865" t="s">
        <v>246</v>
      </c>
      <c r="E257" s="865" t="s">
        <v>57</v>
      </c>
      <c r="F257" s="866"/>
      <c r="G257" s="867"/>
      <c r="H257" s="867"/>
      <c r="I257" s="874"/>
      <c r="J257" s="869"/>
      <c r="K257" s="875"/>
      <c r="L257" s="780">
        <f t="shared" ref="L257:N261" si="43">L258</f>
        <v>98157.2</v>
      </c>
      <c r="M257" s="871">
        <f t="shared" si="43"/>
        <v>98157.2</v>
      </c>
      <c r="N257" s="876">
        <f t="shared" si="43"/>
        <v>0</v>
      </c>
    </row>
    <row r="258" spans="1:14" s="412" customFormat="1" ht="56.25">
      <c r="A258" s="407"/>
      <c r="B258" s="863" t="s">
        <v>724</v>
      </c>
      <c r="C258" s="864" t="s">
        <v>588</v>
      </c>
      <c r="D258" s="865" t="s">
        <v>246</v>
      </c>
      <c r="E258" s="865" t="s">
        <v>57</v>
      </c>
      <c r="F258" s="866" t="s">
        <v>59</v>
      </c>
      <c r="G258" s="867" t="s">
        <v>62</v>
      </c>
      <c r="H258" s="867" t="s">
        <v>63</v>
      </c>
      <c r="I258" s="874" t="s">
        <v>64</v>
      </c>
      <c r="J258" s="869"/>
      <c r="K258" s="875"/>
      <c r="L258" s="780">
        <f t="shared" si="43"/>
        <v>98157.2</v>
      </c>
      <c r="M258" s="871">
        <f t="shared" si="43"/>
        <v>98157.2</v>
      </c>
      <c r="N258" s="876">
        <f t="shared" si="43"/>
        <v>0</v>
      </c>
    </row>
    <row r="259" spans="1:14" s="412" customFormat="1" ht="37.5">
      <c r="A259" s="407"/>
      <c r="B259" s="863" t="s">
        <v>228</v>
      </c>
      <c r="C259" s="864" t="s">
        <v>588</v>
      </c>
      <c r="D259" s="865" t="s">
        <v>246</v>
      </c>
      <c r="E259" s="865" t="s">
        <v>57</v>
      </c>
      <c r="F259" s="866" t="s">
        <v>59</v>
      </c>
      <c r="G259" s="867" t="s">
        <v>65</v>
      </c>
      <c r="H259" s="867" t="s">
        <v>63</v>
      </c>
      <c r="I259" s="874" t="s">
        <v>64</v>
      </c>
      <c r="J259" s="869"/>
      <c r="K259" s="875"/>
      <c r="L259" s="780">
        <f t="shared" si="43"/>
        <v>98157.2</v>
      </c>
      <c r="M259" s="871">
        <f t="shared" si="43"/>
        <v>98157.2</v>
      </c>
      <c r="N259" s="876">
        <f t="shared" si="43"/>
        <v>0</v>
      </c>
    </row>
    <row r="260" spans="1:14" s="412" customFormat="1" ht="37.5">
      <c r="A260" s="407"/>
      <c r="B260" s="863" t="s">
        <v>307</v>
      </c>
      <c r="C260" s="864" t="s">
        <v>588</v>
      </c>
      <c r="D260" s="865" t="s">
        <v>246</v>
      </c>
      <c r="E260" s="865" t="s">
        <v>57</v>
      </c>
      <c r="F260" s="866" t="s">
        <v>59</v>
      </c>
      <c r="G260" s="867" t="s">
        <v>65</v>
      </c>
      <c r="H260" s="867" t="s">
        <v>57</v>
      </c>
      <c r="I260" s="868" t="s">
        <v>64</v>
      </c>
      <c r="J260" s="869"/>
      <c r="K260" s="875"/>
      <c r="L260" s="780">
        <f t="shared" si="43"/>
        <v>98157.2</v>
      </c>
      <c r="M260" s="871">
        <f t="shared" si="43"/>
        <v>98157.2</v>
      </c>
      <c r="N260" s="876">
        <f t="shared" si="43"/>
        <v>0</v>
      </c>
    </row>
    <row r="261" spans="1:14" s="921" customFormat="1" ht="37.5">
      <c r="A261" s="911"/>
      <c r="B261" s="908" t="s">
        <v>1027</v>
      </c>
      <c r="C261" s="912" t="s">
        <v>588</v>
      </c>
      <c r="D261" s="913" t="s">
        <v>246</v>
      </c>
      <c r="E261" s="913" t="s">
        <v>57</v>
      </c>
      <c r="F261" s="914" t="s">
        <v>59</v>
      </c>
      <c r="G261" s="915" t="s">
        <v>65</v>
      </c>
      <c r="H261" s="915" t="s">
        <v>57</v>
      </c>
      <c r="I261" s="916" t="s">
        <v>1026</v>
      </c>
      <c r="J261" s="917"/>
      <c r="K261" s="922"/>
      <c r="L261" s="901">
        <f t="shared" si="43"/>
        <v>98157.2</v>
      </c>
      <c r="M261" s="919">
        <f t="shared" si="43"/>
        <v>98157.2</v>
      </c>
      <c r="N261" s="923">
        <f t="shared" si="43"/>
        <v>0</v>
      </c>
    </row>
    <row r="262" spans="1:14" s="412" customFormat="1" ht="56.25">
      <c r="A262" s="407"/>
      <c r="B262" s="863" t="s">
        <v>225</v>
      </c>
      <c r="C262" s="864" t="s">
        <v>588</v>
      </c>
      <c r="D262" s="865" t="s">
        <v>246</v>
      </c>
      <c r="E262" s="865" t="s">
        <v>57</v>
      </c>
      <c r="F262" s="866" t="s">
        <v>59</v>
      </c>
      <c r="G262" s="867" t="s">
        <v>65</v>
      </c>
      <c r="H262" s="867" t="s">
        <v>57</v>
      </c>
      <c r="I262" s="868" t="s">
        <v>1026</v>
      </c>
      <c r="J262" s="869" t="s">
        <v>226</v>
      </c>
      <c r="K262" s="875"/>
      <c r="L262" s="780">
        <f>M262-K262</f>
        <v>98157.2</v>
      </c>
      <c r="M262" s="871">
        <f>95112+3045.2</f>
        <v>98157.2</v>
      </c>
      <c r="N262" s="876">
        <v>0</v>
      </c>
    </row>
    <row r="263" spans="1:14" s="412" customFormat="1" ht="18.75">
      <c r="A263" s="407"/>
      <c r="B263" s="306" t="s">
        <v>205</v>
      </c>
      <c r="C263" s="408" t="s">
        <v>588</v>
      </c>
      <c r="D263" s="409" t="s">
        <v>246</v>
      </c>
      <c r="E263" s="409" t="s">
        <v>59</v>
      </c>
      <c r="F263" s="307"/>
      <c r="G263" s="308"/>
      <c r="H263" s="308"/>
      <c r="I263" s="363"/>
      <c r="J263" s="310"/>
      <c r="K263" s="875"/>
      <c r="L263" s="780">
        <f t="shared" ref="L263:M267" si="44">L264</f>
        <v>197.2</v>
      </c>
      <c r="M263" s="871">
        <f t="shared" si="44"/>
        <v>197.2</v>
      </c>
      <c r="N263" s="876">
        <v>0</v>
      </c>
    </row>
    <row r="264" spans="1:14" s="412" customFormat="1" ht="56.25">
      <c r="A264" s="407"/>
      <c r="B264" s="306" t="s">
        <v>227</v>
      </c>
      <c r="C264" s="408" t="s">
        <v>588</v>
      </c>
      <c r="D264" s="409" t="s">
        <v>246</v>
      </c>
      <c r="E264" s="409" t="s">
        <v>59</v>
      </c>
      <c r="F264" s="307" t="s">
        <v>59</v>
      </c>
      <c r="G264" s="308" t="s">
        <v>62</v>
      </c>
      <c r="H264" s="308" t="s">
        <v>63</v>
      </c>
      <c r="I264" s="309" t="s">
        <v>64</v>
      </c>
      <c r="J264" s="310"/>
      <c r="K264" s="875"/>
      <c r="L264" s="780">
        <f t="shared" si="44"/>
        <v>197.2</v>
      </c>
      <c r="M264" s="871">
        <f t="shared" si="44"/>
        <v>197.2</v>
      </c>
      <c r="N264" s="876">
        <v>0</v>
      </c>
    </row>
    <row r="265" spans="1:14" s="412" customFormat="1" ht="37.5">
      <c r="A265" s="407"/>
      <c r="B265" s="306" t="s">
        <v>228</v>
      </c>
      <c r="C265" s="408" t="s">
        <v>588</v>
      </c>
      <c r="D265" s="409" t="s">
        <v>246</v>
      </c>
      <c r="E265" s="409" t="s">
        <v>59</v>
      </c>
      <c r="F265" s="307" t="s">
        <v>59</v>
      </c>
      <c r="G265" s="308" t="s">
        <v>65</v>
      </c>
      <c r="H265" s="308" t="s">
        <v>63</v>
      </c>
      <c r="I265" s="309" t="s">
        <v>64</v>
      </c>
      <c r="J265" s="310"/>
      <c r="K265" s="875"/>
      <c r="L265" s="780">
        <f t="shared" si="44"/>
        <v>197.2</v>
      </c>
      <c r="M265" s="871">
        <f t="shared" si="44"/>
        <v>197.2</v>
      </c>
      <c r="N265" s="876">
        <v>0</v>
      </c>
    </row>
    <row r="266" spans="1:14" s="412" customFormat="1" ht="18.75">
      <c r="A266" s="407"/>
      <c r="B266" s="306" t="s">
        <v>312</v>
      </c>
      <c r="C266" s="408" t="s">
        <v>588</v>
      </c>
      <c r="D266" s="409" t="s">
        <v>246</v>
      </c>
      <c r="E266" s="409" t="s">
        <v>59</v>
      </c>
      <c r="F266" s="307" t="s">
        <v>59</v>
      </c>
      <c r="G266" s="308" t="s">
        <v>65</v>
      </c>
      <c r="H266" s="308" t="s">
        <v>59</v>
      </c>
      <c r="I266" s="309" t="s">
        <v>64</v>
      </c>
      <c r="J266" s="310"/>
      <c r="K266" s="875"/>
      <c r="L266" s="780">
        <f t="shared" si="44"/>
        <v>197.2</v>
      </c>
      <c r="M266" s="871">
        <f t="shared" si="44"/>
        <v>197.2</v>
      </c>
      <c r="N266" s="876">
        <v>0</v>
      </c>
    </row>
    <row r="267" spans="1:14" s="412" customFormat="1" ht="37.5">
      <c r="A267" s="407"/>
      <c r="B267" s="306" t="s">
        <v>230</v>
      </c>
      <c r="C267" s="408" t="s">
        <v>588</v>
      </c>
      <c r="D267" s="409" t="s">
        <v>246</v>
      </c>
      <c r="E267" s="409" t="s">
        <v>59</v>
      </c>
      <c r="F267" s="307" t="s">
        <v>59</v>
      </c>
      <c r="G267" s="308" t="s">
        <v>65</v>
      </c>
      <c r="H267" s="308" t="s">
        <v>59</v>
      </c>
      <c r="I267" s="309" t="s">
        <v>314</v>
      </c>
      <c r="J267" s="310"/>
      <c r="K267" s="875"/>
      <c r="L267" s="780">
        <f t="shared" si="44"/>
        <v>197.2</v>
      </c>
      <c r="M267" s="871">
        <f t="shared" si="44"/>
        <v>197.2</v>
      </c>
      <c r="N267" s="876">
        <v>0</v>
      </c>
    </row>
    <row r="268" spans="1:14" s="412" customFormat="1" ht="56.25">
      <c r="A268" s="407"/>
      <c r="B268" s="306" t="s">
        <v>225</v>
      </c>
      <c r="C268" s="408" t="s">
        <v>588</v>
      </c>
      <c r="D268" s="409" t="s">
        <v>246</v>
      </c>
      <c r="E268" s="409" t="s">
        <v>59</v>
      </c>
      <c r="F268" s="307" t="s">
        <v>59</v>
      </c>
      <c r="G268" s="308" t="s">
        <v>65</v>
      </c>
      <c r="H268" s="308" t="s">
        <v>59</v>
      </c>
      <c r="I268" s="309" t="s">
        <v>314</v>
      </c>
      <c r="J268" s="310" t="s">
        <v>226</v>
      </c>
      <c r="K268" s="875"/>
      <c r="L268" s="780">
        <f>M268-K268</f>
        <v>197.2</v>
      </c>
      <c r="M268" s="871">
        <v>197.2</v>
      </c>
      <c r="N268" s="876">
        <v>0</v>
      </c>
    </row>
    <row r="269" spans="1:14" s="423" customFormat="1" ht="18.75">
      <c r="A269" s="420"/>
      <c r="B269" s="421" t="s">
        <v>140</v>
      </c>
      <c r="C269" s="422" t="s">
        <v>588</v>
      </c>
      <c r="D269" s="361" t="s">
        <v>125</v>
      </c>
      <c r="E269" s="361"/>
      <c r="F269" s="358"/>
      <c r="G269" s="359"/>
      <c r="H269" s="359"/>
      <c r="I269" s="360"/>
      <c r="J269" s="361"/>
      <c r="K269" s="826">
        <f>K270+K399</f>
        <v>40202.699999999997</v>
      </c>
      <c r="L269" s="738">
        <f>L270+L399</f>
        <v>0</v>
      </c>
      <c r="M269" s="411">
        <f>M270+M399</f>
        <v>40202.699999999997</v>
      </c>
      <c r="N269" s="411">
        <f>N270+N399</f>
        <v>40202.700000000004</v>
      </c>
    </row>
    <row r="270" spans="1:14" s="423" customFormat="1" ht="18.75">
      <c r="A270" s="420"/>
      <c r="B270" s="357" t="s">
        <v>215</v>
      </c>
      <c r="C270" s="422" t="s">
        <v>588</v>
      </c>
      <c r="D270" s="361" t="s">
        <v>125</v>
      </c>
      <c r="E270" s="361" t="s">
        <v>72</v>
      </c>
      <c r="F270" s="358"/>
      <c r="G270" s="359"/>
      <c r="H270" s="359"/>
      <c r="I270" s="360"/>
      <c r="J270" s="361"/>
      <c r="K270" s="826">
        <f t="shared" ref="K270:N272" si="45">K271</f>
        <v>40202.699999999997</v>
      </c>
      <c r="L270" s="411">
        <f t="shared" si="45"/>
        <v>0</v>
      </c>
      <c r="M270" s="411">
        <f t="shared" si="45"/>
        <v>40202.699999999997</v>
      </c>
      <c r="N270" s="411">
        <f t="shared" si="45"/>
        <v>40202.700000000004</v>
      </c>
    </row>
    <row r="271" spans="1:14" s="423" customFormat="1" ht="56.25">
      <c r="A271" s="420"/>
      <c r="B271" s="424" t="s">
        <v>252</v>
      </c>
      <c r="C271" s="422" t="s">
        <v>588</v>
      </c>
      <c r="D271" s="361" t="s">
        <v>125</v>
      </c>
      <c r="E271" s="361" t="s">
        <v>72</v>
      </c>
      <c r="F271" s="358" t="s">
        <v>100</v>
      </c>
      <c r="G271" s="359" t="s">
        <v>62</v>
      </c>
      <c r="H271" s="359" t="s">
        <v>63</v>
      </c>
      <c r="I271" s="360" t="s">
        <v>64</v>
      </c>
      <c r="J271" s="361"/>
      <c r="K271" s="826">
        <f t="shared" si="45"/>
        <v>40202.699999999997</v>
      </c>
      <c r="L271" s="411">
        <f t="shared" si="45"/>
        <v>0</v>
      </c>
      <c r="M271" s="411">
        <f t="shared" si="45"/>
        <v>40202.699999999997</v>
      </c>
      <c r="N271" s="411">
        <f t="shared" si="45"/>
        <v>40202.700000000004</v>
      </c>
    </row>
    <row r="272" spans="1:14" s="423" customFormat="1" ht="37.5">
      <c r="A272" s="420"/>
      <c r="B272" s="357" t="s">
        <v>404</v>
      </c>
      <c r="C272" s="422" t="s">
        <v>588</v>
      </c>
      <c r="D272" s="361" t="s">
        <v>125</v>
      </c>
      <c r="E272" s="361" t="s">
        <v>72</v>
      </c>
      <c r="F272" s="358" t="s">
        <v>100</v>
      </c>
      <c r="G272" s="359" t="s">
        <v>65</v>
      </c>
      <c r="H272" s="359" t="s">
        <v>63</v>
      </c>
      <c r="I272" s="360" t="s">
        <v>64</v>
      </c>
      <c r="J272" s="361"/>
      <c r="K272" s="826">
        <f t="shared" si="45"/>
        <v>40202.699999999997</v>
      </c>
      <c r="L272" s="411">
        <f t="shared" si="45"/>
        <v>0</v>
      </c>
      <c r="M272" s="411">
        <f t="shared" si="45"/>
        <v>40202.699999999997</v>
      </c>
      <c r="N272" s="411">
        <f t="shared" si="45"/>
        <v>40202.700000000004</v>
      </c>
    </row>
    <row r="273" spans="1:15" s="425" customFormat="1" ht="93.75">
      <c r="A273" s="420"/>
      <c r="B273" s="357" t="s">
        <v>352</v>
      </c>
      <c r="C273" s="422" t="s">
        <v>588</v>
      </c>
      <c r="D273" s="361" t="s">
        <v>125</v>
      </c>
      <c r="E273" s="361" t="s">
        <v>72</v>
      </c>
      <c r="F273" s="358" t="s">
        <v>100</v>
      </c>
      <c r="G273" s="359" t="s">
        <v>65</v>
      </c>
      <c r="H273" s="359" t="s">
        <v>59</v>
      </c>
      <c r="I273" s="360" t="s">
        <v>64</v>
      </c>
      <c r="J273" s="361"/>
      <c r="K273" s="826">
        <f>K274+K276</f>
        <v>40202.699999999997</v>
      </c>
      <c r="L273" s="411">
        <f>L274+L276</f>
        <v>0</v>
      </c>
      <c r="M273" s="411">
        <f>M274+M276</f>
        <v>40202.699999999997</v>
      </c>
      <c r="N273" s="411">
        <f>N274+N276</f>
        <v>40202.700000000004</v>
      </c>
    </row>
    <row r="274" spans="1:15" s="412" customFormat="1" ht="110.25" customHeight="1">
      <c r="A274" s="407"/>
      <c r="B274" s="362" t="s">
        <v>590</v>
      </c>
      <c r="C274" s="408" t="s">
        <v>588</v>
      </c>
      <c r="D274" s="409" t="s">
        <v>125</v>
      </c>
      <c r="E274" s="409" t="s">
        <v>72</v>
      </c>
      <c r="F274" s="307" t="s">
        <v>100</v>
      </c>
      <c r="G274" s="308" t="s">
        <v>65</v>
      </c>
      <c r="H274" s="308" t="s">
        <v>59</v>
      </c>
      <c r="I274" s="363" t="s">
        <v>591</v>
      </c>
      <c r="J274" s="310"/>
      <c r="K274" s="826">
        <f>K275</f>
        <v>30934.1</v>
      </c>
      <c r="L274" s="411">
        <f>L275</f>
        <v>0</v>
      </c>
      <c r="M274" s="411">
        <f>M275</f>
        <v>30934.1</v>
      </c>
      <c r="N274" s="411">
        <f>N275</f>
        <v>30934.100000000002</v>
      </c>
    </row>
    <row r="275" spans="1:15" s="412" customFormat="1" ht="56.25">
      <c r="A275" s="407"/>
      <c r="B275" s="362" t="s">
        <v>225</v>
      </c>
      <c r="C275" s="408" t="s">
        <v>588</v>
      </c>
      <c r="D275" s="409" t="s">
        <v>125</v>
      </c>
      <c r="E275" s="409" t="s">
        <v>72</v>
      </c>
      <c r="F275" s="307" t="s">
        <v>100</v>
      </c>
      <c r="G275" s="308" t="s">
        <v>65</v>
      </c>
      <c r="H275" s="308" t="s">
        <v>59</v>
      </c>
      <c r="I275" s="363" t="s">
        <v>591</v>
      </c>
      <c r="J275" s="310" t="s">
        <v>226</v>
      </c>
      <c r="K275" s="826">
        <v>30934.1</v>
      </c>
      <c r="L275" s="165">
        <f>M275-K275</f>
        <v>0</v>
      </c>
      <c r="M275" s="411">
        <v>30934.1</v>
      </c>
      <c r="N275" s="411">
        <f>32480.4-1546.3</f>
        <v>30934.100000000002</v>
      </c>
    </row>
    <row r="276" spans="1:15" s="412" customFormat="1" ht="117.75" customHeight="1">
      <c r="A276" s="407"/>
      <c r="B276" s="362" t="s">
        <v>590</v>
      </c>
      <c r="C276" s="408" t="s">
        <v>588</v>
      </c>
      <c r="D276" s="409" t="s">
        <v>125</v>
      </c>
      <c r="E276" s="409" t="s">
        <v>72</v>
      </c>
      <c r="F276" s="307" t="s">
        <v>100</v>
      </c>
      <c r="G276" s="308" t="s">
        <v>65</v>
      </c>
      <c r="H276" s="308" t="s">
        <v>59</v>
      </c>
      <c r="I276" s="363" t="s">
        <v>592</v>
      </c>
      <c r="J276" s="310"/>
      <c r="K276" s="826">
        <f>K277</f>
        <v>9268.6</v>
      </c>
      <c r="L276" s="411">
        <f>L277</f>
        <v>0</v>
      </c>
      <c r="M276" s="411">
        <f>M277</f>
        <v>9268.6</v>
      </c>
      <c r="N276" s="411">
        <f>N277</f>
        <v>9268.6</v>
      </c>
    </row>
    <row r="277" spans="1:15" s="412" customFormat="1" ht="56.25">
      <c r="A277" s="407"/>
      <c r="B277" s="362" t="s">
        <v>225</v>
      </c>
      <c r="C277" s="408" t="s">
        <v>588</v>
      </c>
      <c r="D277" s="409" t="s">
        <v>125</v>
      </c>
      <c r="E277" s="409" t="s">
        <v>72</v>
      </c>
      <c r="F277" s="307" t="s">
        <v>100</v>
      </c>
      <c r="G277" s="308" t="s">
        <v>65</v>
      </c>
      <c r="H277" s="308" t="s">
        <v>59</v>
      </c>
      <c r="I277" s="363" t="s">
        <v>592</v>
      </c>
      <c r="J277" s="310" t="s">
        <v>226</v>
      </c>
      <c r="K277" s="826">
        <v>9268.6</v>
      </c>
      <c r="L277" s="165">
        <f>M277-K277</f>
        <v>0</v>
      </c>
      <c r="M277" s="411">
        <v>9268.6</v>
      </c>
      <c r="N277" s="411">
        <v>9268.6</v>
      </c>
    </row>
    <row r="278" spans="1:15" s="397" customFormat="1" ht="18.75">
      <c r="A278" s="150"/>
      <c r="B278" s="163"/>
      <c r="C278" s="164"/>
      <c r="D278" s="149"/>
      <c r="E278" s="149"/>
      <c r="F278" s="750"/>
      <c r="G278" s="751"/>
      <c r="H278" s="751"/>
      <c r="I278" s="752"/>
      <c r="J278" s="149"/>
      <c r="K278" s="824"/>
      <c r="L278" s="165"/>
      <c r="M278" s="165"/>
      <c r="N278" s="165"/>
    </row>
    <row r="279" spans="1:15" s="395" customFormat="1" ht="56.25">
      <c r="A279" s="390">
        <v>5</v>
      </c>
      <c r="B279" s="157" t="s">
        <v>23</v>
      </c>
      <c r="C279" s="158" t="s">
        <v>609</v>
      </c>
      <c r="D279" s="159"/>
      <c r="E279" s="159"/>
      <c r="F279" s="160"/>
      <c r="G279" s="161"/>
      <c r="H279" s="161"/>
      <c r="I279" s="162"/>
      <c r="J279" s="159"/>
      <c r="K279" s="823">
        <f>K293+K391+K280</f>
        <v>1022117.1</v>
      </c>
      <c r="L279" s="188">
        <f>L293+L391+L280</f>
        <v>0</v>
      </c>
      <c r="M279" s="188">
        <f>M293+M391+M280</f>
        <v>1022117.1</v>
      </c>
      <c r="N279" s="188">
        <f>N293+N391+N280</f>
        <v>1008274.0999999999</v>
      </c>
      <c r="O279" s="426"/>
    </row>
    <row r="280" spans="1:15" s="395" customFormat="1" ht="18.75">
      <c r="A280" s="390"/>
      <c r="B280" s="651" t="s">
        <v>56</v>
      </c>
      <c r="C280" s="664" t="s">
        <v>609</v>
      </c>
      <c r="D280" s="655" t="s">
        <v>57</v>
      </c>
      <c r="E280" s="300"/>
      <c r="F280" s="665"/>
      <c r="G280" s="314"/>
      <c r="H280" s="314"/>
      <c r="I280" s="315"/>
      <c r="J280" s="300"/>
      <c r="K280" s="824">
        <f t="shared" ref="K280:M281" si="46">K281</f>
        <v>228.8</v>
      </c>
      <c r="L280" s="579">
        <f t="shared" si="46"/>
        <v>0</v>
      </c>
      <c r="M280" s="579">
        <f t="shared" si="46"/>
        <v>228.8</v>
      </c>
      <c r="N280" s="579">
        <f t="shared" ref="N280:N281" si="47">N281</f>
        <v>228.8</v>
      </c>
      <c r="O280" s="426"/>
    </row>
    <row r="281" spans="1:15" s="395" customFormat="1" ht="18.75">
      <c r="A281" s="390"/>
      <c r="B281" s="651" t="s">
        <v>91</v>
      </c>
      <c r="C281" s="666" t="s">
        <v>609</v>
      </c>
      <c r="D281" s="655" t="s">
        <v>57</v>
      </c>
      <c r="E281" s="655" t="s">
        <v>92</v>
      </c>
      <c r="F281" s="665"/>
      <c r="G281" s="314"/>
      <c r="H281" s="314"/>
      <c r="I281" s="315"/>
      <c r="J281" s="300"/>
      <c r="K281" s="824">
        <f t="shared" si="46"/>
        <v>228.8</v>
      </c>
      <c r="L281" s="579">
        <f t="shared" si="46"/>
        <v>0</v>
      </c>
      <c r="M281" s="579">
        <f t="shared" si="46"/>
        <v>228.8</v>
      </c>
      <c r="N281" s="579">
        <f t="shared" si="47"/>
        <v>228.8</v>
      </c>
      <c r="O281" s="426"/>
    </row>
    <row r="282" spans="1:15" s="395" customFormat="1" ht="56.25">
      <c r="A282" s="390"/>
      <c r="B282" s="651" t="s">
        <v>227</v>
      </c>
      <c r="C282" s="664" t="s">
        <v>609</v>
      </c>
      <c r="D282" s="655" t="s">
        <v>57</v>
      </c>
      <c r="E282" s="655" t="s">
        <v>92</v>
      </c>
      <c r="F282" s="652" t="s">
        <v>59</v>
      </c>
      <c r="G282" s="653" t="s">
        <v>62</v>
      </c>
      <c r="H282" s="653" t="s">
        <v>63</v>
      </c>
      <c r="I282" s="654" t="s">
        <v>64</v>
      </c>
      <c r="J282" s="655"/>
      <c r="K282" s="824">
        <f>K283</f>
        <v>228.8</v>
      </c>
      <c r="L282" s="579">
        <f>L283</f>
        <v>0</v>
      </c>
      <c r="M282" s="579">
        <f>M283</f>
        <v>228.8</v>
      </c>
      <c r="N282" s="579">
        <f>N283</f>
        <v>228.8</v>
      </c>
      <c r="O282" s="426"/>
    </row>
    <row r="283" spans="1:15" s="395" customFormat="1" ht="56.25">
      <c r="A283" s="390"/>
      <c r="B283" s="618" t="s">
        <v>234</v>
      </c>
      <c r="C283" s="664" t="s">
        <v>609</v>
      </c>
      <c r="D283" s="655" t="s">
        <v>57</v>
      </c>
      <c r="E283" s="655" t="s">
        <v>92</v>
      </c>
      <c r="F283" s="652" t="s">
        <v>59</v>
      </c>
      <c r="G283" s="653" t="s">
        <v>50</v>
      </c>
      <c r="H283" s="653" t="s">
        <v>63</v>
      </c>
      <c r="I283" s="654" t="s">
        <v>64</v>
      </c>
      <c r="J283" s="655"/>
      <c r="K283" s="824">
        <f>K284+K287+K290</f>
        <v>228.8</v>
      </c>
      <c r="L283" s="579">
        <f>L284+L287+L290</f>
        <v>0</v>
      </c>
      <c r="M283" s="579">
        <f>M284+M287+M290</f>
        <v>228.8</v>
      </c>
      <c r="N283" s="579">
        <f>N284+N287+N290</f>
        <v>228.8</v>
      </c>
      <c r="O283" s="426"/>
    </row>
    <row r="284" spans="1:15" s="395" customFormat="1" ht="37.5">
      <c r="A284" s="390"/>
      <c r="B284" s="651" t="s">
        <v>428</v>
      </c>
      <c r="C284" s="664" t="s">
        <v>609</v>
      </c>
      <c r="D284" s="655" t="s">
        <v>57</v>
      </c>
      <c r="E284" s="655" t="s">
        <v>92</v>
      </c>
      <c r="F284" s="652" t="s">
        <v>59</v>
      </c>
      <c r="G284" s="653" t="s">
        <v>50</v>
      </c>
      <c r="H284" s="653" t="s">
        <v>84</v>
      </c>
      <c r="I284" s="654" t="s">
        <v>64</v>
      </c>
      <c r="J284" s="655"/>
      <c r="K284" s="824">
        <f t="shared" ref="K284:N285" si="48">K285</f>
        <v>100.4</v>
      </c>
      <c r="L284" s="579">
        <f t="shared" si="48"/>
        <v>0</v>
      </c>
      <c r="M284" s="579">
        <f t="shared" si="48"/>
        <v>100.4</v>
      </c>
      <c r="N284" s="579">
        <f t="shared" si="48"/>
        <v>100.4</v>
      </c>
      <c r="O284" s="426"/>
    </row>
    <row r="285" spans="1:15" s="395" customFormat="1" ht="57" customHeight="1">
      <c r="A285" s="390"/>
      <c r="B285" s="618" t="s">
        <v>816</v>
      </c>
      <c r="C285" s="666" t="s">
        <v>609</v>
      </c>
      <c r="D285" s="655" t="s">
        <v>57</v>
      </c>
      <c r="E285" s="655" t="s">
        <v>92</v>
      </c>
      <c r="F285" s="652" t="s">
        <v>59</v>
      </c>
      <c r="G285" s="653" t="s">
        <v>50</v>
      </c>
      <c r="H285" s="653" t="s">
        <v>84</v>
      </c>
      <c r="I285" s="654" t="s">
        <v>126</v>
      </c>
      <c r="J285" s="655"/>
      <c r="K285" s="824">
        <f t="shared" si="48"/>
        <v>100.4</v>
      </c>
      <c r="L285" s="579">
        <f t="shared" si="48"/>
        <v>0</v>
      </c>
      <c r="M285" s="579">
        <f t="shared" si="48"/>
        <v>100.4</v>
      </c>
      <c r="N285" s="579">
        <f t="shared" si="48"/>
        <v>100.4</v>
      </c>
      <c r="O285" s="426"/>
    </row>
    <row r="286" spans="1:15" s="395" customFormat="1" ht="56.25">
      <c r="A286" s="390"/>
      <c r="B286" s="618" t="s">
        <v>75</v>
      </c>
      <c r="C286" s="666" t="s">
        <v>609</v>
      </c>
      <c r="D286" s="655" t="s">
        <v>57</v>
      </c>
      <c r="E286" s="655" t="s">
        <v>92</v>
      </c>
      <c r="F286" s="652" t="s">
        <v>59</v>
      </c>
      <c r="G286" s="653" t="s">
        <v>50</v>
      </c>
      <c r="H286" s="653" t="s">
        <v>84</v>
      </c>
      <c r="I286" s="654" t="s">
        <v>126</v>
      </c>
      <c r="J286" s="655" t="s">
        <v>76</v>
      </c>
      <c r="K286" s="824">
        <v>100.4</v>
      </c>
      <c r="L286" s="165">
        <f>M286-K286</f>
        <v>0</v>
      </c>
      <c r="M286" s="579">
        <v>100.4</v>
      </c>
      <c r="N286" s="579">
        <v>100.4</v>
      </c>
      <c r="O286" s="426"/>
    </row>
    <row r="287" spans="1:15" s="395" customFormat="1" ht="37.5">
      <c r="A287" s="390"/>
      <c r="B287" s="618" t="s">
        <v>799</v>
      </c>
      <c r="C287" s="664" t="s">
        <v>609</v>
      </c>
      <c r="D287" s="655" t="s">
        <v>57</v>
      </c>
      <c r="E287" s="655" t="s">
        <v>92</v>
      </c>
      <c r="F287" s="652" t="s">
        <v>59</v>
      </c>
      <c r="G287" s="653" t="s">
        <v>50</v>
      </c>
      <c r="H287" s="653" t="s">
        <v>72</v>
      </c>
      <c r="I287" s="654" t="s">
        <v>64</v>
      </c>
      <c r="J287" s="655"/>
      <c r="K287" s="824">
        <f t="shared" ref="K287:N288" si="49">K288</f>
        <v>25</v>
      </c>
      <c r="L287" s="579">
        <f t="shared" si="49"/>
        <v>0</v>
      </c>
      <c r="M287" s="579">
        <f t="shared" si="49"/>
        <v>25</v>
      </c>
      <c r="N287" s="579">
        <f t="shared" si="49"/>
        <v>25</v>
      </c>
      <c r="O287" s="426"/>
    </row>
    <row r="288" spans="1:15" s="395" customFormat="1" ht="18.75">
      <c r="A288" s="390"/>
      <c r="B288" s="618" t="s">
        <v>817</v>
      </c>
      <c r="C288" s="666" t="s">
        <v>609</v>
      </c>
      <c r="D288" s="655" t="s">
        <v>57</v>
      </c>
      <c r="E288" s="655" t="s">
        <v>92</v>
      </c>
      <c r="F288" s="652" t="s">
        <v>59</v>
      </c>
      <c r="G288" s="653" t="s">
        <v>50</v>
      </c>
      <c r="H288" s="653" t="s">
        <v>72</v>
      </c>
      <c r="I288" s="654" t="s">
        <v>798</v>
      </c>
      <c r="J288" s="655"/>
      <c r="K288" s="824">
        <f t="shared" si="49"/>
        <v>25</v>
      </c>
      <c r="L288" s="579">
        <f t="shared" si="49"/>
        <v>0</v>
      </c>
      <c r="M288" s="579">
        <f t="shared" si="49"/>
        <v>25</v>
      </c>
      <c r="N288" s="579">
        <f t="shared" si="49"/>
        <v>25</v>
      </c>
      <c r="O288" s="426"/>
    </row>
    <row r="289" spans="1:15" s="395" customFormat="1" ht="56.25">
      <c r="A289" s="390"/>
      <c r="B289" s="618" t="s">
        <v>75</v>
      </c>
      <c r="C289" s="666" t="s">
        <v>609</v>
      </c>
      <c r="D289" s="655" t="s">
        <v>57</v>
      </c>
      <c r="E289" s="655" t="s">
        <v>92</v>
      </c>
      <c r="F289" s="652" t="s">
        <v>59</v>
      </c>
      <c r="G289" s="653" t="s">
        <v>50</v>
      </c>
      <c r="H289" s="653" t="s">
        <v>72</v>
      </c>
      <c r="I289" s="654" t="s">
        <v>798</v>
      </c>
      <c r="J289" s="655" t="s">
        <v>76</v>
      </c>
      <c r="K289" s="824">
        <v>25</v>
      </c>
      <c r="L289" s="165">
        <f>M289-K289</f>
        <v>0</v>
      </c>
      <c r="M289" s="579">
        <v>25</v>
      </c>
      <c r="N289" s="579">
        <v>25</v>
      </c>
      <c r="O289" s="426"/>
    </row>
    <row r="290" spans="1:15" s="395" customFormat="1" ht="37.5">
      <c r="A290" s="390"/>
      <c r="B290" s="618" t="s">
        <v>813</v>
      </c>
      <c r="C290" s="666" t="s">
        <v>609</v>
      </c>
      <c r="D290" s="655" t="s">
        <v>57</v>
      </c>
      <c r="E290" s="655" t="s">
        <v>92</v>
      </c>
      <c r="F290" s="652" t="s">
        <v>59</v>
      </c>
      <c r="G290" s="653" t="s">
        <v>50</v>
      </c>
      <c r="H290" s="653" t="s">
        <v>86</v>
      </c>
      <c r="I290" s="746" t="s">
        <v>64</v>
      </c>
      <c r="J290" s="288"/>
      <c r="K290" s="824">
        <f t="shared" ref="K290:N291" si="50">K291</f>
        <v>103.4</v>
      </c>
      <c r="L290" s="579">
        <f t="shared" si="50"/>
        <v>0</v>
      </c>
      <c r="M290" s="579">
        <f t="shared" si="50"/>
        <v>103.4</v>
      </c>
      <c r="N290" s="579">
        <f t="shared" si="50"/>
        <v>103.4</v>
      </c>
      <c r="O290" s="426"/>
    </row>
    <row r="291" spans="1:15" s="395" customFormat="1" ht="37.5">
      <c r="A291" s="390"/>
      <c r="B291" s="618" t="s">
        <v>148</v>
      </c>
      <c r="C291" s="666" t="s">
        <v>609</v>
      </c>
      <c r="D291" s="655" t="s">
        <v>57</v>
      </c>
      <c r="E291" s="655" t="s">
        <v>92</v>
      </c>
      <c r="F291" s="652" t="s">
        <v>59</v>
      </c>
      <c r="G291" s="653" t="s">
        <v>50</v>
      </c>
      <c r="H291" s="653" t="s">
        <v>86</v>
      </c>
      <c r="I291" s="746" t="s">
        <v>111</v>
      </c>
      <c r="J291" s="288"/>
      <c r="K291" s="824">
        <f t="shared" si="50"/>
        <v>103.4</v>
      </c>
      <c r="L291" s="579">
        <f t="shared" si="50"/>
        <v>0</v>
      </c>
      <c r="M291" s="579">
        <f t="shared" si="50"/>
        <v>103.4</v>
      </c>
      <c r="N291" s="579">
        <f t="shared" si="50"/>
        <v>103.4</v>
      </c>
      <c r="O291" s="426"/>
    </row>
    <row r="292" spans="1:15" s="395" customFormat="1" ht="56.25">
      <c r="A292" s="390"/>
      <c r="B292" s="618" t="s">
        <v>75</v>
      </c>
      <c r="C292" s="666" t="s">
        <v>609</v>
      </c>
      <c r="D292" s="655" t="s">
        <v>57</v>
      </c>
      <c r="E292" s="655" t="s">
        <v>92</v>
      </c>
      <c r="F292" s="652" t="s">
        <v>59</v>
      </c>
      <c r="G292" s="653" t="s">
        <v>50</v>
      </c>
      <c r="H292" s="653" t="s">
        <v>86</v>
      </c>
      <c r="I292" s="746" t="s">
        <v>111</v>
      </c>
      <c r="J292" s="288" t="s">
        <v>76</v>
      </c>
      <c r="K292" s="824">
        <v>103.4</v>
      </c>
      <c r="L292" s="165">
        <f>M292-K292</f>
        <v>0</v>
      </c>
      <c r="M292" s="579">
        <v>103.4</v>
      </c>
      <c r="N292" s="579">
        <v>103.4</v>
      </c>
      <c r="O292" s="426"/>
    </row>
    <row r="293" spans="1:15" s="396" customFormat="1" ht="18.75">
      <c r="A293" s="150"/>
      <c r="B293" s="163" t="s">
        <v>201</v>
      </c>
      <c r="C293" s="164" t="s">
        <v>609</v>
      </c>
      <c r="D293" s="149" t="s">
        <v>246</v>
      </c>
      <c r="E293" s="149"/>
      <c r="F293" s="750"/>
      <c r="G293" s="751"/>
      <c r="H293" s="751"/>
      <c r="I293" s="752"/>
      <c r="J293" s="149"/>
      <c r="K293" s="824">
        <f>K294+K309+K375+K349+K369</f>
        <v>1013854.1</v>
      </c>
      <c r="L293" s="165">
        <f>L294+L309+L375+L349+L369</f>
        <v>0</v>
      </c>
      <c r="M293" s="165">
        <f>M294+M309+M375+M349+M369</f>
        <v>1013854.1</v>
      </c>
      <c r="N293" s="165">
        <f>N294+N309+N375+N349+N369</f>
        <v>1000011.0999999999</v>
      </c>
      <c r="O293" s="427"/>
    </row>
    <row r="294" spans="1:15" s="395" customFormat="1" ht="18.75">
      <c r="A294" s="150"/>
      <c r="B294" s="163" t="s">
        <v>203</v>
      </c>
      <c r="C294" s="164" t="s">
        <v>609</v>
      </c>
      <c r="D294" s="149" t="s">
        <v>246</v>
      </c>
      <c r="E294" s="149" t="s">
        <v>57</v>
      </c>
      <c r="F294" s="750"/>
      <c r="G294" s="751"/>
      <c r="H294" s="751"/>
      <c r="I294" s="752"/>
      <c r="J294" s="149"/>
      <c r="K294" s="824">
        <f>K295+K304</f>
        <v>311662.7</v>
      </c>
      <c r="L294" s="165">
        <f>L295+L304</f>
        <v>0</v>
      </c>
      <c r="M294" s="165">
        <f>M295+M304</f>
        <v>311662.7</v>
      </c>
      <c r="N294" s="165">
        <f>N295+N304</f>
        <v>310578.99999999994</v>
      </c>
    </row>
    <row r="295" spans="1:15" s="395" customFormat="1" ht="56.25">
      <c r="A295" s="150"/>
      <c r="B295" s="163" t="s">
        <v>227</v>
      </c>
      <c r="C295" s="164" t="s">
        <v>609</v>
      </c>
      <c r="D295" s="149" t="s">
        <v>246</v>
      </c>
      <c r="E295" s="149" t="s">
        <v>57</v>
      </c>
      <c r="F295" s="750" t="s">
        <v>59</v>
      </c>
      <c r="G295" s="751" t="s">
        <v>62</v>
      </c>
      <c r="H295" s="751" t="s">
        <v>63</v>
      </c>
      <c r="I295" s="752" t="s">
        <v>64</v>
      </c>
      <c r="J295" s="149"/>
      <c r="K295" s="824">
        <f t="shared" ref="K295:N296" si="51">K296</f>
        <v>310346.8</v>
      </c>
      <c r="L295" s="165">
        <f t="shared" si="51"/>
        <v>0</v>
      </c>
      <c r="M295" s="165">
        <f t="shared" si="51"/>
        <v>310346.8</v>
      </c>
      <c r="N295" s="165">
        <f t="shared" si="51"/>
        <v>309950.69999999995</v>
      </c>
    </row>
    <row r="296" spans="1:15" s="395" customFormat="1" ht="37.5">
      <c r="A296" s="150"/>
      <c r="B296" s="163" t="s">
        <v>228</v>
      </c>
      <c r="C296" s="164" t="s">
        <v>609</v>
      </c>
      <c r="D296" s="149" t="s">
        <v>246</v>
      </c>
      <c r="E296" s="149" t="s">
        <v>57</v>
      </c>
      <c r="F296" s="750" t="s">
        <v>59</v>
      </c>
      <c r="G296" s="751" t="s">
        <v>65</v>
      </c>
      <c r="H296" s="751" t="s">
        <v>63</v>
      </c>
      <c r="I296" s="752" t="s">
        <v>64</v>
      </c>
      <c r="J296" s="149"/>
      <c r="K296" s="824">
        <f>K297</f>
        <v>310346.8</v>
      </c>
      <c r="L296" s="165">
        <f>L297</f>
        <v>0</v>
      </c>
      <c r="M296" s="165">
        <f>M297</f>
        <v>310346.8</v>
      </c>
      <c r="N296" s="165">
        <f t="shared" si="51"/>
        <v>309950.69999999995</v>
      </c>
    </row>
    <row r="297" spans="1:15" s="395" customFormat="1" ht="37.5">
      <c r="A297" s="150"/>
      <c r="B297" s="163" t="s">
        <v>307</v>
      </c>
      <c r="C297" s="164" t="s">
        <v>609</v>
      </c>
      <c r="D297" s="149" t="s">
        <v>246</v>
      </c>
      <c r="E297" s="149" t="s">
        <v>57</v>
      </c>
      <c r="F297" s="750" t="s">
        <v>59</v>
      </c>
      <c r="G297" s="751" t="s">
        <v>65</v>
      </c>
      <c r="H297" s="751" t="s">
        <v>57</v>
      </c>
      <c r="I297" s="752" t="s">
        <v>64</v>
      </c>
      <c r="J297" s="149"/>
      <c r="K297" s="824">
        <f>K300+K302+K298</f>
        <v>310346.8</v>
      </c>
      <c r="L297" s="165">
        <f>L300+L302+L298</f>
        <v>0</v>
      </c>
      <c r="M297" s="165">
        <f>M300+M302+M298</f>
        <v>310346.8</v>
      </c>
      <c r="N297" s="165">
        <f>N300+N302+N298</f>
        <v>309950.69999999995</v>
      </c>
    </row>
    <row r="298" spans="1:15" s="391" customFormat="1" ht="46.5" customHeight="1">
      <c r="A298" s="150"/>
      <c r="B298" s="303" t="s">
        <v>795</v>
      </c>
      <c r="C298" s="164" t="s">
        <v>609</v>
      </c>
      <c r="D298" s="149" t="s">
        <v>246</v>
      </c>
      <c r="E298" s="149" t="s">
        <v>57</v>
      </c>
      <c r="F298" s="750" t="s">
        <v>59</v>
      </c>
      <c r="G298" s="751" t="s">
        <v>65</v>
      </c>
      <c r="H298" s="751" t="s">
        <v>57</v>
      </c>
      <c r="I298" s="752" t="s">
        <v>112</v>
      </c>
      <c r="J298" s="149"/>
      <c r="K298" s="824">
        <f>K299</f>
        <v>97128.3</v>
      </c>
      <c r="L298" s="165">
        <f>L299</f>
        <v>0</v>
      </c>
      <c r="M298" s="165">
        <f>M299</f>
        <v>97128.3</v>
      </c>
      <c r="N298" s="165">
        <f>N299</f>
        <v>96714.1</v>
      </c>
    </row>
    <row r="299" spans="1:15" s="391" customFormat="1" ht="56.25">
      <c r="A299" s="150"/>
      <c r="B299" s="163" t="s">
        <v>97</v>
      </c>
      <c r="C299" s="164" t="s">
        <v>609</v>
      </c>
      <c r="D299" s="149" t="s">
        <v>246</v>
      </c>
      <c r="E299" s="149" t="s">
        <v>57</v>
      </c>
      <c r="F299" s="750" t="s">
        <v>59</v>
      </c>
      <c r="G299" s="751" t="s">
        <v>65</v>
      </c>
      <c r="H299" s="751" t="s">
        <v>57</v>
      </c>
      <c r="I299" s="752" t="s">
        <v>112</v>
      </c>
      <c r="J299" s="149" t="s">
        <v>98</v>
      </c>
      <c r="K299" s="824">
        <v>97128.3</v>
      </c>
      <c r="L299" s="165">
        <f>M299-K299</f>
        <v>0</v>
      </c>
      <c r="M299" s="165">
        <v>97128.3</v>
      </c>
      <c r="N299" s="165">
        <v>96714.1</v>
      </c>
    </row>
    <row r="300" spans="1:15" s="395" customFormat="1" ht="191.25" customHeight="1">
      <c r="A300" s="150"/>
      <c r="B300" s="163" t="s">
        <v>308</v>
      </c>
      <c r="C300" s="164" t="s">
        <v>609</v>
      </c>
      <c r="D300" s="149" t="s">
        <v>246</v>
      </c>
      <c r="E300" s="149" t="s">
        <v>57</v>
      </c>
      <c r="F300" s="750" t="s">
        <v>59</v>
      </c>
      <c r="G300" s="751" t="s">
        <v>65</v>
      </c>
      <c r="H300" s="751" t="s">
        <v>57</v>
      </c>
      <c r="I300" s="752" t="s">
        <v>309</v>
      </c>
      <c r="J300" s="149"/>
      <c r="K300" s="824">
        <f>K301</f>
        <v>520.70000000000005</v>
      </c>
      <c r="L300" s="165">
        <f>L301</f>
        <v>0</v>
      </c>
      <c r="M300" s="165">
        <f>M301</f>
        <v>520.70000000000005</v>
      </c>
      <c r="N300" s="165">
        <f>N301</f>
        <v>538.79999999999995</v>
      </c>
    </row>
    <row r="301" spans="1:15" s="395" customFormat="1" ht="56.25">
      <c r="A301" s="150"/>
      <c r="B301" s="163" t="s">
        <v>97</v>
      </c>
      <c r="C301" s="164" t="s">
        <v>609</v>
      </c>
      <c r="D301" s="149" t="s">
        <v>246</v>
      </c>
      <c r="E301" s="149" t="s">
        <v>57</v>
      </c>
      <c r="F301" s="750" t="s">
        <v>59</v>
      </c>
      <c r="G301" s="751" t="s">
        <v>65</v>
      </c>
      <c r="H301" s="751" t="s">
        <v>57</v>
      </c>
      <c r="I301" s="752" t="s">
        <v>309</v>
      </c>
      <c r="J301" s="149" t="s">
        <v>98</v>
      </c>
      <c r="K301" s="824">
        <v>520.70000000000005</v>
      </c>
      <c r="L301" s="165">
        <f>M301-K301</f>
        <v>0</v>
      </c>
      <c r="M301" s="165">
        <v>520.70000000000005</v>
      </c>
      <c r="N301" s="165">
        <v>538.79999999999995</v>
      </c>
    </row>
    <row r="302" spans="1:15" s="395" customFormat="1" ht="120.75" customHeight="1">
      <c r="A302" s="150"/>
      <c r="B302" s="163" t="s">
        <v>415</v>
      </c>
      <c r="C302" s="164" t="s">
        <v>609</v>
      </c>
      <c r="D302" s="149" t="s">
        <v>246</v>
      </c>
      <c r="E302" s="149" t="s">
        <v>57</v>
      </c>
      <c r="F302" s="750" t="s">
        <v>59</v>
      </c>
      <c r="G302" s="751" t="s">
        <v>65</v>
      </c>
      <c r="H302" s="751" t="s">
        <v>57</v>
      </c>
      <c r="I302" s="752" t="s">
        <v>310</v>
      </c>
      <c r="J302" s="149"/>
      <c r="K302" s="824">
        <f>K303</f>
        <v>212697.8</v>
      </c>
      <c r="L302" s="165">
        <f>L303</f>
        <v>0</v>
      </c>
      <c r="M302" s="165">
        <f>M303</f>
        <v>212697.8</v>
      </c>
      <c r="N302" s="165">
        <f>N303</f>
        <v>212697.8</v>
      </c>
    </row>
    <row r="303" spans="1:15" s="395" customFormat="1" ht="56.25">
      <c r="A303" s="150"/>
      <c r="B303" s="163" t="s">
        <v>97</v>
      </c>
      <c r="C303" s="164" t="s">
        <v>609</v>
      </c>
      <c r="D303" s="149" t="s">
        <v>246</v>
      </c>
      <c r="E303" s="149" t="s">
        <v>57</v>
      </c>
      <c r="F303" s="750" t="s">
        <v>59</v>
      </c>
      <c r="G303" s="751" t="s">
        <v>65</v>
      </c>
      <c r="H303" s="751" t="s">
        <v>57</v>
      </c>
      <c r="I303" s="752" t="s">
        <v>310</v>
      </c>
      <c r="J303" s="149" t="s">
        <v>98</v>
      </c>
      <c r="K303" s="824">
        <v>212697.8</v>
      </c>
      <c r="L303" s="165">
        <f>M303-K303</f>
        <v>0</v>
      </c>
      <c r="M303" s="165">
        <v>212697.8</v>
      </c>
      <c r="N303" s="165">
        <v>212697.8</v>
      </c>
    </row>
    <row r="304" spans="1:15" s="395" customFormat="1" ht="60" customHeight="1">
      <c r="A304" s="150"/>
      <c r="B304" s="163" t="s">
        <v>101</v>
      </c>
      <c r="C304" s="164" t="s">
        <v>609</v>
      </c>
      <c r="D304" s="149" t="s">
        <v>246</v>
      </c>
      <c r="E304" s="149" t="s">
        <v>57</v>
      </c>
      <c r="F304" s="750" t="s">
        <v>102</v>
      </c>
      <c r="G304" s="751" t="s">
        <v>62</v>
      </c>
      <c r="H304" s="751" t="s">
        <v>63</v>
      </c>
      <c r="I304" s="752" t="s">
        <v>64</v>
      </c>
      <c r="J304" s="149"/>
      <c r="K304" s="824">
        <f t="shared" ref="K304:N307" si="52">K305</f>
        <v>1315.9</v>
      </c>
      <c r="L304" s="165">
        <f t="shared" si="52"/>
        <v>0</v>
      </c>
      <c r="M304" s="165">
        <f t="shared" si="52"/>
        <v>1315.9</v>
      </c>
      <c r="N304" s="165">
        <f>N305</f>
        <v>628.29999999999995</v>
      </c>
    </row>
    <row r="305" spans="1:14" s="395" customFormat="1" ht="37.5">
      <c r="A305" s="150"/>
      <c r="B305" s="163" t="s">
        <v>146</v>
      </c>
      <c r="C305" s="164" t="s">
        <v>609</v>
      </c>
      <c r="D305" s="149" t="s">
        <v>246</v>
      </c>
      <c r="E305" s="149" t="s">
        <v>57</v>
      </c>
      <c r="F305" s="750" t="s">
        <v>102</v>
      </c>
      <c r="G305" s="751" t="s">
        <v>110</v>
      </c>
      <c r="H305" s="751" t="s">
        <v>63</v>
      </c>
      <c r="I305" s="752" t="s">
        <v>64</v>
      </c>
      <c r="J305" s="149"/>
      <c r="K305" s="824">
        <f t="shared" si="52"/>
        <v>1315.9</v>
      </c>
      <c r="L305" s="165">
        <f t="shared" si="52"/>
        <v>0</v>
      </c>
      <c r="M305" s="165">
        <f t="shared" si="52"/>
        <v>1315.9</v>
      </c>
      <c r="N305" s="165">
        <f t="shared" si="52"/>
        <v>628.29999999999995</v>
      </c>
    </row>
    <row r="306" spans="1:14" s="395" customFormat="1" ht="41.25" customHeight="1">
      <c r="A306" s="150"/>
      <c r="B306" s="163" t="s">
        <v>311</v>
      </c>
      <c r="C306" s="164" t="s">
        <v>609</v>
      </c>
      <c r="D306" s="149" t="s">
        <v>246</v>
      </c>
      <c r="E306" s="149" t="s">
        <v>57</v>
      </c>
      <c r="F306" s="750" t="s">
        <v>102</v>
      </c>
      <c r="G306" s="751" t="s">
        <v>110</v>
      </c>
      <c r="H306" s="751" t="s">
        <v>57</v>
      </c>
      <c r="I306" s="752" t="s">
        <v>64</v>
      </c>
      <c r="J306" s="149"/>
      <c r="K306" s="824">
        <f t="shared" si="52"/>
        <v>1315.9</v>
      </c>
      <c r="L306" s="165">
        <f t="shared" si="52"/>
        <v>0</v>
      </c>
      <c r="M306" s="165">
        <f t="shared" si="52"/>
        <v>1315.9</v>
      </c>
      <c r="N306" s="165">
        <f t="shared" si="52"/>
        <v>628.29999999999995</v>
      </c>
    </row>
    <row r="307" spans="1:14" s="395" customFormat="1" ht="18.75">
      <c r="A307" s="150"/>
      <c r="B307" s="163" t="s">
        <v>684</v>
      </c>
      <c r="C307" s="164" t="s">
        <v>609</v>
      </c>
      <c r="D307" s="149" t="s">
        <v>246</v>
      </c>
      <c r="E307" s="149" t="s">
        <v>57</v>
      </c>
      <c r="F307" s="750" t="s">
        <v>102</v>
      </c>
      <c r="G307" s="751" t="s">
        <v>110</v>
      </c>
      <c r="H307" s="751" t="s">
        <v>57</v>
      </c>
      <c r="I307" s="752" t="s">
        <v>685</v>
      </c>
      <c r="J307" s="149"/>
      <c r="K307" s="824">
        <f t="shared" si="52"/>
        <v>1315.9</v>
      </c>
      <c r="L307" s="165">
        <f t="shared" si="52"/>
        <v>0</v>
      </c>
      <c r="M307" s="165">
        <f t="shared" si="52"/>
        <v>1315.9</v>
      </c>
      <c r="N307" s="165">
        <f t="shared" si="52"/>
        <v>628.29999999999995</v>
      </c>
    </row>
    <row r="308" spans="1:14" s="395" customFormat="1" ht="56.25">
      <c r="A308" s="150"/>
      <c r="B308" s="163" t="s">
        <v>97</v>
      </c>
      <c r="C308" s="164" t="s">
        <v>609</v>
      </c>
      <c r="D308" s="149" t="s">
        <v>246</v>
      </c>
      <c r="E308" s="149" t="s">
        <v>57</v>
      </c>
      <c r="F308" s="750" t="s">
        <v>102</v>
      </c>
      <c r="G308" s="751" t="s">
        <v>110</v>
      </c>
      <c r="H308" s="751" t="s">
        <v>57</v>
      </c>
      <c r="I308" s="752" t="s">
        <v>685</v>
      </c>
      <c r="J308" s="149" t="s">
        <v>98</v>
      </c>
      <c r="K308" s="824">
        <v>1315.9</v>
      </c>
      <c r="L308" s="165">
        <f>M308-K308</f>
        <v>0</v>
      </c>
      <c r="M308" s="165">
        <v>1315.9</v>
      </c>
      <c r="N308" s="165">
        <v>628.29999999999995</v>
      </c>
    </row>
    <row r="309" spans="1:14" s="395" customFormat="1" ht="18.75">
      <c r="A309" s="150"/>
      <c r="B309" s="163" t="s">
        <v>205</v>
      </c>
      <c r="C309" s="164" t="s">
        <v>609</v>
      </c>
      <c r="D309" s="149" t="s">
        <v>246</v>
      </c>
      <c r="E309" s="149" t="s">
        <v>59</v>
      </c>
      <c r="F309" s="750"/>
      <c r="G309" s="751"/>
      <c r="H309" s="751"/>
      <c r="I309" s="752"/>
      <c r="J309" s="149"/>
      <c r="K309" s="824">
        <f>K310+K343</f>
        <v>577408.29999999993</v>
      </c>
      <c r="L309" s="165">
        <f>L310+L343</f>
        <v>0</v>
      </c>
      <c r="M309" s="165">
        <f>M310+M343</f>
        <v>577408.29999999993</v>
      </c>
      <c r="N309" s="165">
        <f>N310+N343</f>
        <v>563979.39999999991</v>
      </c>
    </row>
    <row r="310" spans="1:14" s="395" customFormat="1" ht="56.25">
      <c r="A310" s="150"/>
      <c r="B310" s="163" t="s">
        <v>227</v>
      </c>
      <c r="C310" s="164" t="s">
        <v>609</v>
      </c>
      <c r="D310" s="149" t="s">
        <v>246</v>
      </c>
      <c r="E310" s="149" t="s">
        <v>59</v>
      </c>
      <c r="F310" s="750" t="s">
        <v>59</v>
      </c>
      <c r="G310" s="751" t="s">
        <v>62</v>
      </c>
      <c r="H310" s="751" t="s">
        <v>63</v>
      </c>
      <c r="I310" s="752" t="s">
        <v>64</v>
      </c>
      <c r="J310" s="149"/>
      <c r="K310" s="824">
        <f>K311+K338</f>
        <v>570154.1</v>
      </c>
      <c r="L310" s="165">
        <f>L311+L338</f>
        <v>0</v>
      </c>
      <c r="M310" s="165">
        <f>M311+M338</f>
        <v>570154.1</v>
      </c>
      <c r="N310" s="165">
        <f>N311+N338</f>
        <v>563979.39999999991</v>
      </c>
    </row>
    <row r="311" spans="1:14" s="395" customFormat="1" ht="37.5">
      <c r="A311" s="150"/>
      <c r="B311" s="163" t="s">
        <v>228</v>
      </c>
      <c r="C311" s="164" t="s">
        <v>609</v>
      </c>
      <c r="D311" s="149" t="s">
        <v>246</v>
      </c>
      <c r="E311" s="149" t="s">
        <v>59</v>
      </c>
      <c r="F311" s="750" t="s">
        <v>59</v>
      </c>
      <c r="G311" s="751" t="s">
        <v>65</v>
      </c>
      <c r="H311" s="751" t="s">
        <v>63</v>
      </c>
      <c r="I311" s="752" t="s">
        <v>64</v>
      </c>
      <c r="J311" s="149"/>
      <c r="K311" s="824">
        <f>K312</f>
        <v>567796.1</v>
      </c>
      <c r="L311" s="165">
        <f>L312</f>
        <v>0</v>
      </c>
      <c r="M311" s="165">
        <f>M312</f>
        <v>567796.1</v>
      </c>
      <c r="N311" s="165">
        <f>N312</f>
        <v>561621.39999999991</v>
      </c>
    </row>
    <row r="312" spans="1:14" s="395" customFormat="1" ht="18.75">
      <c r="A312" s="150"/>
      <c r="B312" s="163" t="s">
        <v>312</v>
      </c>
      <c r="C312" s="164" t="s">
        <v>609</v>
      </c>
      <c r="D312" s="149" t="s">
        <v>246</v>
      </c>
      <c r="E312" s="149" t="s">
        <v>59</v>
      </c>
      <c r="F312" s="750" t="s">
        <v>59</v>
      </c>
      <c r="G312" s="751" t="s">
        <v>65</v>
      </c>
      <c r="H312" s="751" t="s">
        <v>59</v>
      </c>
      <c r="I312" s="752" t="s">
        <v>64</v>
      </c>
      <c r="J312" s="149"/>
      <c r="K312" s="824">
        <f>K324+K328+K332+K313+K318+K335+K321</f>
        <v>567796.1</v>
      </c>
      <c r="L312" s="165">
        <f>L324+L328+L332+L313+L318+L335+L321</f>
        <v>0</v>
      </c>
      <c r="M312" s="165">
        <f>M324+M328+M332+M313+M318+M335+M321</f>
        <v>567796.1</v>
      </c>
      <c r="N312" s="165">
        <f>N324+N328+N332+N313+N318+N335+N321</f>
        <v>561621.39999999991</v>
      </c>
    </row>
    <row r="313" spans="1:14" s="391" customFormat="1" ht="45" customHeight="1">
      <c r="A313" s="150"/>
      <c r="B313" s="303" t="s">
        <v>795</v>
      </c>
      <c r="C313" s="164" t="s">
        <v>609</v>
      </c>
      <c r="D313" s="149" t="s">
        <v>246</v>
      </c>
      <c r="E313" s="149" t="s">
        <v>59</v>
      </c>
      <c r="F313" s="750" t="s">
        <v>59</v>
      </c>
      <c r="G313" s="751" t="s">
        <v>65</v>
      </c>
      <c r="H313" s="751" t="s">
        <v>59</v>
      </c>
      <c r="I313" s="752" t="s">
        <v>112</v>
      </c>
      <c r="J313" s="149"/>
      <c r="K313" s="824">
        <f>K316+K317+K315+K314</f>
        <v>59981.899999999994</v>
      </c>
      <c r="L313" s="165">
        <f>L316+L317+L315+L314</f>
        <v>0</v>
      </c>
      <c r="M313" s="165">
        <f>M316+M317+M315+M314</f>
        <v>59981.899999999994</v>
      </c>
      <c r="N313" s="165">
        <f>N316+N317+N315+N314</f>
        <v>59681.7</v>
      </c>
    </row>
    <row r="314" spans="1:14" s="391" customFormat="1" ht="112.5">
      <c r="A314" s="150"/>
      <c r="B314" s="163" t="s">
        <v>69</v>
      </c>
      <c r="C314" s="164" t="s">
        <v>609</v>
      </c>
      <c r="D314" s="149" t="s">
        <v>246</v>
      </c>
      <c r="E314" s="149" t="s">
        <v>59</v>
      </c>
      <c r="F314" s="750" t="s">
        <v>59</v>
      </c>
      <c r="G314" s="751" t="s">
        <v>65</v>
      </c>
      <c r="H314" s="751" t="s">
        <v>59</v>
      </c>
      <c r="I314" s="752" t="s">
        <v>112</v>
      </c>
      <c r="J314" s="149" t="s">
        <v>70</v>
      </c>
      <c r="K314" s="824">
        <v>899.4</v>
      </c>
      <c r="L314" s="165">
        <f>M314-K314</f>
        <v>0</v>
      </c>
      <c r="M314" s="165">
        <v>899.4</v>
      </c>
      <c r="N314" s="165">
        <v>899.4</v>
      </c>
    </row>
    <row r="315" spans="1:14" s="391" customFormat="1" ht="56.25">
      <c r="A315" s="150"/>
      <c r="B315" s="163" t="s">
        <v>75</v>
      </c>
      <c r="C315" s="164" t="s">
        <v>609</v>
      </c>
      <c r="D315" s="149" t="s">
        <v>246</v>
      </c>
      <c r="E315" s="149" t="s">
        <v>59</v>
      </c>
      <c r="F315" s="750" t="s">
        <v>59</v>
      </c>
      <c r="G315" s="751" t="s">
        <v>65</v>
      </c>
      <c r="H315" s="751" t="s">
        <v>59</v>
      </c>
      <c r="I315" s="752" t="s">
        <v>112</v>
      </c>
      <c r="J315" s="149" t="s">
        <v>76</v>
      </c>
      <c r="K315" s="824">
        <v>3918.2</v>
      </c>
      <c r="L315" s="165">
        <f>M315-K315</f>
        <v>0</v>
      </c>
      <c r="M315" s="165">
        <v>3918.2</v>
      </c>
      <c r="N315" s="165">
        <v>3924.6</v>
      </c>
    </row>
    <row r="316" spans="1:14" s="391" customFormat="1" ht="56.25">
      <c r="A316" s="150"/>
      <c r="B316" s="163" t="s">
        <v>97</v>
      </c>
      <c r="C316" s="164" t="s">
        <v>609</v>
      </c>
      <c r="D316" s="149" t="s">
        <v>246</v>
      </c>
      <c r="E316" s="149" t="s">
        <v>59</v>
      </c>
      <c r="F316" s="750" t="s">
        <v>59</v>
      </c>
      <c r="G316" s="751" t="s">
        <v>65</v>
      </c>
      <c r="H316" s="751" t="s">
        <v>59</v>
      </c>
      <c r="I316" s="752" t="s">
        <v>112</v>
      </c>
      <c r="J316" s="149" t="s">
        <v>98</v>
      </c>
      <c r="K316" s="824">
        <f>54476.6+69.7</f>
        <v>54546.299999999996</v>
      </c>
      <c r="L316" s="165">
        <f>M316-K316</f>
        <v>0</v>
      </c>
      <c r="M316" s="165">
        <f>54476.6+69.7</f>
        <v>54546.299999999996</v>
      </c>
      <c r="N316" s="165">
        <f>55945.7-1695.1</f>
        <v>54250.6</v>
      </c>
    </row>
    <row r="317" spans="1:14" s="391" customFormat="1" ht="18.75">
      <c r="A317" s="150"/>
      <c r="B317" s="163" t="s">
        <v>77</v>
      </c>
      <c r="C317" s="164" t="s">
        <v>609</v>
      </c>
      <c r="D317" s="149" t="s">
        <v>246</v>
      </c>
      <c r="E317" s="149" t="s">
        <v>59</v>
      </c>
      <c r="F317" s="750" t="s">
        <v>59</v>
      </c>
      <c r="G317" s="751" t="s">
        <v>65</v>
      </c>
      <c r="H317" s="751" t="s">
        <v>59</v>
      </c>
      <c r="I317" s="752" t="s">
        <v>112</v>
      </c>
      <c r="J317" s="149" t="s">
        <v>78</v>
      </c>
      <c r="K317" s="824">
        <v>618</v>
      </c>
      <c r="L317" s="165">
        <f>M317-K317</f>
        <v>0</v>
      </c>
      <c r="M317" s="165">
        <v>618</v>
      </c>
      <c r="N317" s="165">
        <v>607.1</v>
      </c>
    </row>
    <row r="318" spans="1:14" s="391" customFormat="1" ht="37.5">
      <c r="A318" s="150"/>
      <c r="B318" s="163" t="s">
        <v>230</v>
      </c>
      <c r="C318" s="164" t="s">
        <v>609</v>
      </c>
      <c r="D318" s="149" t="s">
        <v>246</v>
      </c>
      <c r="E318" s="149" t="s">
        <v>59</v>
      </c>
      <c r="F318" s="750" t="s">
        <v>59</v>
      </c>
      <c r="G318" s="751" t="s">
        <v>65</v>
      </c>
      <c r="H318" s="751" t="s">
        <v>59</v>
      </c>
      <c r="I318" s="752" t="s">
        <v>314</v>
      </c>
      <c r="J318" s="149"/>
      <c r="K318" s="824">
        <f>K319+K320</f>
        <v>4527.3999999999996</v>
      </c>
      <c r="L318" s="165">
        <f>L319+L320</f>
        <v>0</v>
      </c>
      <c r="M318" s="165">
        <f>M319+M320</f>
        <v>4527.3999999999996</v>
      </c>
      <c r="N318" s="165">
        <f>N319+N320</f>
        <v>0</v>
      </c>
    </row>
    <row r="319" spans="1:14" s="391" customFormat="1" ht="56.25">
      <c r="A319" s="150"/>
      <c r="B319" s="163" t="s">
        <v>75</v>
      </c>
      <c r="C319" s="164" t="s">
        <v>609</v>
      </c>
      <c r="D319" s="149" t="s">
        <v>246</v>
      </c>
      <c r="E319" s="149" t="s">
        <v>59</v>
      </c>
      <c r="F319" s="750" t="s">
        <v>59</v>
      </c>
      <c r="G319" s="751" t="s">
        <v>65</v>
      </c>
      <c r="H319" s="751" t="s">
        <v>59</v>
      </c>
      <c r="I319" s="752" t="s">
        <v>314</v>
      </c>
      <c r="J319" s="149" t="s">
        <v>76</v>
      </c>
      <c r="K319" s="824">
        <v>178</v>
      </c>
      <c r="L319" s="165">
        <f>M319-K319</f>
        <v>0</v>
      </c>
      <c r="M319" s="165">
        <v>178</v>
      </c>
      <c r="N319" s="165">
        <v>0</v>
      </c>
    </row>
    <row r="320" spans="1:14" s="391" customFormat="1" ht="56.25">
      <c r="A320" s="150"/>
      <c r="B320" s="163" t="s">
        <v>97</v>
      </c>
      <c r="C320" s="164" t="s">
        <v>609</v>
      </c>
      <c r="D320" s="149" t="s">
        <v>246</v>
      </c>
      <c r="E320" s="149" t="s">
        <v>59</v>
      </c>
      <c r="F320" s="750" t="s">
        <v>59</v>
      </c>
      <c r="G320" s="751" t="s">
        <v>65</v>
      </c>
      <c r="H320" s="751" t="s">
        <v>59</v>
      </c>
      <c r="I320" s="752" t="s">
        <v>314</v>
      </c>
      <c r="J320" s="149" t="s">
        <v>98</v>
      </c>
      <c r="K320" s="824">
        <v>4349.3999999999996</v>
      </c>
      <c r="L320" s="165">
        <f>M320-K320</f>
        <v>0</v>
      </c>
      <c r="M320" s="165">
        <v>4349.3999999999996</v>
      </c>
      <c r="N320" s="165">
        <v>0</v>
      </c>
    </row>
    <row r="321" spans="1:14" s="391" customFormat="1" ht="93.75">
      <c r="A321" s="150"/>
      <c r="B321" s="163" t="s">
        <v>892</v>
      </c>
      <c r="C321" s="164" t="s">
        <v>609</v>
      </c>
      <c r="D321" s="149" t="s">
        <v>246</v>
      </c>
      <c r="E321" s="149" t="s">
        <v>59</v>
      </c>
      <c r="F321" s="750" t="s">
        <v>59</v>
      </c>
      <c r="G321" s="751" t="s">
        <v>65</v>
      </c>
      <c r="H321" s="751" t="s">
        <v>59</v>
      </c>
      <c r="I321" s="752" t="s">
        <v>891</v>
      </c>
      <c r="J321" s="149"/>
      <c r="K321" s="824">
        <f>K322+K323</f>
        <v>36560.199999999997</v>
      </c>
      <c r="L321" s="165">
        <f>L322+L323</f>
        <v>0</v>
      </c>
      <c r="M321" s="165">
        <f>M322+M323</f>
        <v>36560.199999999997</v>
      </c>
      <c r="N321" s="165">
        <f>N322+N323</f>
        <v>36560.199999999997</v>
      </c>
    </row>
    <row r="322" spans="1:14" s="391" customFormat="1" ht="112.5">
      <c r="A322" s="150"/>
      <c r="B322" s="163" t="s">
        <v>69</v>
      </c>
      <c r="C322" s="164" t="s">
        <v>609</v>
      </c>
      <c r="D322" s="149" t="s">
        <v>246</v>
      </c>
      <c r="E322" s="149" t="s">
        <v>59</v>
      </c>
      <c r="F322" s="750" t="s">
        <v>59</v>
      </c>
      <c r="G322" s="751" t="s">
        <v>65</v>
      </c>
      <c r="H322" s="751" t="s">
        <v>59</v>
      </c>
      <c r="I322" s="752" t="s">
        <v>891</v>
      </c>
      <c r="J322" s="149" t="s">
        <v>70</v>
      </c>
      <c r="K322" s="824">
        <v>2968.6</v>
      </c>
      <c r="L322" s="165">
        <f>M322-K322</f>
        <v>0</v>
      </c>
      <c r="M322" s="165">
        <v>2968.6</v>
      </c>
      <c r="N322" s="165">
        <v>2968.6</v>
      </c>
    </row>
    <row r="323" spans="1:14" s="391" customFormat="1" ht="56.25">
      <c r="A323" s="150"/>
      <c r="B323" s="163" t="s">
        <v>97</v>
      </c>
      <c r="C323" s="164" t="s">
        <v>609</v>
      </c>
      <c r="D323" s="149" t="s">
        <v>246</v>
      </c>
      <c r="E323" s="149" t="s">
        <v>59</v>
      </c>
      <c r="F323" s="750" t="s">
        <v>59</v>
      </c>
      <c r="G323" s="751" t="s">
        <v>65</v>
      </c>
      <c r="H323" s="751" t="s">
        <v>59</v>
      </c>
      <c r="I323" s="752" t="s">
        <v>891</v>
      </c>
      <c r="J323" s="149" t="s">
        <v>98</v>
      </c>
      <c r="K323" s="824">
        <v>33591.599999999999</v>
      </c>
      <c r="L323" s="165">
        <f>M323-K323</f>
        <v>0</v>
      </c>
      <c r="M323" s="165">
        <v>33591.599999999999</v>
      </c>
      <c r="N323" s="165">
        <v>33591.599999999999</v>
      </c>
    </row>
    <row r="324" spans="1:14" s="395" customFormat="1" ht="190.5" customHeight="1">
      <c r="A324" s="150"/>
      <c r="B324" s="163" t="s">
        <v>308</v>
      </c>
      <c r="C324" s="164" t="s">
        <v>609</v>
      </c>
      <c r="D324" s="149" t="s">
        <v>246</v>
      </c>
      <c r="E324" s="149" t="s">
        <v>59</v>
      </c>
      <c r="F324" s="750" t="s">
        <v>59</v>
      </c>
      <c r="G324" s="751" t="s">
        <v>65</v>
      </c>
      <c r="H324" s="751" t="s">
        <v>59</v>
      </c>
      <c r="I324" s="752" t="s">
        <v>309</v>
      </c>
      <c r="J324" s="149"/>
      <c r="K324" s="824">
        <f>SUM(K325:K327)</f>
        <v>1632.2</v>
      </c>
      <c r="L324" s="165">
        <f>SUM(L325:L327)</f>
        <v>0</v>
      </c>
      <c r="M324" s="165">
        <f>SUM(M325:M327)</f>
        <v>1632.2</v>
      </c>
      <c r="N324" s="165">
        <f>SUM(N325:N327)</f>
        <v>1689.1000000000001</v>
      </c>
    </row>
    <row r="325" spans="1:14" s="395" customFormat="1" ht="112.5">
      <c r="A325" s="150"/>
      <c r="B325" s="163" t="s">
        <v>69</v>
      </c>
      <c r="C325" s="164" t="s">
        <v>609</v>
      </c>
      <c r="D325" s="149" t="s">
        <v>246</v>
      </c>
      <c r="E325" s="149" t="s">
        <v>59</v>
      </c>
      <c r="F325" s="750" t="s">
        <v>59</v>
      </c>
      <c r="G325" s="751" t="s">
        <v>65</v>
      </c>
      <c r="H325" s="751" t="s">
        <v>59</v>
      </c>
      <c r="I325" s="752" t="s">
        <v>309</v>
      </c>
      <c r="J325" s="149" t="s">
        <v>70</v>
      </c>
      <c r="K325" s="824">
        <v>115.8</v>
      </c>
      <c r="L325" s="165">
        <f>M325-K325</f>
        <v>0</v>
      </c>
      <c r="M325" s="165">
        <v>115.8</v>
      </c>
      <c r="N325" s="165">
        <v>115.8</v>
      </c>
    </row>
    <row r="326" spans="1:14" s="395" customFormat="1" ht="37.5">
      <c r="A326" s="150"/>
      <c r="B326" s="163" t="s">
        <v>141</v>
      </c>
      <c r="C326" s="164" t="s">
        <v>609</v>
      </c>
      <c r="D326" s="149" t="s">
        <v>246</v>
      </c>
      <c r="E326" s="149" t="s">
        <v>59</v>
      </c>
      <c r="F326" s="750" t="s">
        <v>59</v>
      </c>
      <c r="G326" s="751" t="s">
        <v>65</v>
      </c>
      <c r="H326" s="751" t="s">
        <v>59</v>
      </c>
      <c r="I326" s="752" t="s">
        <v>309</v>
      </c>
      <c r="J326" s="149" t="s">
        <v>142</v>
      </c>
      <c r="K326" s="824">
        <v>13.9</v>
      </c>
      <c r="L326" s="165">
        <f>M326-K326</f>
        <v>0</v>
      </c>
      <c r="M326" s="165">
        <v>13.9</v>
      </c>
      <c r="N326" s="165">
        <v>13.9</v>
      </c>
    </row>
    <row r="327" spans="1:14" s="395" customFormat="1" ht="56.25">
      <c r="A327" s="150"/>
      <c r="B327" s="163" t="s">
        <v>97</v>
      </c>
      <c r="C327" s="164" t="s">
        <v>609</v>
      </c>
      <c r="D327" s="149" t="s">
        <v>246</v>
      </c>
      <c r="E327" s="149" t="s">
        <v>59</v>
      </c>
      <c r="F327" s="750" t="s">
        <v>59</v>
      </c>
      <c r="G327" s="751" t="s">
        <v>65</v>
      </c>
      <c r="H327" s="751" t="s">
        <v>59</v>
      </c>
      <c r="I327" s="752" t="s">
        <v>309</v>
      </c>
      <c r="J327" s="149" t="s">
        <v>98</v>
      </c>
      <c r="K327" s="824">
        <v>1502.5</v>
      </c>
      <c r="L327" s="165">
        <f>M327-K327</f>
        <v>0</v>
      </c>
      <c r="M327" s="165">
        <v>1502.5</v>
      </c>
      <c r="N327" s="165">
        <v>1559.4</v>
      </c>
    </row>
    <row r="328" spans="1:14" s="395" customFormat="1" ht="118.5" customHeight="1">
      <c r="A328" s="150"/>
      <c r="B328" s="163" t="s">
        <v>415</v>
      </c>
      <c r="C328" s="164" t="s">
        <v>609</v>
      </c>
      <c r="D328" s="149" t="s">
        <v>246</v>
      </c>
      <c r="E328" s="149" t="s">
        <v>59</v>
      </c>
      <c r="F328" s="750" t="s">
        <v>59</v>
      </c>
      <c r="G328" s="751" t="s">
        <v>65</v>
      </c>
      <c r="H328" s="751" t="s">
        <v>59</v>
      </c>
      <c r="I328" s="752" t="s">
        <v>310</v>
      </c>
      <c r="J328" s="149"/>
      <c r="K328" s="824">
        <f>K329+K330+K331</f>
        <v>404790.7</v>
      </c>
      <c r="L328" s="165">
        <f>L329+L330+L331</f>
        <v>0</v>
      </c>
      <c r="M328" s="165">
        <f>M329+M330+M331</f>
        <v>404790.7</v>
      </c>
      <c r="N328" s="165">
        <f>N329+N330+N331</f>
        <v>404790.7</v>
      </c>
    </row>
    <row r="329" spans="1:14" s="395" customFormat="1" ht="112.5">
      <c r="A329" s="150"/>
      <c r="B329" s="163" t="s">
        <v>69</v>
      </c>
      <c r="C329" s="164" t="s">
        <v>609</v>
      </c>
      <c r="D329" s="149" t="s">
        <v>246</v>
      </c>
      <c r="E329" s="149" t="s">
        <v>59</v>
      </c>
      <c r="F329" s="750" t="s">
        <v>59</v>
      </c>
      <c r="G329" s="751" t="s">
        <v>65</v>
      </c>
      <c r="H329" s="751" t="s">
        <v>59</v>
      </c>
      <c r="I329" s="752" t="s">
        <v>310</v>
      </c>
      <c r="J329" s="149" t="s">
        <v>70</v>
      </c>
      <c r="K329" s="824">
        <v>27962</v>
      </c>
      <c r="L329" s="165">
        <f>M329-K329</f>
        <v>0</v>
      </c>
      <c r="M329" s="165">
        <v>27962</v>
      </c>
      <c r="N329" s="165">
        <v>27962</v>
      </c>
    </row>
    <row r="330" spans="1:14" s="395" customFormat="1" ht="56.25">
      <c r="A330" s="150"/>
      <c r="B330" s="163" t="s">
        <v>75</v>
      </c>
      <c r="C330" s="164" t="s">
        <v>609</v>
      </c>
      <c r="D330" s="149" t="s">
        <v>246</v>
      </c>
      <c r="E330" s="149" t="s">
        <v>59</v>
      </c>
      <c r="F330" s="750" t="s">
        <v>59</v>
      </c>
      <c r="G330" s="751" t="s">
        <v>65</v>
      </c>
      <c r="H330" s="751" t="s">
        <v>59</v>
      </c>
      <c r="I330" s="752" t="s">
        <v>310</v>
      </c>
      <c r="J330" s="149" t="s">
        <v>76</v>
      </c>
      <c r="K330" s="824">
        <v>1898.4</v>
      </c>
      <c r="L330" s="165">
        <f>M330-K330</f>
        <v>0</v>
      </c>
      <c r="M330" s="165">
        <v>1898.4</v>
      </c>
      <c r="N330" s="165">
        <v>1898.4</v>
      </c>
    </row>
    <row r="331" spans="1:14" s="395" customFormat="1" ht="56.25">
      <c r="A331" s="150"/>
      <c r="B331" s="163" t="s">
        <v>97</v>
      </c>
      <c r="C331" s="164" t="s">
        <v>609</v>
      </c>
      <c r="D331" s="149" t="s">
        <v>246</v>
      </c>
      <c r="E331" s="149" t="s">
        <v>59</v>
      </c>
      <c r="F331" s="750" t="s">
        <v>59</v>
      </c>
      <c r="G331" s="751" t="s">
        <v>65</v>
      </c>
      <c r="H331" s="751" t="s">
        <v>59</v>
      </c>
      <c r="I331" s="752" t="s">
        <v>310</v>
      </c>
      <c r="J331" s="149" t="s">
        <v>98</v>
      </c>
      <c r="K331" s="824">
        <v>374930.3</v>
      </c>
      <c r="L331" s="165">
        <f>M331-K331</f>
        <v>0</v>
      </c>
      <c r="M331" s="165">
        <v>374930.3</v>
      </c>
      <c r="N331" s="165">
        <f>M331</f>
        <v>374930.3</v>
      </c>
    </row>
    <row r="332" spans="1:14" s="391" customFormat="1" ht="93.75">
      <c r="A332" s="150"/>
      <c r="B332" s="163" t="s">
        <v>231</v>
      </c>
      <c r="C332" s="164" t="s">
        <v>609</v>
      </c>
      <c r="D332" s="149" t="s">
        <v>246</v>
      </c>
      <c r="E332" s="149" t="s">
        <v>59</v>
      </c>
      <c r="F332" s="750" t="s">
        <v>59</v>
      </c>
      <c r="G332" s="751" t="s">
        <v>65</v>
      </c>
      <c r="H332" s="751" t="s">
        <v>59</v>
      </c>
      <c r="I332" s="752" t="s">
        <v>315</v>
      </c>
      <c r="J332" s="149"/>
      <c r="K332" s="824">
        <f t="shared" ref="K332" si="53">SUM(K333:K334)</f>
        <v>2399</v>
      </c>
      <c r="L332" s="165">
        <f t="shared" ref="L332" si="54">SUM(L333:L334)</f>
        <v>0</v>
      </c>
      <c r="M332" s="165">
        <f t="shared" ref="M332:N332" si="55">SUM(M333:M334)</f>
        <v>2399</v>
      </c>
      <c r="N332" s="165">
        <f t="shared" si="55"/>
        <v>2399</v>
      </c>
    </row>
    <row r="333" spans="1:14" s="391" customFormat="1" ht="56.25">
      <c r="A333" s="150"/>
      <c r="B333" s="163" t="s">
        <v>75</v>
      </c>
      <c r="C333" s="164" t="s">
        <v>609</v>
      </c>
      <c r="D333" s="149" t="s">
        <v>246</v>
      </c>
      <c r="E333" s="149" t="s">
        <v>59</v>
      </c>
      <c r="F333" s="750" t="s">
        <v>59</v>
      </c>
      <c r="G333" s="751" t="s">
        <v>65</v>
      </c>
      <c r="H333" s="751" t="s">
        <v>59</v>
      </c>
      <c r="I333" s="752" t="s">
        <v>315</v>
      </c>
      <c r="J333" s="149" t="s">
        <v>76</v>
      </c>
      <c r="K333" s="824">
        <v>104.8</v>
      </c>
      <c r="L333" s="165">
        <f>M333-K333</f>
        <v>0</v>
      </c>
      <c r="M333" s="165">
        <v>104.8</v>
      </c>
      <c r="N333" s="165">
        <v>104.8</v>
      </c>
    </row>
    <row r="334" spans="1:14" s="391" customFormat="1" ht="56.25">
      <c r="A334" s="150"/>
      <c r="B334" s="163" t="s">
        <v>97</v>
      </c>
      <c r="C334" s="164" t="s">
        <v>609</v>
      </c>
      <c r="D334" s="149" t="s">
        <v>246</v>
      </c>
      <c r="E334" s="149" t="s">
        <v>59</v>
      </c>
      <c r="F334" s="750" t="s">
        <v>59</v>
      </c>
      <c r="G334" s="751" t="s">
        <v>65</v>
      </c>
      <c r="H334" s="751" t="s">
        <v>59</v>
      </c>
      <c r="I334" s="752" t="s">
        <v>315</v>
      </c>
      <c r="J334" s="149" t="s">
        <v>98</v>
      </c>
      <c r="K334" s="824">
        <v>2294.1999999999998</v>
      </c>
      <c r="L334" s="165">
        <f>M334-K334</f>
        <v>0</v>
      </c>
      <c r="M334" s="165">
        <v>2294.1999999999998</v>
      </c>
      <c r="N334" s="165">
        <v>2294.1999999999998</v>
      </c>
    </row>
    <row r="335" spans="1:14" s="391" customFormat="1" ht="72.75" customHeight="1">
      <c r="A335" s="150"/>
      <c r="B335" s="163" t="s">
        <v>765</v>
      </c>
      <c r="C335" s="164" t="s">
        <v>609</v>
      </c>
      <c r="D335" s="149" t="s">
        <v>246</v>
      </c>
      <c r="E335" s="149" t="s">
        <v>59</v>
      </c>
      <c r="F335" s="750" t="s">
        <v>59</v>
      </c>
      <c r="G335" s="751" t="s">
        <v>65</v>
      </c>
      <c r="H335" s="751" t="s">
        <v>59</v>
      </c>
      <c r="I335" s="752" t="s">
        <v>764</v>
      </c>
      <c r="J335" s="149"/>
      <c r="K335" s="824">
        <f>K336+K337</f>
        <v>57904.700000000004</v>
      </c>
      <c r="L335" s="165">
        <f>L336+L337</f>
        <v>0</v>
      </c>
      <c r="M335" s="165">
        <f>M336+M337</f>
        <v>57904.700000000004</v>
      </c>
      <c r="N335" s="165">
        <f>N336+N337</f>
        <v>56500.7</v>
      </c>
    </row>
    <row r="336" spans="1:14" s="391" customFormat="1" ht="56.25">
      <c r="A336" s="150"/>
      <c r="B336" s="163" t="s">
        <v>75</v>
      </c>
      <c r="C336" s="164" t="s">
        <v>609</v>
      </c>
      <c r="D336" s="149" t="s">
        <v>246</v>
      </c>
      <c r="E336" s="149" t="s">
        <v>59</v>
      </c>
      <c r="F336" s="750" t="s">
        <v>59</v>
      </c>
      <c r="G336" s="751" t="s">
        <v>65</v>
      </c>
      <c r="H336" s="751" t="s">
        <v>59</v>
      </c>
      <c r="I336" s="752" t="s">
        <v>764</v>
      </c>
      <c r="J336" s="149" t="s">
        <v>76</v>
      </c>
      <c r="K336" s="824">
        <v>1715.9</v>
      </c>
      <c r="L336" s="165">
        <f>M336-K336</f>
        <v>0</v>
      </c>
      <c r="M336" s="165">
        <v>1715.9</v>
      </c>
      <c r="N336" s="165">
        <v>1674.2</v>
      </c>
    </row>
    <row r="337" spans="1:17" s="391" customFormat="1" ht="56.25">
      <c r="A337" s="150"/>
      <c r="B337" s="163" t="s">
        <v>97</v>
      </c>
      <c r="C337" s="164" t="s">
        <v>609</v>
      </c>
      <c r="D337" s="149" t="s">
        <v>246</v>
      </c>
      <c r="E337" s="149" t="s">
        <v>59</v>
      </c>
      <c r="F337" s="750" t="s">
        <v>59</v>
      </c>
      <c r="G337" s="751" t="s">
        <v>65</v>
      </c>
      <c r="H337" s="751" t="s">
        <v>59</v>
      </c>
      <c r="I337" s="752" t="s">
        <v>764</v>
      </c>
      <c r="J337" s="149" t="s">
        <v>98</v>
      </c>
      <c r="K337" s="824">
        <v>56188.800000000003</v>
      </c>
      <c r="L337" s="165">
        <f>M337-K337</f>
        <v>0</v>
      </c>
      <c r="M337" s="165">
        <v>56188.800000000003</v>
      </c>
      <c r="N337" s="165">
        <v>54826.5</v>
      </c>
      <c r="Q337" s="479"/>
    </row>
    <row r="338" spans="1:17" s="395" customFormat="1" ht="56.25">
      <c r="A338" s="150"/>
      <c r="B338" s="163" t="s">
        <v>234</v>
      </c>
      <c r="C338" s="164" t="s">
        <v>609</v>
      </c>
      <c r="D338" s="149" t="s">
        <v>246</v>
      </c>
      <c r="E338" s="149" t="s">
        <v>59</v>
      </c>
      <c r="F338" s="750" t="s">
        <v>59</v>
      </c>
      <c r="G338" s="751" t="s">
        <v>50</v>
      </c>
      <c r="H338" s="751" t="s">
        <v>63</v>
      </c>
      <c r="I338" s="752" t="s">
        <v>64</v>
      </c>
      <c r="J338" s="149"/>
      <c r="K338" s="824">
        <f t="shared" ref="K338:N339" si="56">K339</f>
        <v>2358</v>
      </c>
      <c r="L338" s="165">
        <f t="shared" si="56"/>
        <v>0</v>
      </c>
      <c r="M338" s="165">
        <f t="shared" si="56"/>
        <v>2358</v>
      </c>
      <c r="N338" s="165">
        <f t="shared" si="56"/>
        <v>2358</v>
      </c>
    </row>
    <row r="339" spans="1:17" s="395" customFormat="1" ht="37.5">
      <c r="A339" s="150"/>
      <c r="B339" s="163" t="s">
        <v>322</v>
      </c>
      <c r="C339" s="164" t="s">
        <v>609</v>
      </c>
      <c r="D339" s="149" t="s">
        <v>246</v>
      </c>
      <c r="E339" s="149" t="s">
        <v>59</v>
      </c>
      <c r="F339" s="750" t="s">
        <v>59</v>
      </c>
      <c r="G339" s="751" t="s">
        <v>50</v>
      </c>
      <c r="H339" s="751" t="s">
        <v>57</v>
      </c>
      <c r="I339" s="752" t="s">
        <v>64</v>
      </c>
      <c r="J339" s="149"/>
      <c r="K339" s="824">
        <f t="shared" si="56"/>
        <v>2358</v>
      </c>
      <c r="L339" s="165">
        <f t="shared" si="56"/>
        <v>0</v>
      </c>
      <c r="M339" s="165">
        <f t="shared" si="56"/>
        <v>2358</v>
      </c>
      <c r="N339" s="165">
        <f t="shared" si="56"/>
        <v>2358</v>
      </c>
    </row>
    <row r="340" spans="1:17" s="395" customFormat="1" ht="213" customHeight="1">
      <c r="A340" s="150"/>
      <c r="B340" s="163" t="s">
        <v>693</v>
      </c>
      <c r="C340" s="164" t="s">
        <v>609</v>
      </c>
      <c r="D340" s="149" t="s">
        <v>246</v>
      </c>
      <c r="E340" s="149" t="s">
        <v>59</v>
      </c>
      <c r="F340" s="750" t="s">
        <v>59</v>
      </c>
      <c r="G340" s="751" t="s">
        <v>50</v>
      </c>
      <c r="H340" s="751" t="s">
        <v>57</v>
      </c>
      <c r="I340" s="752" t="s">
        <v>416</v>
      </c>
      <c r="J340" s="149"/>
      <c r="K340" s="824">
        <f>K342+K341</f>
        <v>2358</v>
      </c>
      <c r="L340" s="165">
        <f>L342+L341</f>
        <v>0</v>
      </c>
      <c r="M340" s="165">
        <f>M342+M341</f>
        <v>2358</v>
      </c>
      <c r="N340" s="165">
        <f>N342+N341</f>
        <v>2358</v>
      </c>
    </row>
    <row r="341" spans="1:17" s="395" customFormat="1" ht="112.5">
      <c r="A341" s="150"/>
      <c r="B341" s="163" t="s">
        <v>69</v>
      </c>
      <c r="C341" s="164" t="s">
        <v>609</v>
      </c>
      <c r="D341" s="149" t="s">
        <v>246</v>
      </c>
      <c r="E341" s="149" t="s">
        <v>59</v>
      </c>
      <c r="F341" s="750" t="s">
        <v>59</v>
      </c>
      <c r="G341" s="751" t="s">
        <v>50</v>
      </c>
      <c r="H341" s="751" t="s">
        <v>57</v>
      </c>
      <c r="I341" s="752" t="s">
        <v>416</v>
      </c>
      <c r="J341" s="149" t="s">
        <v>70</v>
      </c>
      <c r="K341" s="824">
        <v>29.8</v>
      </c>
      <c r="L341" s="165">
        <f>M341-K341</f>
        <v>0</v>
      </c>
      <c r="M341" s="165">
        <v>29.8</v>
      </c>
      <c r="N341" s="165">
        <v>29.8</v>
      </c>
    </row>
    <row r="342" spans="1:17" s="395" customFormat="1" ht="56.25">
      <c r="A342" s="150"/>
      <c r="B342" s="163" t="s">
        <v>97</v>
      </c>
      <c r="C342" s="164" t="s">
        <v>609</v>
      </c>
      <c r="D342" s="149" t="s">
        <v>246</v>
      </c>
      <c r="E342" s="149" t="s">
        <v>59</v>
      </c>
      <c r="F342" s="750" t="s">
        <v>59</v>
      </c>
      <c r="G342" s="751" t="s">
        <v>50</v>
      </c>
      <c r="H342" s="751" t="s">
        <v>57</v>
      </c>
      <c r="I342" s="752" t="s">
        <v>416</v>
      </c>
      <c r="J342" s="149" t="s">
        <v>98</v>
      </c>
      <c r="K342" s="824">
        <v>2328.1999999999998</v>
      </c>
      <c r="L342" s="165">
        <f>M342-K342</f>
        <v>0</v>
      </c>
      <c r="M342" s="165">
        <v>2328.1999999999998</v>
      </c>
      <c r="N342" s="165">
        <v>2328.1999999999998</v>
      </c>
    </row>
    <row r="343" spans="1:17" s="395" customFormat="1" ht="56.25" customHeight="1">
      <c r="A343" s="150"/>
      <c r="B343" s="163" t="s">
        <v>101</v>
      </c>
      <c r="C343" s="164" t="s">
        <v>609</v>
      </c>
      <c r="D343" s="149" t="s">
        <v>246</v>
      </c>
      <c r="E343" s="149" t="s">
        <v>59</v>
      </c>
      <c r="F343" s="750" t="s">
        <v>102</v>
      </c>
      <c r="G343" s="751" t="s">
        <v>62</v>
      </c>
      <c r="H343" s="751" t="s">
        <v>63</v>
      </c>
      <c r="I343" s="752" t="s">
        <v>64</v>
      </c>
      <c r="J343" s="149"/>
      <c r="K343" s="824">
        <f t="shared" ref="K343:N344" si="57">K344</f>
        <v>7254.2</v>
      </c>
      <c r="L343" s="165">
        <f t="shared" si="57"/>
        <v>0</v>
      </c>
      <c r="M343" s="165">
        <f t="shared" si="57"/>
        <v>7254.2</v>
      </c>
      <c r="N343" s="165">
        <f t="shared" si="57"/>
        <v>0</v>
      </c>
    </row>
    <row r="344" spans="1:17" s="395" customFormat="1" ht="37.5">
      <c r="A344" s="150"/>
      <c r="B344" s="163" t="s">
        <v>146</v>
      </c>
      <c r="C344" s="164" t="s">
        <v>609</v>
      </c>
      <c r="D344" s="149" t="s">
        <v>246</v>
      </c>
      <c r="E344" s="149" t="s">
        <v>59</v>
      </c>
      <c r="F344" s="750" t="s">
        <v>102</v>
      </c>
      <c r="G344" s="751" t="s">
        <v>110</v>
      </c>
      <c r="H344" s="751" t="s">
        <v>63</v>
      </c>
      <c r="I344" s="752" t="s">
        <v>64</v>
      </c>
      <c r="J344" s="149"/>
      <c r="K344" s="824">
        <f t="shared" si="57"/>
        <v>7254.2</v>
      </c>
      <c r="L344" s="165">
        <f t="shared" si="57"/>
        <v>0</v>
      </c>
      <c r="M344" s="165">
        <f t="shared" si="57"/>
        <v>7254.2</v>
      </c>
      <c r="N344" s="165">
        <f t="shared" si="57"/>
        <v>0</v>
      </c>
    </row>
    <row r="345" spans="1:17" s="395" customFormat="1" ht="39.75" customHeight="1">
      <c r="A345" s="150"/>
      <c r="B345" s="163" t="s">
        <v>311</v>
      </c>
      <c r="C345" s="164" t="s">
        <v>609</v>
      </c>
      <c r="D345" s="149" t="s">
        <v>246</v>
      </c>
      <c r="E345" s="149" t="s">
        <v>59</v>
      </c>
      <c r="F345" s="750" t="s">
        <v>102</v>
      </c>
      <c r="G345" s="751" t="s">
        <v>110</v>
      </c>
      <c r="H345" s="751" t="s">
        <v>57</v>
      </c>
      <c r="I345" s="752" t="s">
        <v>64</v>
      </c>
      <c r="J345" s="149"/>
      <c r="K345" s="824">
        <f>K346</f>
        <v>7254.2</v>
      </c>
      <c r="L345" s="165">
        <f>L346</f>
        <v>0</v>
      </c>
      <c r="M345" s="165">
        <f>M346</f>
        <v>7254.2</v>
      </c>
      <c r="N345" s="165">
        <f>N346</f>
        <v>0</v>
      </c>
    </row>
    <row r="346" spans="1:17" s="395" customFormat="1" ht="18.75">
      <c r="A346" s="150"/>
      <c r="B346" s="163" t="s">
        <v>684</v>
      </c>
      <c r="C346" s="164" t="s">
        <v>609</v>
      </c>
      <c r="D346" s="149" t="s">
        <v>246</v>
      </c>
      <c r="E346" s="149" t="s">
        <v>59</v>
      </c>
      <c r="F346" s="750" t="s">
        <v>102</v>
      </c>
      <c r="G346" s="751" t="s">
        <v>110</v>
      </c>
      <c r="H346" s="751" t="s">
        <v>57</v>
      </c>
      <c r="I346" s="752" t="s">
        <v>685</v>
      </c>
      <c r="J346" s="149"/>
      <c r="K346" s="824">
        <f>K348+K347</f>
        <v>7254.2</v>
      </c>
      <c r="L346" s="165">
        <f>L348+L347</f>
        <v>0</v>
      </c>
      <c r="M346" s="165">
        <f>M348+M347</f>
        <v>7254.2</v>
      </c>
      <c r="N346" s="165">
        <f>N348+N347</f>
        <v>0</v>
      </c>
    </row>
    <row r="347" spans="1:17" s="395" customFormat="1" ht="56.25">
      <c r="A347" s="150"/>
      <c r="B347" s="163" t="s">
        <v>75</v>
      </c>
      <c r="C347" s="164" t="s">
        <v>609</v>
      </c>
      <c r="D347" s="149" t="s">
        <v>246</v>
      </c>
      <c r="E347" s="149" t="s">
        <v>59</v>
      </c>
      <c r="F347" s="750" t="s">
        <v>102</v>
      </c>
      <c r="G347" s="751" t="s">
        <v>110</v>
      </c>
      <c r="H347" s="751" t="s">
        <v>57</v>
      </c>
      <c r="I347" s="752" t="s">
        <v>685</v>
      </c>
      <c r="J347" s="149" t="s">
        <v>76</v>
      </c>
      <c r="K347" s="824">
        <v>905.2</v>
      </c>
      <c r="L347" s="165">
        <f>M347-K347</f>
        <v>0</v>
      </c>
      <c r="M347" s="165">
        <v>905.2</v>
      </c>
      <c r="N347" s="165">
        <v>0</v>
      </c>
    </row>
    <row r="348" spans="1:17" s="395" customFormat="1" ht="56.25">
      <c r="A348" s="150"/>
      <c r="B348" s="163" t="s">
        <v>97</v>
      </c>
      <c r="C348" s="164" t="s">
        <v>609</v>
      </c>
      <c r="D348" s="149" t="s">
        <v>246</v>
      </c>
      <c r="E348" s="149" t="s">
        <v>59</v>
      </c>
      <c r="F348" s="750" t="s">
        <v>102</v>
      </c>
      <c r="G348" s="751" t="s">
        <v>110</v>
      </c>
      <c r="H348" s="751" t="s">
        <v>57</v>
      </c>
      <c r="I348" s="752" t="s">
        <v>685</v>
      </c>
      <c r="J348" s="149" t="s">
        <v>98</v>
      </c>
      <c r="K348" s="824">
        <v>6349</v>
      </c>
      <c r="L348" s="165">
        <f>M348-K348</f>
        <v>0</v>
      </c>
      <c r="M348" s="165">
        <v>6349</v>
      </c>
      <c r="N348" s="165">
        <v>0</v>
      </c>
    </row>
    <row r="349" spans="1:17" s="395" customFormat="1" ht="18.75">
      <c r="A349" s="150"/>
      <c r="B349" s="163" t="s">
        <v>424</v>
      </c>
      <c r="C349" s="164" t="s">
        <v>609</v>
      </c>
      <c r="D349" s="149" t="s">
        <v>246</v>
      </c>
      <c r="E349" s="149" t="s">
        <v>84</v>
      </c>
      <c r="F349" s="750"/>
      <c r="G349" s="751"/>
      <c r="H349" s="751"/>
      <c r="I349" s="752"/>
      <c r="J349" s="149"/>
      <c r="K349" s="824">
        <f>K350+K364</f>
        <v>55983.000000000007</v>
      </c>
      <c r="L349" s="165">
        <f>L350+L364</f>
        <v>0</v>
      </c>
      <c r="M349" s="165">
        <f>M350+M364</f>
        <v>55983.000000000007</v>
      </c>
      <c r="N349" s="165">
        <f>N350+N364</f>
        <v>56618.600000000006</v>
      </c>
    </row>
    <row r="350" spans="1:17" s="395" customFormat="1" ht="56.25">
      <c r="A350" s="150"/>
      <c r="B350" s="311" t="s">
        <v>227</v>
      </c>
      <c r="C350" s="164" t="s">
        <v>609</v>
      </c>
      <c r="D350" s="149" t="s">
        <v>246</v>
      </c>
      <c r="E350" s="149" t="s">
        <v>84</v>
      </c>
      <c r="F350" s="750" t="s">
        <v>59</v>
      </c>
      <c r="G350" s="751" t="s">
        <v>62</v>
      </c>
      <c r="H350" s="751" t="s">
        <v>63</v>
      </c>
      <c r="I350" s="752" t="s">
        <v>64</v>
      </c>
      <c r="J350" s="149"/>
      <c r="K350" s="824">
        <f t="shared" ref="K350:N350" si="58">K351</f>
        <v>55983.000000000007</v>
      </c>
      <c r="L350" s="165">
        <f t="shared" si="58"/>
        <v>0</v>
      </c>
      <c r="M350" s="165">
        <f t="shared" si="58"/>
        <v>55983.000000000007</v>
      </c>
      <c r="N350" s="165">
        <f t="shared" si="58"/>
        <v>56047.000000000007</v>
      </c>
    </row>
    <row r="351" spans="1:17" s="395" customFormat="1" ht="24.75" customHeight="1">
      <c r="A351" s="150"/>
      <c r="B351" s="163" t="s">
        <v>232</v>
      </c>
      <c r="C351" s="164" t="s">
        <v>609</v>
      </c>
      <c r="D351" s="149" t="s">
        <v>246</v>
      </c>
      <c r="E351" s="149" t="s">
        <v>84</v>
      </c>
      <c r="F351" s="750" t="s">
        <v>59</v>
      </c>
      <c r="G351" s="751" t="s">
        <v>110</v>
      </c>
      <c r="H351" s="751" t="s">
        <v>63</v>
      </c>
      <c r="I351" s="752" t="s">
        <v>64</v>
      </c>
      <c r="J351" s="149"/>
      <c r="K351" s="824">
        <f>K352</f>
        <v>55983.000000000007</v>
      </c>
      <c r="L351" s="165">
        <f>L352</f>
        <v>0</v>
      </c>
      <c r="M351" s="165">
        <f>M352</f>
        <v>55983.000000000007</v>
      </c>
      <c r="N351" s="165">
        <f>N352</f>
        <v>56047.000000000007</v>
      </c>
    </row>
    <row r="352" spans="1:17" s="395" customFormat="1" ht="37.5">
      <c r="A352" s="150"/>
      <c r="B352" s="163" t="s">
        <v>316</v>
      </c>
      <c r="C352" s="164" t="s">
        <v>609</v>
      </c>
      <c r="D352" s="149" t="s">
        <v>246</v>
      </c>
      <c r="E352" s="149" t="s">
        <v>84</v>
      </c>
      <c r="F352" s="750" t="s">
        <v>59</v>
      </c>
      <c r="G352" s="751" t="s">
        <v>110</v>
      </c>
      <c r="H352" s="751" t="s">
        <v>57</v>
      </c>
      <c r="I352" s="752" t="s">
        <v>64</v>
      </c>
      <c r="J352" s="149"/>
      <c r="K352" s="824">
        <f>K353+K358+K360+K362</f>
        <v>55983.000000000007</v>
      </c>
      <c r="L352" s="165">
        <f>L353+L358+L360+L362</f>
        <v>0</v>
      </c>
      <c r="M352" s="165">
        <f>M353+M358+M360+M362</f>
        <v>55983.000000000007</v>
      </c>
      <c r="N352" s="165">
        <f>N353+N358+N360+N362</f>
        <v>56047.000000000007</v>
      </c>
    </row>
    <row r="353" spans="1:14" s="395" customFormat="1" ht="40.5" customHeight="1">
      <c r="A353" s="150"/>
      <c r="B353" s="303" t="s">
        <v>795</v>
      </c>
      <c r="C353" s="164" t="s">
        <v>609</v>
      </c>
      <c r="D353" s="149" t="s">
        <v>246</v>
      </c>
      <c r="E353" s="149" t="s">
        <v>84</v>
      </c>
      <c r="F353" s="750" t="s">
        <v>59</v>
      </c>
      <c r="G353" s="751" t="s">
        <v>110</v>
      </c>
      <c r="H353" s="751" t="s">
        <v>57</v>
      </c>
      <c r="I353" s="752" t="s">
        <v>112</v>
      </c>
      <c r="J353" s="149"/>
      <c r="K353" s="824">
        <f>K356+K354+K355+K357</f>
        <v>47871.700000000004</v>
      </c>
      <c r="L353" s="165">
        <f>L356+L354+L355+L357</f>
        <v>0</v>
      </c>
      <c r="M353" s="165">
        <f>M356+M354+M355+M357</f>
        <v>47871.700000000004</v>
      </c>
      <c r="N353" s="165">
        <f>N356+N354+N355+N357</f>
        <v>47931.8</v>
      </c>
    </row>
    <row r="354" spans="1:14" s="395" customFormat="1" ht="112.5">
      <c r="A354" s="150"/>
      <c r="B354" s="163" t="s">
        <v>69</v>
      </c>
      <c r="C354" s="164" t="s">
        <v>609</v>
      </c>
      <c r="D354" s="149" t="s">
        <v>246</v>
      </c>
      <c r="E354" s="149" t="s">
        <v>84</v>
      </c>
      <c r="F354" s="750" t="s">
        <v>59</v>
      </c>
      <c r="G354" s="751" t="s">
        <v>110</v>
      </c>
      <c r="H354" s="751" t="s">
        <v>57</v>
      </c>
      <c r="I354" s="752" t="s">
        <v>112</v>
      </c>
      <c r="J354" s="149" t="s">
        <v>70</v>
      </c>
      <c r="K354" s="824">
        <f>26463.7-7834.7</f>
        <v>18629</v>
      </c>
      <c r="L354" s="165">
        <f>M354-K354</f>
        <v>0</v>
      </c>
      <c r="M354" s="165">
        <f>26463.7-7834.7</f>
        <v>18629</v>
      </c>
      <c r="N354" s="165">
        <f>26463.7-7834.7</f>
        <v>18629</v>
      </c>
    </row>
    <row r="355" spans="1:14" s="395" customFormat="1" ht="56.25">
      <c r="A355" s="150"/>
      <c r="B355" s="163" t="s">
        <v>75</v>
      </c>
      <c r="C355" s="164" t="s">
        <v>609</v>
      </c>
      <c r="D355" s="149" t="s">
        <v>246</v>
      </c>
      <c r="E355" s="149" t="s">
        <v>84</v>
      </c>
      <c r="F355" s="750" t="s">
        <v>59</v>
      </c>
      <c r="G355" s="751" t="s">
        <v>110</v>
      </c>
      <c r="H355" s="751" t="s">
        <v>57</v>
      </c>
      <c r="I355" s="752" t="s">
        <v>112</v>
      </c>
      <c r="J355" s="149" t="s">
        <v>76</v>
      </c>
      <c r="K355" s="824">
        <f>1345.7-209.71305</f>
        <v>1135.98695</v>
      </c>
      <c r="L355" s="165">
        <f>M355-K355</f>
        <v>0</v>
      </c>
      <c r="M355" s="165">
        <f>1345.7-209.71305</f>
        <v>1135.98695</v>
      </c>
      <c r="N355" s="165">
        <f>1379.7-211.94364</f>
        <v>1167.7563600000001</v>
      </c>
    </row>
    <row r="356" spans="1:14" s="395" customFormat="1" ht="56.25">
      <c r="A356" s="150"/>
      <c r="B356" s="163" t="s">
        <v>97</v>
      </c>
      <c r="C356" s="164" t="s">
        <v>609</v>
      </c>
      <c r="D356" s="149" t="s">
        <v>246</v>
      </c>
      <c r="E356" s="149" t="s">
        <v>84</v>
      </c>
      <c r="F356" s="750" t="s">
        <v>59</v>
      </c>
      <c r="G356" s="751" t="s">
        <v>110</v>
      </c>
      <c r="H356" s="751" t="s">
        <v>57</v>
      </c>
      <c r="I356" s="752" t="s">
        <v>112</v>
      </c>
      <c r="J356" s="149" t="s">
        <v>98</v>
      </c>
      <c r="K356" s="824">
        <f>20006.7+8049.01605</f>
        <v>28055.716050000003</v>
      </c>
      <c r="L356" s="165">
        <f>M356-K356</f>
        <v>0</v>
      </c>
      <c r="M356" s="165">
        <f>20006.7+8049.01605</f>
        <v>28055.716050000003</v>
      </c>
      <c r="N356" s="165">
        <f>20033.4+8050.99364</f>
        <v>28084.393640000002</v>
      </c>
    </row>
    <row r="357" spans="1:14" s="395" customFormat="1" ht="18.75">
      <c r="A357" s="150"/>
      <c r="B357" s="163" t="s">
        <v>77</v>
      </c>
      <c r="C357" s="164" t="s">
        <v>609</v>
      </c>
      <c r="D357" s="149" t="s">
        <v>246</v>
      </c>
      <c r="E357" s="149" t="s">
        <v>84</v>
      </c>
      <c r="F357" s="750" t="s">
        <v>59</v>
      </c>
      <c r="G357" s="751" t="s">
        <v>110</v>
      </c>
      <c r="H357" s="751" t="s">
        <v>57</v>
      </c>
      <c r="I357" s="752" t="s">
        <v>112</v>
      </c>
      <c r="J357" s="149" t="s">
        <v>78</v>
      </c>
      <c r="K357" s="824">
        <f>55.6-4.603</f>
        <v>50.997</v>
      </c>
      <c r="L357" s="165">
        <f>M357-K357</f>
        <v>0</v>
      </c>
      <c r="M357" s="165">
        <f>55.6-4.603</f>
        <v>50.997</v>
      </c>
      <c r="N357" s="165">
        <f>55-4.35</f>
        <v>50.65</v>
      </c>
    </row>
    <row r="358" spans="1:14" s="395" customFormat="1" ht="210" customHeight="1">
      <c r="A358" s="150"/>
      <c r="B358" s="163" t="s">
        <v>694</v>
      </c>
      <c r="C358" s="164" t="s">
        <v>609</v>
      </c>
      <c r="D358" s="149" t="s">
        <v>246</v>
      </c>
      <c r="E358" s="149" t="s">
        <v>84</v>
      </c>
      <c r="F358" s="750" t="s">
        <v>59</v>
      </c>
      <c r="G358" s="751" t="s">
        <v>110</v>
      </c>
      <c r="H358" s="751" t="s">
        <v>57</v>
      </c>
      <c r="I358" s="752" t="s">
        <v>538</v>
      </c>
      <c r="J358" s="149"/>
      <c r="K358" s="824">
        <f>K359</f>
        <v>125</v>
      </c>
      <c r="L358" s="165">
        <f>L359</f>
        <v>0</v>
      </c>
      <c r="M358" s="165">
        <f>M359</f>
        <v>125</v>
      </c>
      <c r="N358" s="165">
        <f>N359</f>
        <v>125</v>
      </c>
    </row>
    <row r="359" spans="1:14" s="395" customFormat="1" ht="112.5">
      <c r="A359" s="150"/>
      <c r="B359" s="163" t="s">
        <v>69</v>
      </c>
      <c r="C359" s="164" t="s">
        <v>609</v>
      </c>
      <c r="D359" s="149" t="s">
        <v>246</v>
      </c>
      <c r="E359" s="149" t="s">
        <v>84</v>
      </c>
      <c r="F359" s="750" t="s">
        <v>59</v>
      </c>
      <c r="G359" s="751" t="s">
        <v>110</v>
      </c>
      <c r="H359" s="751" t="s">
        <v>57</v>
      </c>
      <c r="I359" s="752" t="s">
        <v>538</v>
      </c>
      <c r="J359" s="149" t="s">
        <v>70</v>
      </c>
      <c r="K359" s="824">
        <v>125</v>
      </c>
      <c r="L359" s="165">
        <f>M359-K359</f>
        <v>0</v>
      </c>
      <c r="M359" s="165">
        <v>125</v>
      </c>
      <c r="N359" s="165">
        <v>125</v>
      </c>
    </row>
    <row r="360" spans="1:14" s="395" customFormat="1" ht="183.75" customHeight="1">
      <c r="A360" s="150"/>
      <c r="B360" s="163" t="s">
        <v>308</v>
      </c>
      <c r="C360" s="164" t="s">
        <v>609</v>
      </c>
      <c r="D360" s="149" t="s">
        <v>246</v>
      </c>
      <c r="E360" s="149" t="s">
        <v>84</v>
      </c>
      <c r="F360" s="750" t="s">
        <v>59</v>
      </c>
      <c r="G360" s="751" t="s">
        <v>110</v>
      </c>
      <c r="H360" s="751" t="s">
        <v>57</v>
      </c>
      <c r="I360" s="752" t="s">
        <v>309</v>
      </c>
      <c r="J360" s="149"/>
      <c r="K360" s="824">
        <f>K361</f>
        <v>110.9</v>
      </c>
      <c r="L360" s="165">
        <f>L361</f>
        <v>0</v>
      </c>
      <c r="M360" s="165">
        <f>M361</f>
        <v>110.9</v>
      </c>
      <c r="N360" s="165">
        <f>N361</f>
        <v>114.8</v>
      </c>
    </row>
    <row r="361" spans="1:14" s="395" customFormat="1" ht="56.25">
      <c r="A361" s="150"/>
      <c r="B361" s="163" t="s">
        <v>97</v>
      </c>
      <c r="C361" s="164" t="s">
        <v>609</v>
      </c>
      <c r="D361" s="149" t="s">
        <v>246</v>
      </c>
      <c r="E361" s="149" t="s">
        <v>84</v>
      </c>
      <c r="F361" s="750" t="s">
        <v>59</v>
      </c>
      <c r="G361" s="751" t="s">
        <v>110</v>
      </c>
      <c r="H361" s="751" t="s">
        <v>57</v>
      </c>
      <c r="I361" s="752" t="s">
        <v>309</v>
      </c>
      <c r="J361" s="149" t="s">
        <v>98</v>
      </c>
      <c r="K361" s="824">
        <v>110.9</v>
      </c>
      <c r="L361" s="165">
        <f>M361-K361</f>
        <v>0</v>
      </c>
      <c r="M361" s="165">
        <v>110.9</v>
      </c>
      <c r="N361" s="165">
        <v>114.8</v>
      </c>
    </row>
    <row r="362" spans="1:14" s="395" customFormat="1" ht="115.5" customHeight="1">
      <c r="A362" s="150"/>
      <c r="B362" s="163" t="s">
        <v>415</v>
      </c>
      <c r="C362" s="164" t="s">
        <v>609</v>
      </c>
      <c r="D362" s="149" t="s">
        <v>246</v>
      </c>
      <c r="E362" s="149" t="s">
        <v>84</v>
      </c>
      <c r="F362" s="750" t="s">
        <v>59</v>
      </c>
      <c r="G362" s="751" t="s">
        <v>110</v>
      </c>
      <c r="H362" s="751" t="s">
        <v>57</v>
      </c>
      <c r="I362" s="752" t="s">
        <v>310</v>
      </c>
      <c r="J362" s="149"/>
      <c r="K362" s="824">
        <f>K363</f>
        <v>7875.4</v>
      </c>
      <c r="L362" s="165">
        <f>L363</f>
        <v>0</v>
      </c>
      <c r="M362" s="165">
        <f>M363</f>
        <v>7875.4</v>
      </c>
      <c r="N362" s="165">
        <f>N363</f>
        <v>7875.4</v>
      </c>
    </row>
    <row r="363" spans="1:14" s="395" customFormat="1" ht="56.25">
      <c r="A363" s="150"/>
      <c r="B363" s="163" t="s">
        <v>97</v>
      </c>
      <c r="C363" s="164" t="s">
        <v>609</v>
      </c>
      <c r="D363" s="149" t="s">
        <v>246</v>
      </c>
      <c r="E363" s="149" t="s">
        <v>84</v>
      </c>
      <c r="F363" s="750" t="s">
        <v>59</v>
      </c>
      <c r="G363" s="751" t="s">
        <v>110</v>
      </c>
      <c r="H363" s="751" t="s">
        <v>57</v>
      </c>
      <c r="I363" s="752" t="s">
        <v>310</v>
      </c>
      <c r="J363" s="149" t="s">
        <v>98</v>
      </c>
      <c r="K363" s="824">
        <v>7875.4</v>
      </c>
      <c r="L363" s="165">
        <f>M363-K363</f>
        <v>0</v>
      </c>
      <c r="M363" s="165">
        <v>7875.4</v>
      </c>
      <c r="N363" s="165">
        <v>7875.4</v>
      </c>
    </row>
    <row r="364" spans="1:14" s="395" customFormat="1" ht="55.5" customHeight="1">
      <c r="A364" s="150"/>
      <c r="B364" s="163" t="s">
        <v>101</v>
      </c>
      <c r="C364" s="164" t="s">
        <v>609</v>
      </c>
      <c r="D364" s="149" t="s">
        <v>246</v>
      </c>
      <c r="E364" s="149" t="s">
        <v>84</v>
      </c>
      <c r="F364" s="750" t="s">
        <v>102</v>
      </c>
      <c r="G364" s="751" t="s">
        <v>62</v>
      </c>
      <c r="H364" s="751" t="s">
        <v>63</v>
      </c>
      <c r="I364" s="752" t="s">
        <v>64</v>
      </c>
      <c r="J364" s="149"/>
      <c r="K364" s="824">
        <f t="shared" ref="K364:M366" si="59">K365</f>
        <v>0</v>
      </c>
      <c r="L364" s="165">
        <f t="shared" si="59"/>
        <v>0</v>
      </c>
      <c r="M364" s="165">
        <f t="shared" si="59"/>
        <v>0</v>
      </c>
      <c r="N364" s="165">
        <f t="shared" ref="N364:N366" si="60">N365</f>
        <v>571.6</v>
      </c>
    </row>
    <row r="365" spans="1:14" s="395" customFormat="1" ht="37.5">
      <c r="A365" s="150"/>
      <c r="B365" s="163" t="s">
        <v>146</v>
      </c>
      <c r="C365" s="164" t="s">
        <v>609</v>
      </c>
      <c r="D365" s="149" t="s">
        <v>246</v>
      </c>
      <c r="E365" s="149" t="s">
        <v>84</v>
      </c>
      <c r="F365" s="750" t="s">
        <v>102</v>
      </c>
      <c r="G365" s="751" t="s">
        <v>110</v>
      </c>
      <c r="H365" s="751" t="s">
        <v>63</v>
      </c>
      <c r="I365" s="752" t="s">
        <v>64</v>
      </c>
      <c r="J365" s="149"/>
      <c r="K365" s="824">
        <f t="shared" si="59"/>
        <v>0</v>
      </c>
      <c r="L365" s="165">
        <f t="shared" si="59"/>
        <v>0</v>
      </c>
      <c r="M365" s="165">
        <f t="shared" si="59"/>
        <v>0</v>
      </c>
      <c r="N365" s="165">
        <f t="shared" si="60"/>
        <v>571.6</v>
      </c>
    </row>
    <row r="366" spans="1:14" s="395" customFormat="1" ht="38.25" customHeight="1">
      <c r="A366" s="150"/>
      <c r="B366" s="163" t="s">
        <v>311</v>
      </c>
      <c r="C366" s="164" t="s">
        <v>609</v>
      </c>
      <c r="D366" s="149" t="s">
        <v>246</v>
      </c>
      <c r="E366" s="149" t="s">
        <v>84</v>
      </c>
      <c r="F366" s="750" t="s">
        <v>102</v>
      </c>
      <c r="G366" s="751" t="s">
        <v>110</v>
      </c>
      <c r="H366" s="751" t="s">
        <v>57</v>
      </c>
      <c r="I366" s="752" t="s">
        <v>64</v>
      </c>
      <c r="J366" s="149"/>
      <c r="K366" s="824">
        <f t="shared" si="59"/>
        <v>0</v>
      </c>
      <c r="L366" s="165">
        <f t="shared" si="59"/>
        <v>0</v>
      </c>
      <c r="M366" s="165">
        <f t="shared" si="59"/>
        <v>0</v>
      </c>
      <c r="N366" s="165">
        <f t="shared" si="60"/>
        <v>571.6</v>
      </c>
    </row>
    <row r="367" spans="1:14" s="395" customFormat="1" ht="18.75">
      <c r="A367" s="150"/>
      <c r="B367" s="163" t="s">
        <v>684</v>
      </c>
      <c r="C367" s="164" t="s">
        <v>609</v>
      </c>
      <c r="D367" s="149" t="s">
        <v>246</v>
      </c>
      <c r="E367" s="149" t="s">
        <v>84</v>
      </c>
      <c r="F367" s="750" t="s">
        <v>102</v>
      </c>
      <c r="G367" s="751" t="s">
        <v>110</v>
      </c>
      <c r="H367" s="751" t="s">
        <v>57</v>
      </c>
      <c r="I367" s="752" t="s">
        <v>685</v>
      </c>
      <c r="J367" s="149"/>
      <c r="K367" s="824">
        <f>K368</f>
        <v>0</v>
      </c>
      <c r="L367" s="165">
        <f>L368</f>
        <v>0</v>
      </c>
      <c r="M367" s="165">
        <f>M368</f>
        <v>0</v>
      </c>
      <c r="N367" s="165">
        <f>N368</f>
        <v>571.6</v>
      </c>
    </row>
    <row r="368" spans="1:14" s="395" customFormat="1" ht="56.25">
      <c r="A368" s="150"/>
      <c r="B368" s="163" t="s">
        <v>75</v>
      </c>
      <c r="C368" s="164" t="s">
        <v>609</v>
      </c>
      <c r="D368" s="149" t="s">
        <v>246</v>
      </c>
      <c r="E368" s="149" t="s">
        <v>84</v>
      </c>
      <c r="F368" s="750" t="s">
        <v>102</v>
      </c>
      <c r="G368" s="751" t="s">
        <v>110</v>
      </c>
      <c r="H368" s="751" t="s">
        <v>57</v>
      </c>
      <c r="I368" s="752" t="s">
        <v>685</v>
      </c>
      <c r="J368" s="149" t="s">
        <v>76</v>
      </c>
      <c r="K368" s="824">
        <v>0</v>
      </c>
      <c r="L368" s="165">
        <f>M368-K368</f>
        <v>0</v>
      </c>
      <c r="M368" s="165">
        <v>0</v>
      </c>
      <c r="N368" s="165">
        <v>571.6</v>
      </c>
    </row>
    <row r="369" spans="1:14" s="526" customFormat="1" ht="18.75">
      <c r="A369" s="525"/>
      <c r="B369" s="163" t="s">
        <v>425</v>
      </c>
      <c r="C369" s="164" t="s">
        <v>609</v>
      </c>
      <c r="D369" s="149" t="s">
        <v>246</v>
      </c>
      <c r="E369" s="149" t="s">
        <v>246</v>
      </c>
      <c r="F369" s="750"/>
      <c r="G369" s="751"/>
      <c r="H369" s="751"/>
      <c r="I369" s="752"/>
      <c r="J369" s="149"/>
      <c r="K369" s="824">
        <f t="shared" ref="K369:N369" si="61">K370</f>
        <v>6749.9</v>
      </c>
      <c r="L369" s="165">
        <f t="shared" si="61"/>
        <v>0</v>
      </c>
      <c r="M369" s="165">
        <f t="shared" si="61"/>
        <v>6749.9</v>
      </c>
      <c r="N369" s="165">
        <f t="shared" si="61"/>
        <v>6749.9</v>
      </c>
    </row>
    <row r="370" spans="1:14" s="526" customFormat="1" ht="56.25">
      <c r="A370" s="525"/>
      <c r="B370" s="163" t="s">
        <v>227</v>
      </c>
      <c r="C370" s="164" t="s">
        <v>609</v>
      </c>
      <c r="D370" s="149" t="s">
        <v>246</v>
      </c>
      <c r="E370" s="149" t="s">
        <v>246</v>
      </c>
      <c r="F370" s="750" t="s">
        <v>59</v>
      </c>
      <c r="G370" s="751" t="s">
        <v>62</v>
      </c>
      <c r="H370" s="751" t="s">
        <v>63</v>
      </c>
      <c r="I370" s="752" t="s">
        <v>64</v>
      </c>
      <c r="J370" s="149"/>
      <c r="K370" s="824">
        <f t="shared" ref="K370:N371" si="62">K371</f>
        <v>6749.9</v>
      </c>
      <c r="L370" s="165">
        <f t="shared" si="62"/>
        <v>0</v>
      </c>
      <c r="M370" s="165">
        <f t="shared" si="62"/>
        <v>6749.9</v>
      </c>
      <c r="N370" s="165">
        <f t="shared" si="62"/>
        <v>6749.9</v>
      </c>
    </row>
    <row r="371" spans="1:14" s="526" customFormat="1" ht="56.25">
      <c r="A371" s="525"/>
      <c r="B371" s="163" t="s">
        <v>234</v>
      </c>
      <c r="C371" s="164" t="s">
        <v>609</v>
      </c>
      <c r="D371" s="149" t="s">
        <v>246</v>
      </c>
      <c r="E371" s="149" t="s">
        <v>246</v>
      </c>
      <c r="F371" s="750" t="s">
        <v>59</v>
      </c>
      <c r="G371" s="751" t="s">
        <v>50</v>
      </c>
      <c r="H371" s="751" t="s">
        <v>63</v>
      </c>
      <c r="I371" s="752" t="s">
        <v>64</v>
      </c>
      <c r="J371" s="149"/>
      <c r="K371" s="824">
        <f t="shared" si="62"/>
        <v>6749.9</v>
      </c>
      <c r="L371" s="165">
        <f t="shared" si="62"/>
        <v>0</v>
      </c>
      <c r="M371" s="165">
        <f t="shared" si="62"/>
        <v>6749.9</v>
      </c>
      <c r="N371" s="165">
        <f t="shared" si="62"/>
        <v>6749.9</v>
      </c>
    </row>
    <row r="372" spans="1:14" s="526" customFormat="1" ht="56.25">
      <c r="A372" s="525"/>
      <c r="B372" s="163" t="s">
        <v>321</v>
      </c>
      <c r="C372" s="164" t="s">
        <v>609</v>
      </c>
      <c r="D372" s="149" t="s">
        <v>246</v>
      </c>
      <c r="E372" s="149" t="s">
        <v>246</v>
      </c>
      <c r="F372" s="750" t="s">
        <v>59</v>
      </c>
      <c r="G372" s="751" t="s">
        <v>50</v>
      </c>
      <c r="H372" s="751" t="s">
        <v>59</v>
      </c>
      <c r="I372" s="752" t="s">
        <v>64</v>
      </c>
      <c r="J372" s="149"/>
      <c r="K372" s="824">
        <f t="shared" ref="K372:N372" si="63">K373</f>
        <v>6749.9</v>
      </c>
      <c r="L372" s="165">
        <f t="shared" si="63"/>
        <v>0</v>
      </c>
      <c r="M372" s="165">
        <f t="shared" si="63"/>
        <v>6749.9</v>
      </c>
      <c r="N372" s="165">
        <f t="shared" si="63"/>
        <v>6749.9</v>
      </c>
    </row>
    <row r="373" spans="1:14" s="526" customFormat="1" ht="110.25" customHeight="1">
      <c r="A373" s="525"/>
      <c r="B373" s="163" t="s">
        <v>734</v>
      </c>
      <c r="C373" s="164" t="s">
        <v>609</v>
      </c>
      <c r="D373" s="149" t="s">
        <v>246</v>
      </c>
      <c r="E373" s="149" t="s">
        <v>246</v>
      </c>
      <c r="F373" s="750" t="s">
        <v>59</v>
      </c>
      <c r="G373" s="751" t="s">
        <v>50</v>
      </c>
      <c r="H373" s="751" t="s">
        <v>59</v>
      </c>
      <c r="I373" s="752" t="s">
        <v>733</v>
      </c>
      <c r="J373" s="149"/>
      <c r="K373" s="824">
        <f t="shared" ref="K373:M373" si="64">K374</f>
        <v>6749.9</v>
      </c>
      <c r="L373" s="165">
        <f t="shared" si="64"/>
        <v>0</v>
      </c>
      <c r="M373" s="165">
        <f t="shared" si="64"/>
        <v>6749.9</v>
      </c>
      <c r="N373" s="165">
        <f>N374</f>
        <v>6749.9</v>
      </c>
    </row>
    <row r="374" spans="1:14" s="526" customFormat="1" ht="56.25">
      <c r="A374" s="525"/>
      <c r="B374" s="163" t="s">
        <v>97</v>
      </c>
      <c r="C374" s="164" t="s">
        <v>609</v>
      </c>
      <c r="D374" s="149" t="s">
        <v>246</v>
      </c>
      <c r="E374" s="149" t="s">
        <v>246</v>
      </c>
      <c r="F374" s="750" t="s">
        <v>59</v>
      </c>
      <c r="G374" s="751" t="s">
        <v>50</v>
      </c>
      <c r="H374" s="751" t="s">
        <v>59</v>
      </c>
      <c r="I374" s="752" t="s">
        <v>733</v>
      </c>
      <c r="J374" s="149" t="s">
        <v>98</v>
      </c>
      <c r="K374" s="824">
        <v>6749.9</v>
      </c>
      <c r="L374" s="165">
        <f>M374-K374</f>
        <v>0</v>
      </c>
      <c r="M374" s="165">
        <v>6749.9</v>
      </c>
      <c r="N374" s="165">
        <v>6749.9</v>
      </c>
    </row>
    <row r="375" spans="1:14" s="395" customFormat="1" ht="18.75">
      <c r="A375" s="150"/>
      <c r="B375" s="163" t="s">
        <v>208</v>
      </c>
      <c r="C375" s="164" t="s">
        <v>609</v>
      </c>
      <c r="D375" s="149" t="s">
        <v>246</v>
      </c>
      <c r="E375" s="149" t="s">
        <v>100</v>
      </c>
      <c r="F375" s="750"/>
      <c r="G375" s="751"/>
      <c r="H375" s="751"/>
      <c r="I375" s="752"/>
      <c r="J375" s="149"/>
      <c r="K375" s="824">
        <f>K376</f>
        <v>62050.2</v>
      </c>
      <c r="L375" s="165">
        <f>L376</f>
        <v>0</v>
      </c>
      <c r="M375" s="165">
        <f>M376</f>
        <v>62050.2</v>
      </c>
      <c r="N375" s="165">
        <f>N376</f>
        <v>62084.200000000004</v>
      </c>
    </row>
    <row r="376" spans="1:14" s="395" customFormat="1" ht="56.25">
      <c r="A376" s="150"/>
      <c r="B376" s="163" t="s">
        <v>227</v>
      </c>
      <c r="C376" s="164" t="s">
        <v>609</v>
      </c>
      <c r="D376" s="149" t="s">
        <v>246</v>
      </c>
      <c r="E376" s="149" t="s">
        <v>100</v>
      </c>
      <c r="F376" s="750" t="s">
        <v>59</v>
      </c>
      <c r="G376" s="751" t="s">
        <v>62</v>
      </c>
      <c r="H376" s="751" t="s">
        <v>63</v>
      </c>
      <c r="I376" s="752" t="s">
        <v>64</v>
      </c>
      <c r="J376" s="149"/>
      <c r="K376" s="824">
        <f t="shared" ref="K376:N377" si="65">K377</f>
        <v>62050.2</v>
      </c>
      <c r="L376" s="165">
        <f t="shared" si="65"/>
        <v>0</v>
      </c>
      <c r="M376" s="165">
        <f t="shared" si="65"/>
        <v>62050.2</v>
      </c>
      <c r="N376" s="165">
        <f t="shared" si="65"/>
        <v>62084.200000000004</v>
      </c>
    </row>
    <row r="377" spans="1:14" s="395" customFormat="1" ht="56.25">
      <c r="A377" s="150"/>
      <c r="B377" s="163" t="s">
        <v>234</v>
      </c>
      <c r="C377" s="164" t="s">
        <v>609</v>
      </c>
      <c r="D377" s="149" t="s">
        <v>246</v>
      </c>
      <c r="E377" s="149" t="s">
        <v>100</v>
      </c>
      <c r="F377" s="750" t="s">
        <v>59</v>
      </c>
      <c r="G377" s="751" t="s">
        <v>50</v>
      </c>
      <c r="H377" s="751" t="s">
        <v>63</v>
      </c>
      <c r="I377" s="752" t="s">
        <v>64</v>
      </c>
      <c r="J377" s="149"/>
      <c r="K377" s="824">
        <f t="shared" si="65"/>
        <v>62050.2</v>
      </c>
      <c r="L377" s="165">
        <f t="shared" si="65"/>
        <v>0</v>
      </c>
      <c r="M377" s="165">
        <f t="shared" si="65"/>
        <v>62050.2</v>
      </c>
      <c r="N377" s="165">
        <f t="shared" si="65"/>
        <v>62084.200000000004</v>
      </c>
    </row>
    <row r="378" spans="1:14" s="395" customFormat="1" ht="37.5">
      <c r="A378" s="150"/>
      <c r="B378" s="163" t="s">
        <v>322</v>
      </c>
      <c r="C378" s="164" t="s">
        <v>609</v>
      </c>
      <c r="D378" s="149" t="s">
        <v>246</v>
      </c>
      <c r="E378" s="149" t="s">
        <v>100</v>
      </c>
      <c r="F378" s="750" t="s">
        <v>59</v>
      </c>
      <c r="G378" s="751" t="s">
        <v>50</v>
      </c>
      <c r="H378" s="751" t="s">
        <v>57</v>
      </c>
      <c r="I378" s="752" t="s">
        <v>64</v>
      </c>
      <c r="J378" s="149"/>
      <c r="K378" s="824">
        <f>K379+K383+K388</f>
        <v>62050.2</v>
      </c>
      <c r="L378" s="165">
        <f>L379+L383+L388</f>
        <v>0</v>
      </c>
      <c r="M378" s="165">
        <f>M379+M383+M388</f>
        <v>62050.2</v>
      </c>
      <c r="N378" s="165">
        <f>N379+N383+N388</f>
        <v>62084.200000000004</v>
      </c>
    </row>
    <row r="379" spans="1:14" s="395" customFormat="1" ht="37.5">
      <c r="A379" s="150"/>
      <c r="B379" s="163" t="s">
        <v>67</v>
      </c>
      <c r="C379" s="164" t="s">
        <v>609</v>
      </c>
      <c r="D379" s="149" t="s">
        <v>246</v>
      </c>
      <c r="E379" s="149" t="s">
        <v>100</v>
      </c>
      <c r="F379" s="750" t="s">
        <v>59</v>
      </c>
      <c r="G379" s="751" t="s">
        <v>50</v>
      </c>
      <c r="H379" s="751" t="s">
        <v>57</v>
      </c>
      <c r="I379" s="752" t="s">
        <v>68</v>
      </c>
      <c r="J379" s="149"/>
      <c r="K379" s="824">
        <f>K380+K381+K382</f>
        <v>10391.199999999999</v>
      </c>
      <c r="L379" s="165">
        <f>L380+L381+L382</f>
        <v>0</v>
      </c>
      <c r="M379" s="165">
        <f>M380+M381+M382</f>
        <v>10391.199999999999</v>
      </c>
      <c r="N379" s="165">
        <f>N380+N381+N382</f>
        <v>10396.800000000001</v>
      </c>
    </row>
    <row r="380" spans="1:14" s="395" customFormat="1" ht="112.5">
      <c r="A380" s="150"/>
      <c r="B380" s="163" t="s">
        <v>69</v>
      </c>
      <c r="C380" s="164" t="s">
        <v>609</v>
      </c>
      <c r="D380" s="149" t="s">
        <v>246</v>
      </c>
      <c r="E380" s="149" t="s">
        <v>100</v>
      </c>
      <c r="F380" s="750" t="s">
        <v>59</v>
      </c>
      <c r="G380" s="751" t="s">
        <v>50</v>
      </c>
      <c r="H380" s="751" t="s">
        <v>57</v>
      </c>
      <c r="I380" s="752" t="s">
        <v>68</v>
      </c>
      <c r="J380" s="149" t="s">
        <v>70</v>
      </c>
      <c r="K380" s="824">
        <v>9265.9</v>
      </c>
      <c r="L380" s="165">
        <f>M380-K380</f>
        <v>0</v>
      </c>
      <c r="M380" s="165">
        <v>9265.9</v>
      </c>
      <c r="N380" s="165">
        <v>9265.9</v>
      </c>
    </row>
    <row r="381" spans="1:14" s="395" customFormat="1" ht="56.25">
      <c r="A381" s="150"/>
      <c r="B381" s="163" t="s">
        <v>75</v>
      </c>
      <c r="C381" s="164" t="s">
        <v>609</v>
      </c>
      <c r="D381" s="149" t="s">
        <v>246</v>
      </c>
      <c r="E381" s="149" t="s">
        <v>100</v>
      </c>
      <c r="F381" s="750" t="s">
        <v>59</v>
      </c>
      <c r="G381" s="751" t="s">
        <v>50</v>
      </c>
      <c r="H381" s="751" t="s">
        <v>57</v>
      </c>
      <c r="I381" s="752" t="s">
        <v>68</v>
      </c>
      <c r="J381" s="149" t="s">
        <v>76</v>
      </c>
      <c r="K381" s="824">
        <v>1110.5</v>
      </c>
      <c r="L381" s="165">
        <f>M381-K381</f>
        <v>0</v>
      </c>
      <c r="M381" s="165">
        <v>1110.5</v>
      </c>
      <c r="N381" s="165">
        <v>1116.2</v>
      </c>
    </row>
    <row r="382" spans="1:14" s="395" customFormat="1" ht="18.75">
      <c r="A382" s="150"/>
      <c r="B382" s="163" t="s">
        <v>77</v>
      </c>
      <c r="C382" s="164" t="s">
        <v>609</v>
      </c>
      <c r="D382" s="149" t="s">
        <v>246</v>
      </c>
      <c r="E382" s="149" t="s">
        <v>100</v>
      </c>
      <c r="F382" s="750" t="s">
        <v>59</v>
      </c>
      <c r="G382" s="751" t="s">
        <v>50</v>
      </c>
      <c r="H382" s="751" t="s">
        <v>57</v>
      </c>
      <c r="I382" s="752" t="s">
        <v>68</v>
      </c>
      <c r="J382" s="149" t="s">
        <v>78</v>
      </c>
      <c r="K382" s="824">
        <v>14.8</v>
      </c>
      <c r="L382" s="165">
        <f>M382-K382</f>
        <v>0</v>
      </c>
      <c r="M382" s="165">
        <v>14.8</v>
      </c>
      <c r="N382" s="165">
        <v>14.7</v>
      </c>
    </row>
    <row r="383" spans="1:14" s="395" customFormat="1" ht="44.25" customHeight="1">
      <c r="A383" s="150"/>
      <c r="B383" s="303" t="s">
        <v>795</v>
      </c>
      <c r="C383" s="164" t="s">
        <v>609</v>
      </c>
      <c r="D383" s="149" t="s">
        <v>246</v>
      </c>
      <c r="E383" s="149" t="s">
        <v>100</v>
      </c>
      <c r="F383" s="750" t="s">
        <v>59</v>
      </c>
      <c r="G383" s="751" t="s">
        <v>50</v>
      </c>
      <c r="H383" s="751" t="s">
        <v>57</v>
      </c>
      <c r="I383" s="752" t="s">
        <v>112</v>
      </c>
      <c r="J383" s="149"/>
      <c r="K383" s="824">
        <f>K384+K385+K387+K386</f>
        <v>45469.1</v>
      </c>
      <c r="L383" s="165">
        <f>L384+L385+L387+L386</f>
        <v>0</v>
      </c>
      <c r="M383" s="165">
        <f>M384+M385+M387+M386</f>
        <v>45469.1</v>
      </c>
      <c r="N383" s="165">
        <f>N384+N385+N387+N386</f>
        <v>45497.5</v>
      </c>
    </row>
    <row r="384" spans="1:14" s="395" customFormat="1" ht="112.5">
      <c r="A384" s="150"/>
      <c r="B384" s="163" t="s">
        <v>69</v>
      </c>
      <c r="C384" s="164" t="s">
        <v>609</v>
      </c>
      <c r="D384" s="149" t="s">
        <v>246</v>
      </c>
      <c r="E384" s="149" t="s">
        <v>100</v>
      </c>
      <c r="F384" s="750" t="s">
        <v>59</v>
      </c>
      <c r="G384" s="751" t="s">
        <v>50</v>
      </c>
      <c r="H384" s="751" t="s">
        <v>57</v>
      </c>
      <c r="I384" s="752" t="s">
        <v>112</v>
      </c>
      <c r="J384" s="149" t="s">
        <v>70</v>
      </c>
      <c r="K384" s="824">
        <v>26953.7</v>
      </c>
      <c r="L384" s="165">
        <f>M384-K384</f>
        <v>0</v>
      </c>
      <c r="M384" s="165">
        <v>26953.7</v>
      </c>
      <c r="N384" s="165">
        <f>M384</f>
        <v>26953.7</v>
      </c>
    </row>
    <row r="385" spans="1:14" s="395" customFormat="1" ht="56.25">
      <c r="A385" s="150"/>
      <c r="B385" s="163" t="s">
        <v>75</v>
      </c>
      <c r="C385" s="164" t="s">
        <v>609</v>
      </c>
      <c r="D385" s="149" t="s">
        <v>246</v>
      </c>
      <c r="E385" s="149" t="s">
        <v>100</v>
      </c>
      <c r="F385" s="750" t="s">
        <v>59</v>
      </c>
      <c r="G385" s="751" t="s">
        <v>50</v>
      </c>
      <c r="H385" s="751" t="s">
        <v>57</v>
      </c>
      <c r="I385" s="752" t="s">
        <v>112</v>
      </c>
      <c r="J385" s="149" t="s">
        <v>76</v>
      </c>
      <c r="K385" s="824">
        <v>2453.8000000000002</v>
      </c>
      <c r="L385" s="165">
        <f>M385-K385</f>
        <v>0</v>
      </c>
      <c r="M385" s="165">
        <v>2453.8000000000002</v>
      </c>
      <c r="N385" s="165">
        <v>2482.5</v>
      </c>
    </row>
    <row r="386" spans="1:14" s="395" customFormat="1" ht="56.25">
      <c r="A386" s="150"/>
      <c r="B386" s="163" t="s">
        <v>97</v>
      </c>
      <c r="C386" s="164" t="s">
        <v>609</v>
      </c>
      <c r="D386" s="149" t="s">
        <v>246</v>
      </c>
      <c r="E386" s="149" t="s">
        <v>100</v>
      </c>
      <c r="F386" s="750" t="s">
        <v>59</v>
      </c>
      <c r="G386" s="751" t="s">
        <v>50</v>
      </c>
      <c r="H386" s="751" t="s">
        <v>57</v>
      </c>
      <c r="I386" s="752" t="s">
        <v>112</v>
      </c>
      <c r="J386" s="149" t="s">
        <v>98</v>
      </c>
      <c r="K386" s="824">
        <v>16053.8</v>
      </c>
      <c r="L386" s="165">
        <f>M386-K386</f>
        <v>0</v>
      </c>
      <c r="M386" s="165">
        <v>16053.8</v>
      </c>
      <c r="N386" s="165">
        <v>16053.8</v>
      </c>
    </row>
    <row r="387" spans="1:14" s="395" customFormat="1" ht="18.75">
      <c r="A387" s="150"/>
      <c r="B387" s="163" t="s">
        <v>77</v>
      </c>
      <c r="C387" s="164" t="s">
        <v>609</v>
      </c>
      <c r="D387" s="149" t="s">
        <v>246</v>
      </c>
      <c r="E387" s="149" t="s">
        <v>100</v>
      </c>
      <c r="F387" s="750" t="s">
        <v>59</v>
      </c>
      <c r="G387" s="751" t="s">
        <v>50</v>
      </c>
      <c r="H387" s="751" t="s">
        <v>57</v>
      </c>
      <c r="I387" s="752" t="s">
        <v>112</v>
      </c>
      <c r="J387" s="149" t="s">
        <v>78</v>
      </c>
      <c r="K387" s="824">
        <v>7.8</v>
      </c>
      <c r="L387" s="165">
        <f>M387-K387</f>
        <v>0</v>
      </c>
      <c r="M387" s="165">
        <v>7.8</v>
      </c>
      <c r="N387" s="165">
        <v>7.5</v>
      </c>
    </row>
    <row r="388" spans="1:14" s="395" customFormat="1" ht="114" customHeight="1">
      <c r="A388" s="150"/>
      <c r="B388" s="163" t="s">
        <v>415</v>
      </c>
      <c r="C388" s="164" t="s">
        <v>609</v>
      </c>
      <c r="D388" s="149" t="s">
        <v>246</v>
      </c>
      <c r="E388" s="149" t="s">
        <v>100</v>
      </c>
      <c r="F388" s="750" t="s">
        <v>59</v>
      </c>
      <c r="G388" s="751" t="s">
        <v>50</v>
      </c>
      <c r="H388" s="751" t="s">
        <v>57</v>
      </c>
      <c r="I388" s="752" t="s">
        <v>310</v>
      </c>
      <c r="J388" s="149"/>
      <c r="K388" s="824">
        <f>K389+K390</f>
        <v>6189.9</v>
      </c>
      <c r="L388" s="165">
        <f>L389+L390</f>
        <v>0</v>
      </c>
      <c r="M388" s="165">
        <f>M389+M390</f>
        <v>6189.9</v>
      </c>
      <c r="N388" s="165">
        <f>N389+N390</f>
        <v>6189.9</v>
      </c>
    </row>
    <row r="389" spans="1:14" s="395" customFormat="1" ht="112.5">
      <c r="A389" s="150"/>
      <c r="B389" s="163" t="s">
        <v>69</v>
      </c>
      <c r="C389" s="164" t="s">
        <v>609</v>
      </c>
      <c r="D389" s="149" t="s">
        <v>246</v>
      </c>
      <c r="E389" s="149" t="s">
        <v>100</v>
      </c>
      <c r="F389" s="750" t="s">
        <v>59</v>
      </c>
      <c r="G389" s="751" t="s">
        <v>50</v>
      </c>
      <c r="H389" s="751" t="s">
        <v>57</v>
      </c>
      <c r="I389" s="752" t="s">
        <v>310</v>
      </c>
      <c r="J389" s="149" t="s">
        <v>70</v>
      </c>
      <c r="K389" s="824">
        <v>5863.4</v>
      </c>
      <c r="L389" s="165">
        <f>M389-K389</f>
        <v>0</v>
      </c>
      <c r="M389" s="165">
        <v>5863.4</v>
      </c>
      <c r="N389" s="165">
        <v>5863.4</v>
      </c>
    </row>
    <row r="390" spans="1:14" s="395" customFormat="1" ht="56.25">
      <c r="A390" s="150"/>
      <c r="B390" s="163" t="s">
        <v>75</v>
      </c>
      <c r="C390" s="164" t="s">
        <v>609</v>
      </c>
      <c r="D390" s="149" t="s">
        <v>246</v>
      </c>
      <c r="E390" s="149" t="s">
        <v>100</v>
      </c>
      <c r="F390" s="750" t="s">
        <v>59</v>
      </c>
      <c r="G390" s="751" t="s">
        <v>50</v>
      </c>
      <c r="H390" s="751" t="s">
        <v>57</v>
      </c>
      <c r="I390" s="752" t="s">
        <v>310</v>
      </c>
      <c r="J390" s="149" t="s">
        <v>76</v>
      </c>
      <c r="K390" s="824">
        <v>326.5</v>
      </c>
      <c r="L390" s="165">
        <f>M390-K390</f>
        <v>0</v>
      </c>
      <c r="M390" s="165">
        <v>326.5</v>
      </c>
      <c r="N390" s="165">
        <v>326.5</v>
      </c>
    </row>
    <row r="391" spans="1:14" s="395" customFormat="1" ht="18.75">
      <c r="A391" s="150"/>
      <c r="B391" s="168" t="s">
        <v>140</v>
      </c>
      <c r="C391" s="164" t="s">
        <v>609</v>
      </c>
      <c r="D391" s="149" t="s">
        <v>125</v>
      </c>
      <c r="E391" s="149"/>
      <c r="F391" s="750"/>
      <c r="G391" s="751"/>
      <c r="H391" s="751"/>
      <c r="I391" s="752"/>
      <c r="J391" s="149"/>
      <c r="K391" s="824">
        <f t="shared" ref="K391:N392" si="66">K392</f>
        <v>8034.2</v>
      </c>
      <c r="L391" s="165">
        <f t="shared" si="66"/>
        <v>0</v>
      </c>
      <c r="M391" s="165">
        <f t="shared" si="66"/>
        <v>8034.2</v>
      </c>
      <c r="N391" s="165">
        <f t="shared" si="66"/>
        <v>8034.2</v>
      </c>
    </row>
    <row r="392" spans="1:14" s="395" customFormat="1" ht="18.75">
      <c r="A392" s="150"/>
      <c r="B392" s="168" t="s">
        <v>215</v>
      </c>
      <c r="C392" s="164" t="s">
        <v>609</v>
      </c>
      <c r="D392" s="149" t="s">
        <v>125</v>
      </c>
      <c r="E392" s="149" t="s">
        <v>72</v>
      </c>
      <c r="F392" s="750"/>
      <c r="G392" s="751"/>
      <c r="H392" s="751"/>
      <c r="I392" s="752"/>
      <c r="J392" s="149"/>
      <c r="K392" s="824">
        <f t="shared" si="66"/>
        <v>8034.2</v>
      </c>
      <c r="L392" s="165">
        <f t="shared" si="66"/>
        <v>0</v>
      </c>
      <c r="M392" s="165">
        <f t="shared" si="66"/>
        <v>8034.2</v>
      </c>
      <c r="N392" s="165">
        <f t="shared" si="66"/>
        <v>8034.2</v>
      </c>
    </row>
    <row r="393" spans="1:14" s="395" customFormat="1" ht="56.25">
      <c r="A393" s="150"/>
      <c r="B393" s="163" t="s">
        <v>227</v>
      </c>
      <c r="C393" s="164" t="s">
        <v>609</v>
      </c>
      <c r="D393" s="149" t="s">
        <v>125</v>
      </c>
      <c r="E393" s="149" t="s">
        <v>72</v>
      </c>
      <c r="F393" s="750" t="s">
        <v>59</v>
      </c>
      <c r="G393" s="751" t="s">
        <v>62</v>
      </c>
      <c r="H393" s="751" t="s">
        <v>63</v>
      </c>
      <c r="I393" s="752" t="s">
        <v>64</v>
      </c>
      <c r="J393" s="149"/>
      <c r="K393" s="824">
        <f t="shared" ref="K393:N395" si="67">K394</f>
        <v>8034.2</v>
      </c>
      <c r="L393" s="165">
        <f t="shared" si="67"/>
        <v>0</v>
      </c>
      <c r="M393" s="165">
        <f t="shared" si="67"/>
        <v>8034.2</v>
      </c>
      <c r="N393" s="165">
        <f t="shared" si="67"/>
        <v>8034.2</v>
      </c>
    </row>
    <row r="394" spans="1:14" s="395" customFormat="1" ht="37.5">
      <c r="A394" s="150"/>
      <c r="B394" s="163" t="s">
        <v>228</v>
      </c>
      <c r="C394" s="164" t="s">
        <v>609</v>
      </c>
      <c r="D394" s="149" t="s">
        <v>125</v>
      </c>
      <c r="E394" s="149" t="s">
        <v>72</v>
      </c>
      <c r="F394" s="750" t="s">
        <v>59</v>
      </c>
      <c r="G394" s="751" t="s">
        <v>65</v>
      </c>
      <c r="H394" s="751" t="s">
        <v>63</v>
      </c>
      <c r="I394" s="752" t="s">
        <v>64</v>
      </c>
      <c r="J394" s="149"/>
      <c r="K394" s="824">
        <f t="shared" si="67"/>
        <v>8034.2</v>
      </c>
      <c r="L394" s="165">
        <f t="shared" si="67"/>
        <v>0</v>
      </c>
      <c r="M394" s="165">
        <f t="shared" si="67"/>
        <v>8034.2</v>
      </c>
      <c r="N394" s="165">
        <f t="shared" si="67"/>
        <v>8034.2</v>
      </c>
    </row>
    <row r="395" spans="1:14" s="395" customFormat="1" ht="37.5">
      <c r="A395" s="150"/>
      <c r="B395" s="163" t="s">
        <v>307</v>
      </c>
      <c r="C395" s="164" t="s">
        <v>609</v>
      </c>
      <c r="D395" s="149" t="s">
        <v>125</v>
      </c>
      <c r="E395" s="149" t="s">
        <v>72</v>
      </c>
      <c r="F395" s="750" t="s">
        <v>59</v>
      </c>
      <c r="G395" s="751" t="s">
        <v>65</v>
      </c>
      <c r="H395" s="751" t="s">
        <v>57</v>
      </c>
      <c r="I395" s="752" t="s">
        <v>64</v>
      </c>
      <c r="J395" s="149"/>
      <c r="K395" s="824">
        <f t="shared" si="67"/>
        <v>8034.2</v>
      </c>
      <c r="L395" s="165">
        <f t="shared" si="67"/>
        <v>0</v>
      </c>
      <c r="M395" s="165">
        <f t="shared" si="67"/>
        <v>8034.2</v>
      </c>
      <c r="N395" s="165">
        <f t="shared" si="67"/>
        <v>8034.2</v>
      </c>
    </row>
    <row r="396" spans="1:14" s="395" customFormat="1" ht="133.5" customHeight="1">
      <c r="A396" s="150"/>
      <c r="B396" s="163" t="s">
        <v>323</v>
      </c>
      <c r="C396" s="164" t="s">
        <v>609</v>
      </c>
      <c r="D396" s="149" t="s">
        <v>125</v>
      </c>
      <c r="E396" s="149" t="s">
        <v>72</v>
      </c>
      <c r="F396" s="750" t="s">
        <v>59</v>
      </c>
      <c r="G396" s="751" t="s">
        <v>65</v>
      </c>
      <c r="H396" s="751" t="s">
        <v>57</v>
      </c>
      <c r="I396" s="752" t="s">
        <v>324</v>
      </c>
      <c r="J396" s="149"/>
      <c r="K396" s="824">
        <f>K397+K398</f>
        <v>8034.2</v>
      </c>
      <c r="L396" s="165">
        <f>L397+L398</f>
        <v>0</v>
      </c>
      <c r="M396" s="165">
        <f>M397+M398</f>
        <v>8034.2</v>
      </c>
      <c r="N396" s="165">
        <f>N397+N398</f>
        <v>8034.2</v>
      </c>
    </row>
    <row r="397" spans="1:14" s="395" customFormat="1" ht="56.25">
      <c r="A397" s="150"/>
      <c r="B397" s="163" t="s">
        <v>75</v>
      </c>
      <c r="C397" s="164" t="s">
        <v>609</v>
      </c>
      <c r="D397" s="149" t="s">
        <v>125</v>
      </c>
      <c r="E397" s="149" t="s">
        <v>72</v>
      </c>
      <c r="F397" s="750" t="s">
        <v>59</v>
      </c>
      <c r="G397" s="751" t="s">
        <v>65</v>
      </c>
      <c r="H397" s="751" t="s">
        <v>57</v>
      </c>
      <c r="I397" s="752" t="s">
        <v>324</v>
      </c>
      <c r="J397" s="149" t="s">
        <v>76</v>
      </c>
      <c r="K397" s="824">
        <v>118.7</v>
      </c>
      <c r="L397" s="165">
        <f>M397-K397</f>
        <v>0</v>
      </c>
      <c r="M397" s="165">
        <v>118.7</v>
      </c>
      <c r="N397" s="165">
        <v>118.7</v>
      </c>
    </row>
    <row r="398" spans="1:14" s="395" customFormat="1" ht="37.5">
      <c r="A398" s="150"/>
      <c r="B398" s="167" t="s">
        <v>141</v>
      </c>
      <c r="C398" s="164" t="s">
        <v>609</v>
      </c>
      <c r="D398" s="149" t="s">
        <v>125</v>
      </c>
      <c r="E398" s="149" t="s">
        <v>72</v>
      </c>
      <c r="F398" s="750" t="s">
        <v>59</v>
      </c>
      <c r="G398" s="751" t="s">
        <v>65</v>
      </c>
      <c r="H398" s="751" t="s">
        <v>57</v>
      </c>
      <c r="I398" s="752" t="s">
        <v>324</v>
      </c>
      <c r="J398" s="149" t="s">
        <v>142</v>
      </c>
      <c r="K398" s="824">
        <v>7915.5</v>
      </c>
      <c r="L398" s="165">
        <f>M398-K398</f>
        <v>0</v>
      </c>
      <c r="M398" s="165">
        <v>7915.5</v>
      </c>
      <c r="N398" s="165">
        <v>7915.5</v>
      </c>
    </row>
    <row r="399" spans="1:14" s="397" customFormat="1" ht="18.75">
      <c r="A399" s="150"/>
      <c r="B399" s="163"/>
      <c r="C399" s="164"/>
      <c r="D399" s="149"/>
      <c r="E399" s="149"/>
      <c r="F399" s="750"/>
      <c r="G399" s="751"/>
      <c r="H399" s="751"/>
      <c r="I399" s="752"/>
      <c r="J399" s="149"/>
      <c r="K399" s="824"/>
      <c r="L399" s="165"/>
      <c r="M399" s="165"/>
      <c r="N399" s="165"/>
    </row>
    <row r="400" spans="1:14" s="391" customFormat="1" ht="56.25">
      <c r="A400" s="390">
        <v>6</v>
      </c>
      <c r="B400" s="428" t="s">
        <v>25</v>
      </c>
      <c r="C400" s="158" t="s">
        <v>377</v>
      </c>
      <c r="D400" s="159"/>
      <c r="E400" s="159"/>
      <c r="F400" s="160"/>
      <c r="G400" s="161"/>
      <c r="H400" s="161"/>
      <c r="I400" s="162"/>
      <c r="J400" s="159"/>
      <c r="K400" s="823">
        <f>K407+K422+K401</f>
        <v>91914</v>
      </c>
      <c r="L400" s="188">
        <f>L407+L422+L401</f>
        <v>0</v>
      </c>
      <c r="M400" s="188">
        <f>M407+M422+M401</f>
        <v>91914</v>
      </c>
      <c r="N400" s="188">
        <f>N407+N422+N401</f>
        <v>92030.5</v>
      </c>
    </row>
    <row r="401" spans="1:14" s="391" customFormat="1" ht="18.75">
      <c r="A401" s="390"/>
      <c r="B401" s="163" t="s">
        <v>56</v>
      </c>
      <c r="C401" s="164" t="s">
        <v>377</v>
      </c>
      <c r="D401" s="180" t="s">
        <v>57</v>
      </c>
      <c r="E401" s="159"/>
      <c r="F401" s="160"/>
      <c r="G401" s="161"/>
      <c r="H401" s="161"/>
      <c r="I401" s="162"/>
      <c r="J401" s="159"/>
      <c r="K401" s="824">
        <f t="shared" ref="K401:M404" si="68">K402</f>
        <v>28</v>
      </c>
      <c r="L401" s="579">
        <f t="shared" si="68"/>
        <v>0</v>
      </c>
      <c r="M401" s="579">
        <f t="shared" si="68"/>
        <v>28</v>
      </c>
      <c r="N401" s="579">
        <f t="shared" ref="N401:N404" si="69">N402</f>
        <v>28</v>
      </c>
    </row>
    <row r="402" spans="1:14" s="391" customFormat="1" ht="18.75">
      <c r="A402" s="390"/>
      <c r="B402" s="163" t="s">
        <v>91</v>
      </c>
      <c r="C402" s="164" t="s">
        <v>377</v>
      </c>
      <c r="D402" s="180" t="s">
        <v>57</v>
      </c>
      <c r="E402" s="180" t="s">
        <v>92</v>
      </c>
      <c r="F402" s="160"/>
      <c r="G402" s="161"/>
      <c r="H402" s="161"/>
      <c r="I402" s="162"/>
      <c r="J402" s="159"/>
      <c r="K402" s="824">
        <f t="shared" si="68"/>
        <v>28</v>
      </c>
      <c r="L402" s="579">
        <f t="shared" si="68"/>
        <v>0</v>
      </c>
      <c r="M402" s="579">
        <f t="shared" si="68"/>
        <v>28</v>
      </c>
      <c r="N402" s="579">
        <f t="shared" si="69"/>
        <v>28</v>
      </c>
    </row>
    <row r="403" spans="1:14" s="391" customFormat="1" ht="56.25">
      <c r="A403" s="390"/>
      <c r="B403" s="163" t="s">
        <v>238</v>
      </c>
      <c r="C403" s="164" t="s">
        <v>377</v>
      </c>
      <c r="D403" s="180" t="s">
        <v>57</v>
      </c>
      <c r="E403" s="180" t="s">
        <v>92</v>
      </c>
      <c r="F403" s="576" t="s">
        <v>84</v>
      </c>
      <c r="G403" s="577" t="s">
        <v>50</v>
      </c>
      <c r="H403" s="577" t="s">
        <v>63</v>
      </c>
      <c r="I403" s="578" t="s">
        <v>64</v>
      </c>
      <c r="J403" s="159"/>
      <c r="K403" s="824">
        <f t="shared" si="68"/>
        <v>28</v>
      </c>
      <c r="L403" s="579">
        <f t="shared" si="68"/>
        <v>0</v>
      </c>
      <c r="M403" s="579">
        <f t="shared" si="68"/>
        <v>28</v>
      </c>
      <c r="N403" s="579">
        <f t="shared" si="69"/>
        <v>28</v>
      </c>
    </row>
    <row r="404" spans="1:14" s="391" customFormat="1" ht="37.5">
      <c r="A404" s="390"/>
      <c r="B404" s="163" t="s">
        <v>428</v>
      </c>
      <c r="C404" s="164" t="s">
        <v>377</v>
      </c>
      <c r="D404" s="180" t="s">
        <v>57</v>
      </c>
      <c r="E404" s="180" t="s">
        <v>92</v>
      </c>
      <c r="F404" s="576" t="s">
        <v>84</v>
      </c>
      <c r="G404" s="577" t="s">
        <v>50</v>
      </c>
      <c r="H404" s="577" t="s">
        <v>59</v>
      </c>
      <c r="I404" s="578" t="s">
        <v>64</v>
      </c>
      <c r="J404" s="159"/>
      <c r="K404" s="824">
        <f t="shared" si="68"/>
        <v>28</v>
      </c>
      <c r="L404" s="579">
        <f t="shared" si="68"/>
        <v>0</v>
      </c>
      <c r="M404" s="579">
        <f t="shared" si="68"/>
        <v>28</v>
      </c>
      <c r="N404" s="579">
        <f t="shared" si="69"/>
        <v>28</v>
      </c>
    </row>
    <row r="405" spans="1:14" s="391" customFormat="1" ht="75">
      <c r="A405" s="390"/>
      <c r="B405" s="163" t="s">
        <v>429</v>
      </c>
      <c r="C405" s="164" t="s">
        <v>377</v>
      </c>
      <c r="D405" s="180" t="s">
        <v>57</v>
      </c>
      <c r="E405" s="180" t="s">
        <v>92</v>
      </c>
      <c r="F405" s="576" t="s">
        <v>84</v>
      </c>
      <c r="G405" s="577" t="s">
        <v>50</v>
      </c>
      <c r="H405" s="577" t="s">
        <v>59</v>
      </c>
      <c r="I405" s="578" t="s">
        <v>126</v>
      </c>
      <c r="J405" s="159"/>
      <c r="K405" s="824">
        <f>K406</f>
        <v>28</v>
      </c>
      <c r="L405" s="579">
        <f>L406</f>
        <v>0</v>
      </c>
      <c r="M405" s="579">
        <f>M406</f>
        <v>28</v>
      </c>
      <c r="N405" s="579">
        <f>N406</f>
        <v>28</v>
      </c>
    </row>
    <row r="406" spans="1:14" s="391" customFormat="1" ht="56.25">
      <c r="A406" s="390"/>
      <c r="B406" s="163" t="s">
        <v>75</v>
      </c>
      <c r="C406" s="164" t="s">
        <v>377</v>
      </c>
      <c r="D406" s="180" t="s">
        <v>57</v>
      </c>
      <c r="E406" s="180" t="s">
        <v>92</v>
      </c>
      <c r="F406" s="576" t="s">
        <v>84</v>
      </c>
      <c r="G406" s="577" t="s">
        <v>50</v>
      </c>
      <c r="H406" s="577" t="s">
        <v>59</v>
      </c>
      <c r="I406" s="578" t="s">
        <v>126</v>
      </c>
      <c r="J406" s="180" t="s">
        <v>76</v>
      </c>
      <c r="K406" s="824">
        <v>28</v>
      </c>
      <c r="L406" s="165">
        <f>M406-K406</f>
        <v>0</v>
      </c>
      <c r="M406" s="579">
        <v>28</v>
      </c>
      <c r="N406" s="579">
        <v>28</v>
      </c>
    </row>
    <row r="407" spans="1:14" s="146" customFormat="1" ht="18.75">
      <c r="A407" s="150"/>
      <c r="B407" s="169" t="s">
        <v>201</v>
      </c>
      <c r="C407" s="164" t="s">
        <v>377</v>
      </c>
      <c r="D407" s="149" t="s">
        <v>246</v>
      </c>
      <c r="E407" s="149"/>
      <c r="F407" s="750"/>
      <c r="G407" s="751"/>
      <c r="H407" s="751"/>
      <c r="I407" s="752"/>
      <c r="J407" s="149"/>
      <c r="K407" s="824">
        <f>K408+K416</f>
        <v>57999.199999999997</v>
      </c>
      <c r="L407" s="165">
        <f>L408+L416</f>
        <v>0</v>
      </c>
      <c r="M407" s="165">
        <f>M408+M416</f>
        <v>57999.199999999997</v>
      </c>
      <c r="N407" s="165">
        <f>N408+N416</f>
        <v>58023.9</v>
      </c>
    </row>
    <row r="408" spans="1:14" s="391" customFormat="1" ht="18.75">
      <c r="A408" s="150"/>
      <c r="B408" s="169" t="s">
        <v>424</v>
      </c>
      <c r="C408" s="164" t="s">
        <v>377</v>
      </c>
      <c r="D408" s="149" t="s">
        <v>246</v>
      </c>
      <c r="E408" s="149" t="s">
        <v>84</v>
      </c>
      <c r="F408" s="750"/>
      <c r="G408" s="751"/>
      <c r="H408" s="751"/>
      <c r="I408" s="752"/>
      <c r="J408" s="149"/>
      <c r="K408" s="824">
        <f t="shared" ref="K408:N408" si="70">K409</f>
        <v>57721.299999999996</v>
      </c>
      <c r="L408" s="165">
        <f t="shared" si="70"/>
        <v>0</v>
      </c>
      <c r="M408" s="165">
        <f t="shared" si="70"/>
        <v>57721.299999999996</v>
      </c>
      <c r="N408" s="165">
        <f t="shared" si="70"/>
        <v>57746</v>
      </c>
    </row>
    <row r="409" spans="1:14" s="391" customFormat="1" ht="56.25">
      <c r="A409" s="150"/>
      <c r="B409" s="169" t="s">
        <v>235</v>
      </c>
      <c r="C409" s="164" t="s">
        <v>377</v>
      </c>
      <c r="D409" s="149" t="s">
        <v>246</v>
      </c>
      <c r="E409" s="149" t="s">
        <v>84</v>
      </c>
      <c r="F409" s="750" t="s">
        <v>84</v>
      </c>
      <c r="G409" s="751" t="s">
        <v>62</v>
      </c>
      <c r="H409" s="751" t="s">
        <v>63</v>
      </c>
      <c r="I409" s="752" t="s">
        <v>64</v>
      </c>
      <c r="J409" s="149"/>
      <c r="K409" s="824">
        <f>K410+K436</f>
        <v>57721.299999999996</v>
      </c>
      <c r="L409" s="165">
        <f>L410+L436</f>
        <v>0</v>
      </c>
      <c r="M409" s="165">
        <f>M410+M436</f>
        <v>57721.299999999996</v>
      </c>
      <c r="N409" s="165">
        <f>N410+N436</f>
        <v>57746</v>
      </c>
    </row>
    <row r="410" spans="1:14" s="391" customFormat="1" ht="75">
      <c r="A410" s="150"/>
      <c r="B410" s="169" t="s">
        <v>236</v>
      </c>
      <c r="C410" s="164" t="s">
        <v>377</v>
      </c>
      <c r="D410" s="149" t="s">
        <v>246</v>
      </c>
      <c r="E410" s="149" t="s">
        <v>84</v>
      </c>
      <c r="F410" s="750" t="s">
        <v>84</v>
      </c>
      <c r="G410" s="751" t="s">
        <v>65</v>
      </c>
      <c r="H410" s="751" t="s">
        <v>63</v>
      </c>
      <c r="I410" s="752" t="s">
        <v>64</v>
      </c>
      <c r="J410" s="149"/>
      <c r="K410" s="824">
        <f t="shared" ref="K410:N412" si="71">K411</f>
        <v>57661.299999999996</v>
      </c>
      <c r="L410" s="165">
        <f t="shared" si="71"/>
        <v>0</v>
      </c>
      <c r="M410" s="165">
        <f t="shared" si="71"/>
        <v>57661.299999999996</v>
      </c>
      <c r="N410" s="165">
        <f t="shared" si="71"/>
        <v>57688.1</v>
      </c>
    </row>
    <row r="411" spans="1:14" s="391" customFormat="1" ht="37.5">
      <c r="A411" s="150"/>
      <c r="B411" s="169" t="s">
        <v>316</v>
      </c>
      <c r="C411" s="164" t="s">
        <v>377</v>
      </c>
      <c r="D411" s="149" t="s">
        <v>246</v>
      </c>
      <c r="E411" s="149" t="s">
        <v>84</v>
      </c>
      <c r="F411" s="750" t="s">
        <v>84</v>
      </c>
      <c r="G411" s="751" t="s">
        <v>65</v>
      </c>
      <c r="H411" s="751" t="s">
        <v>57</v>
      </c>
      <c r="I411" s="752" t="s">
        <v>64</v>
      </c>
      <c r="J411" s="149"/>
      <c r="K411" s="824">
        <f>K412+K414</f>
        <v>57661.299999999996</v>
      </c>
      <c r="L411" s="165">
        <f>L412+L414</f>
        <v>0</v>
      </c>
      <c r="M411" s="165">
        <f>M412+M414</f>
        <v>57661.299999999996</v>
      </c>
      <c r="N411" s="165">
        <f>N412+N414</f>
        <v>57688.1</v>
      </c>
    </row>
    <row r="412" spans="1:14" s="391" customFormat="1" ht="42" customHeight="1">
      <c r="A412" s="150"/>
      <c r="B412" s="303" t="s">
        <v>795</v>
      </c>
      <c r="C412" s="164" t="s">
        <v>377</v>
      </c>
      <c r="D412" s="149" t="s">
        <v>246</v>
      </c>
      <c r="E412" s="149" t="s">
        <v>84</v>
      </c>
      <c r="F412" s="750" t="s">
        <v>84</v>
      </c>
      <c r="G412" s="751" t="s">
        <v>65</v>
      </c>
      <c r="H412" s="751" t="s">
        <v>57</v>
      </c>
      <c r="I412" s="752" t="s">
        <v>112</v>
      </c>
      <c r="J412" s="149"/>
      <c r="K412" s="824">
        <f t="shared" si="71"/>
        <v>56386.6</v>
      </c>
      <c r="L412" s="165">
        <f t="shared" si="71"/>
        <v>0</v>
      </c>
      <c r="M412" s="165">
        <f t="shared" si="71"/>
        <v>56386.6</v>
      </c>
      <c r="N412" s="165">
        <f t="shared" si="71"/>
        <v>56413.4</v>
      </c>
    </row>
    <row r="413" spans="1:14" s="146" customFormat="1" ht="56.25">
      <c r="A413" s="150"/>
      <c r="B413" s="167" t="s">
        <v>97</v>
      </c>
      <c r="C413" s="164" t="s">
        <v>377</v>
      </c>
      <c r="D413" s="149" t="s">
        <v>246</v>
      </c>
      <c r="E413" s="149" t="s">
        <v>84</v>
      </c>
      <c r="F413" s="750" t="s">
        <v>84</v>
      </c>
      <c r="G413" s="751" t="s">
        <v>65</v>
      </c>
      <c r="H413" s="751" t="s">
        <v>57</v>
      </c>
      <c r="I413" s="752" t="s">
        <v>112</v>
      </c>
      <c r="J413" s="149" t="s">
        <v>98</v>
      </c>
      <c r="K413" s="824">
        <v>56386.6</v>
      </c>
      <c r="L413" s="165">
        <f>M413-K413</f>
        <v>0</v>
      </c>
      <c r="M413" s="165">
        <v>56386.6</v>
      </c>
      <c r="N413" s="165">
        <v>56413.4</v>
      </c>
    </row>
    <row r="414" spans="1:14" s="146" customFormat="1" ht="37.5">
      <c r="A414" s="150"/>
      <c r="B414" s="167" t="s">
        <v>378</v>
      </c>
      <c r="C414" s="164" t="s">
        <v>377</v>
      </c>
      <c r="D414" s="149" t="s">
        <v>246</v>
      </c>
      <c r="E414" s="149" t="s">
        <v>84</v>
      </c>
      <c r="F414" s="750" t="s">
        <v>84</v>
      </c>
      <c r="G414" s="751" t="s">
        <v>65</v>
      </c>
      <c r="H414" s="751" t="s">
        <v>57</v>
      </c>
      <c r="I414" s="752" t="s">
        <v>379</v>
      </c>
      <c r="J414" s="149"/>
      <c r="K414" s="824">
        <f>K415</f>
        <v>1274.7</v>
      </c>
      <c r="L414" s="165">
        <f>L415</f>
        <v>0</v>
      </c>
      <c r="M414" s="165">
        <f>M415</f>
        <v>1274.7</v>
      </c>
      <c r="N414" s="165">
        <f>N415</f>
        <v>1274.7</v>
      </c>
    </row>
    <row r="415" spans="1:14" s="146" customFormat="1" ht="56.25">
      <c r="A415" s="150"/>
      <c r="B415" s="167" t="s">
        <v>97</v>
      </c>
      <c r="C415" s="164" t="s">
        <v>377</v>
      </c>
      <c r="D415" s="149" t="s">
        <v>246</v>
      </c>
      <c r="E415" s="149" t="s">
        <v>84</v>
      </c>
      <c r="F415" s="750" t="s">
        <v>84</v>
      </c>
      <c r="G415" s="751" t="s">
        <v>65</v>
      </c>
      <c r="H415" s="751" t="s">
        <v>57</v>
      </c>
      <c r="I415" s="752" t="s">
        <v>379</v>
      </c>
      <c r="J415" s="149" t="s">
        <v>98</v>
      </c>
      <c r="K415" s="824">
        <v>1274.7</v>
      </c>
      <c r="L415" s="165">
        <f>M415-K415</f>
        <v>0</v>
      </c>
      <c r="M415" s="165">
        <v>1274.7</v>
      </c>
      <c r="N415" s="165">
        <v>1274.7</v>
      </c>
    </row>
    <row r="416" spans="1:14" s="146" customFormat="1" ht="18.75">
      <c r="A416" s="150"/>
      <c r="B416" s="167" t="s">
        <v>810</v>
      </c>
      <c r="C416" s="164" t="s">
        <v>377</v>
      </c>
      <c r="D416" s="149" t="s">
        <v>246</v>
      </c>
      <c r="E416" s="149" t="s">
        <v>246</v>
      </c>
      <c r="F416" s="750"/>
      <c r="G416" s="751"/>
      <c r="H416" s="751"/>
      <c r="I416" s="752"/>
      <c r="J416" s="149"/>
      <c r="K416" s="824">
        <f t="shared" ref="K416:M419" si="72">K417</f>
        <v>277.89999999999998</v>
      </c>
      <c r="L416" s="165">
        <f t="shared" si="72"/>
        <v>0</v>
      </c>
      <c r="M416" s="165">
        <f t="shared" si="72"/>
        <v>277.89999999999998</v>
      </c>
      <c r="N416" s="165">
        <f t="shared" ref="N416:N419" si="73">N417</f>
        <v>277.89999999999998</v>
      </c>
    </row>
    <row r="417" spans="1:14" s="146" customFormat="1" ht="56.25">
      <c r="A417" s="150"/>
      <c r="B417" s="169" t="s">
        <v>235</v>
      </c>
      <c r="C417" s="164" t="s">
        <v>377</v>
      </c>
      <c r="D417" s="149" t="s">
        <v>246</v>
      </c>
      <c r="E417" s="149" t="s">
        <v>246</v>
      </c>
      <c r="F417" s="750" t="s">
        <v>84</v>
      </c>
      <c r="G417" s="751" t="s">
        <v>62</v>
      </c>
      <c r="H417" s="751" t="s">
        <v>63</v>
      </c>
      <c r="I417" s="752" t="s">
        <v>64</v>
      </c>
      <c r="J417" s="149"/>
      <c r="K417" s="824">
        <f t="shared" si="72"/>
        <v>277.89999999999998</v>
      </c>
      <c r="L417" s="165">
        <f t="shared" si="72"/>
        <v>0</v>
      </c>
      <c r="M417" s="165">
        <f t="shared" si="72"/>
        <v>277.89999999999998</v>
      </c>
      <c r="N417" s="165">
        <f t="shared" si="73"/>
        <v>277.89999999999998</v>
      </c>
    </row>
    <row r="418" spans="1:14" s="146" customFormat="1" ht="75">
      <c r="A418" s="150"/>
      <c r="B418" s="169" t="s">
        <v>236</v>
      </c>
      <c r="C418" s="164" t="s">
        <v>377</v>
      </c>
      <c r="D418" s="149" t="s">
        <v>246</v>
      </c>
      <c r="E418" s="149" t="s">
        <v>246</v>
      </c>
      <c r="F418" s="750" t="s">
        <v>84</v>
      </c>
      <c r="G418" s="751" t="s">
        <v>65</v>
      </c>
      <c r="H418" s="751" t="s">
        <v>63</v>
      </c>
      <c r="I418" s="752" t="s">
        <v>64</v>
      </c>
      <c r="J418" s="149"/>
      <c r="K418" s="824">
        <f t="shared" si="72"/>
        <v>277.89999999999998</v>
      </c>
      <c r="L418" s="165">
        <f t="shared" si="72"/>
        <v>0</v>
      </c>
      <c r="M418" s="165">
        <f t="shared" si="72"/>
        <v>277.89999999999998</v>
      </c>
      <c r="N418" s="165">
        <f t="shared" si="73"/>
        <v>277.89999999999998</v>
      </c>
    </row>
    <row r="419" spans="1:14" s="146" customFormat="1" ht="58.5" customHeight="1">
      <c r="A419" s="150"/>
      <c r="B419" s="167" t="s">
        <v>321</v>
      </c>
      <c r="C419" s="164" t="s">
        <v>377</v>
      </c>
      <c r="D419" s="149" t="s">
        <v>246</v>
      </c>
      <c r="E419" s="149" t="s">
        <v>246</v>
      </c>
      <c r="F419" s="750" t="s">
        <v>84</v>
      </c>
      <c r="G419" s="751" t="s">
        <v>65</v>
      </c>
      <c r="H419" s="751" t="s">
        <v>86</v>
      </c>
      <c r="I419" s="752" t="s">
        <v>64</v>
      </c>
      <c r="J419" s="149"/>
      <c r="K419" s="824">
        <f t="shared" si="72"/>
        <v>277.89999999999998</v>
      </c>
      <c r="L419" s="165">
        <f t="shared" si="72"/>
        <v>0</v>
      </c>
      <c r="M419" s="165">
        <f t="shared" si="72"/>
        <v>277.89999999999998</v>
      </c>
      <c r="N419" s="165">
        <f t="shared" si="73"/>
        <v>277.89999999999998</v>
      </c>
    </row>
    <row r="420" spans="1:14" s="146" customFormat="1" ht="37.5">
      <c r="A420" s="150"/>
      <c r="B420" s="167" t="s">
        <v>812</v>
      </c>
      <c r="C420" s="164" t="s">
        <v>377</v>
      </c>
      <c r="D420" s="149" t="s">
        <v>246</v>
      </c>
      <c r="E420" s="149" t="s">
        <v>246</v>
      </c>
      <c r="F420" s="750" t="s">
        <v>84</v>
      </c>
      <c r="G420" s="751" t="s">
        <v>65</v>
      </c>
      <c r="H420" s="751" t="s">
        <v>86</v>
      </c>
      <c r="I420" s="752" t="s">
        <v>811</v>
      </c>
      <c r="J420" s="149"/>
      <c r="K420" s="824">
        <f>K421</f>
        <v>277.89999999999998</v>
      </c>
      <c r="L420" s="165">
        <f>L421</f>
        <v>0</v>
      </c>
      <c r="M420" s="165">
        <f>M421</f>
        <v>277.89999999999998</v>
      </c>
      <c r="N420" s="165">
        <f>N421</f>
        <v>277.89999999999998</v>
      </c>
    </row>
    <row r="421" spans="1:14" s="146" customFormat="1" ht="56.25">
      <c r="A421" s="150"/>
      <c r="B421" s="167" t="s">
        <v>97</v>
      </c>
      <c r="C421" s="164" t="s">
        <v>377</v>
      </c>
      <c r="D421" s="149" t="s">
        <v>246</v>
      </c>
      <c r="E421" s="149" t="s">
        <v>246</v>
      </c>
      <c r="F421" s="750" t="s">
        <v>84</v>
      </c>
      <c r="G421" s="751" t="s">
        <v>65</v>
      </c>
      <c r="H421" s="751" t="s">
        <v>86</v>
      </c>
      <c r="I421" s="752" t="s">
        <v>811</v>
      </c>
      <c r="J421" s="149" t="s">
        <v>98</v>
      </c>
      <c r="K421" s="824">
        <f>277.9</f>
        <v>277.89999999999998</v>
      </c>
      <c r="L421" s="165">
        <f>M421-K421</f>
        <v>0</v>
      </c>
      <c r="M421" s="165">
        <f>277.9</f>
        <v>277.89999999999998</v>
      </c>
      <c r="N421" s="165">
        <v>277.89999999999998</v>
      </c>
    </row>
    <row r="422" spans="1:14" s="146" customFormat="1" ht="18.75">
      <c r="A422" s="150"/>
      <c r="B422" s="163" t="s">
        <v>210</v>
      </c>
      <c r="C422" s="164" t="s">
        <v>377</v>
      </c>
      <c r="D422" s="149" t="s">
        <v>248</v>
      </c>
      <c r="E422" s="149"/>
      <c r="F422" s="750"/>
      <c r="G422" s="751"/>
      <c r="H422" s="751"/>
      <c r="I422" s="752"/>
      <c r="J422" s="149"/>
      <c r="K422" s="824">
        <f>K423+K442</f>
        <v>33886.800000000003</v>
      </c>
      <c r="L422" s="165">
        <f>L423+L442</f>
        <v>0</v>
      </c>
      <c r="M422" s="165">
        <f>M423+M442</f>
        <v>33886.800000000003</v>
      </c>
      <c r="N422" s="165">
        <f>N423+N442</f>
        <v>33978.600000000006</v>
      </c>
    </row>
    <row r="423" spans="1:14" s="146" customFormat="1" ht="18.75">
      <c r="A423" s="150"/>
      <c r="B423" s="163" t="s">
        <v>212</v>
      </c>
      <c r="C423" s="164" t="s">
        <v>377</v>
      </c>
      <c r="D423" s="149" t="s">
        <v>248</v>
      </c>
      <c r="E423" s="149" t="s">
        <v>57</v>
      </c>
      <c r="F423" s="750"/>
      <c r="G423" s="751"/>
      <c r="H423" s="751"/>
      <c r="I423" s="752"/>
      <c r="J423" s="149"/>
      <c r="K423" s="824">
        <f t="shared" ref="K423:N424" si="74">K424</f>
        <v>24640.7</v>
      </c>
      <c r="L423" s="165">
        <f t="shared" si="74"/>
        <v>0</v>
      </c>
      <c r="M423" s="165">
        <f t="shared" si="74"/>
        <v>24640.7</v>
      </c>
      <c r="N423" s="165">
        <f t="shared" si="74"/>
        <v>24674.7</v>
      </c>
    </row>
    <row r="424" spans="1:14" s="146" customFormat="1" ht="56.25">
      <c r="A424" s="150"/>
      <c r="B424" s="169" t="s">
        <v>235</v>
      </c>
      <c r="C424" s="164" t="s">
        <v>377</v>
      </c>
      <c r="D424" s="149" t="s">
        <v>248</v>
      </c>
      <c r="E424" s="149" t="s">
        <v>57</v>
      </c>
      <c r="F424" s="750" t="s">
        <v>84</v>
      </c>
      <c r="G424" s="751" t="s">
        <v>62</v>
      </c>
      <c r="H424" s="751" t="s">
        <v>63</v>
      </c>
      <c r="I424" s="752" t="s">
        <v>64</v>
      </c>
      <c r="J424" s="149"/>
      <c r="K424" s="824">
        <f t="shared" si="74"/>
        <v>24640.7</v>
      </c>
      <c r="L424" s="165">
        <f t="shared" si="74"/>
        <v>0</v>
      </c>
      <c r="M424" s="165">
        <f t="shared" si="74"/>
        <v>24640.7</v>
      </c>
      <c r="N424" s="165">
        <f t="shared" si="74"/>
        <v>24674.7</v>
      </c>
    </row>
    <row r="425" spans="1:14" s="146" customFormat="1" ht="75">
      <c r="A425" s="150"/>
      <c r="B425" s="169" t="s">
        <v>236</v>
      </c>
      <c r="C425" s="164" t="s">
        <v>377</v>
      </c>
      <c r="D425" s="149" t="s">
        <v>248</v>
      </c>
      <c r="E425" s="149" t="s">
        <v>57</v>
      </c>
      <c r="F425" s="179" t="s">
        <v>84</v>
      </c>
      <c r="G425" s="320" t="s">
        <v>65</v>
      </c>
      <c r="H425" s="320" t="s">
        <v>63</v>
      </c>
      <c r="I425" s="321" t="s">
        <v>64</v>
      </c>
      <c r="J425" s="322"/>
      <c r="K425" s="824">
        <f>K426+K431</f>
        <v>24640.7</v>
      </c>
      <c r="L425" s="165">
        <f>L426+L431</f>
        <v>0</v>
      </c>
      <c r="M425" s="165">
        <f>M426+M431</f>
        <v>24640.7</v>
      </c>
      <c r="N425" s="165">
        <f>N426+N431</f>
        <v>24674.7</v>
      </c>
    </row>
    <row r="426" spans="1:14" s="146" customFormat="1" ht="18.75">
      <c r="A426" s="150"/>
      <c r="B426" s="163" t="s">
        <v>380</v>
      </c>
      <c r="C426" s="164" t="s">
        <v>377</v>
      </c>
      <c r="D426" s="149" t="s">
        <v>248</v>
      </c>
      <c r="E426" s="149" t="s">
        <v>57</v>
      </c>
      <c r="F426" s="179" t="s">
        <v>84</v>
      </c>
      <c r="G426" s="320" t="s">
        <v>65</v>
      </c>
      <c r="H426" s="320" t="s">
        <v>84</v>
      </c>
      <c r="I426" s="321" t="s">
        <v>64</v>
      </c>
      <c r="J426" s="322"/>
      <c r="K426" s="824">
        <f t="shared" ref="K426" si="75">K427+K429</f>
        <v>11645.9</v>
      </c>
      <c r="L426" s="165">
        <f t="shared" ref="L426" si="76">L427+L429</f>
        <v>0</v>
      </c>
      <c r="M426" s="165">
        <f t="shared" ref="M426:N426" si="77">M427+M429</f>
        <v>11645.9</v>
      </c>
      <c r="N426" s="165">
        <f t="shared" si="77"/>
        <v>11655.5</v>
      </c>
    </row>
    <row r="427" spans="1:14" s="146" customFormat="1" ht="41.25" customHeight="1">
      <c r="A427" s="150"/>
      <c r="B427" s="303" t="s">
        <v>795</v>
      </c>
      <c r="C427" s="164" t="s">
        <v>377</v>
      </c>
      <c r="D427" s="149" t="s">
        <v>248</v>
      </c>
      <c r="E427" s="149" t="s">
        <v>57</v>
      </c>
      <c r="F427" s="179" t="s">
        <v>84</v>
      </c>
      <c r="G427" s="320" t="s">
        <v>65</v>
      </c>
      <c r="H427" s="320" t="s">
        <v>84</v>
      </c>
      <c r="I427" s="321" t="s">
        <v>112</v>
      </c>
      <c r="J427" s="322"/>
      <c r="K427" s="824">
        <f>K428</f>
        <v>11498.5</v>
      </c>
      <c r="L427" s="165">
        <f>L428</f>
        <v>0</v>
      </c>
      <c r="M427" s="165">
        <f>M428</f>
        <v>11498.5</v>
      </c>
      <c r="N427" s="165">
        <f>N428</f>
        <v>11508.1</v>
      </c>
    </row>
    <row r="428" spans="1:14" s="146" customFormat="1" ht="56.25">
      <c r="A428" s="150"/>
      <c r="B428" s="167" t="s">
        <v>97</v>
      </c>
      <c r="C428" s="164" t="s">
        <v>377</v>
      </c>
      <c r="D428" s="149" t="s">
        <v>248</v>
      </c>
      <c r="E428" s="149" t="s">
        <v>57</v>
      </c>
      <c r="F428" s="750" t="s">
        <v>84</v>
      </c>
      <c r="G428" s="751" t="s">
        <v>65</v>
      </c>
      <c r="H428" s="751" t="s">
        <v>84</v>
      </c>
      <c r="I428" s="752" t="s">
        <v>112</v>
      </c>
      <c r="J428" s="149" t="s">
        <v>98</v>
      </c>
      <c r="K428" s="824">
        <v>11498.5</v>
      </c>
      <c r="L428" s="165">
        <f>M428-K428</f>
        <v>0</v>
      </c>
      <c r="M428" s="165">
        <v>11498.5</v>
      </c>
      <c r="N428" s="165">
        <v>11508.1</v>
      </c>
    </row>
    <row r="429" spans="1:14" s="146" customFormat="1" ht="37.5">
      <c r="A429" s="150"/>
      <c r="B429" s="167" t="s">
        <v>378</v>
      </c>
      <c r="C429" s="164" t="s">
        <v>377</v>
      </c>
      <c r="D429" s="149" t="s">
        <v>248</v>
      </c>
      <c r="E429" s="149" t="s">
        <v>57</v>
      </c>
      <c r="F429" s="750" t="s">
        <v>84</v>
      </c>
      <c r="G429" s="751" t="s">
        <v>65</v>
      </c>
      <c r="H429" s="751" t="s">
        <v>84</v>
      </c>
      <c r="I429" s="752" t="s">
        <v>379</v>
      </c>
      <c r="J429" s="149"/>
      <c r="K429" s="824">
        <f>K430</f>
        <v>147.4</v>
      </c>
      <c r="L429" s="165">
        <f>L430</f>
        <v>0</v>
      </c>
      <c r="M429" s="165">
        <f>M430</f>
        <v>147.4</v>
      </c>
      <c r="N429" s="165">
        <f>N430</f>
        <v>147.4</v>
      </c>
    </row>
    <row r="430" spans="1:14" s="146" customFormat="1" ht="56.25">
      <c r="A430" s="150"/>
      <c r="B430" s="167" t="s">
        <v>97</v>
      </c>
      <c r="C430" s="164" t="s">
        <v>377</v>
      </c>
      <c r="D430" s="149" t="s">
        <v>248</v>
      </c>
      <c r="E430" s="149" t="s">
        <v>57</v>
      </c>
      <c r="F430" s="750" t="s">
        <v>84</v>
      </c>
      <c r="G430" s="751" t="s">
        <v>65</v>
      </c>
      <c r="H430" s="751" t="s">
        <v>84</v>
      </c>
      <c r="I430" s="752" t="s">
        <v>379</v>
      </c>
      <c r="J430" s="149" t="s">
        <v>98</v>
      </c>
      <c r="K430" s="824">
        <v>147.4</v>
      </c>
      <c r="L430" s="165">
        <f>M430-K430</f>
        <v>0</v>
      </c>
      <c r="M430" s="165">
        <v>147.4</v>
      </c>
      <c r="N430" s="165">
        <v>147.4</v>
      </c>
    </row>
    <row r="431" spans="1:14" s="146" customFormat="1" ht="37.5">
      <c r="A431" s="150"/>
      <c r="B431" s="167" t="s">
        <v>382</v>
      </c>
      <c r="C431" s="164" t="s">
        <v>377</v>
      </c>
      <c r="D431" s="149" t="s">
        <v>248</v>
      </c>
      <c r="E431" s="149" t="s">
        <v>57</v>
      </c>
      <c r="F431" s="179" t="s">
        <v>84</v>
      </c>
      <c r="G431" s="320" t="s">
        <v>65</v>
      </c>
      <c r="H431" s="320" t="s">
        <v>72</v>
      </c>
      <c r="I431" s="752" t="s">
        <v>64</v>
      </c>
      <c r="J431" s="149"/>
      <c r="K431" s="824">
        <f>K432</f>
        <v>12994.800000000001</v>
      </c>
      <c r="L431" s="165">
        <f>L432</f>
        <v>0</v>
      </c>
      <c r="M431" s="165">
        <f>M432</f>
        <v>12994.800000000001</v>
      </c>
      <c r="N431" s="165">
        <f>N432</f>
        <v>13019.2</v>
      </c>
    </row>
    <row r="432" spans="1:14" s="146" customFormat="1" ht="37.5" customHeight="1">
      <c r="A432" s="150"/>
      <c r="B432" s="303" t="s">
        <v>795</v>
      </c>
      <c r="C432" s="164" t="s">
        <v>377</v>
      </c>
      <c r="D432" s="149" t="s">
        <v>248</v>
      </c>
      <c r="E432" s="149" t="s">
        <v>57</v>
      </c>
      <c r="F432" s="179" t="s">
        <v>84</v>
      </c>
      <c r="G432" s="320" t="s">
        <v>65</v>
      </c>
      <c r="H432" s="320" t="s">
        <v>72</v>
      </c>
      <c r="I432" s="321" t="s">
        <v>112</v>
      </c>
      <c r="J432" s="322"/>
      <c r="K432" s="824">
        <f>K433+K434+K435</f>
        <v>12994.800000000001</v>
      </c>
      <c r="L432" s="165">
        <f>L433+L434+L435</f>
        <v>0</v>
      </c>
      <c r="M432" s="165">
        <f>M433+M434+M435</f>
        <v>12994.800000000001</v>
      </c>
      <c r="N432" s="165">
        <f>N433+N434+N435</f>
        <v>13019.2</v>
      </c>
    </row>
    <row r="433" spans="1:14" s="146" customFormat="1" ht="112.5">
      <c r="A433" s="150"/>
      <c r="B433" s="163" t="s">
        <v>69</v>
      </c>
      <c r="C433" s="164" t="s">
        <v>377</v>
      </c>
      <c r="D433" s="149" t="s">
        <v>248</v>
      </c>
      <c r="E433" s="149" t="s">
        <v>57</v>
      </c>
      <c r="F433" s="750" t="s">
        <v>84</v>
      </c>
      <c r="G433" s="751" t="s">
        <v>65</v>
      </c>
      <c r="H433" s="751" t="s">
        <v>72</v>
      </c>
      <c r="I433" s="752" t="s">
        <v>112</v>
      </c>
      <c r="J433" s="149" t="s">
        <v>70</v>
      </c>
      <c r="K433" s="824">
        <v>11426.1</v>
      </c>
      <c r="L433" s="165">
        <f>M433-K433</f>
        <v>0</v>
      </c>
      <c r="M433" s="165">
        <v>11426.1</v>
      </c>
      <c r="N433" s="165">
        <v>11426.1</v>
      </c>
    </row>
    <row r="434" spans="1:14" s="146" customFormat="1" ht="56.25">
      <c r="A434" s="150"/>
      <c r="B434" s="163" t="s">
        <v>75</v>
      </c>
      <c r="C434" s="164" t="s">
        <v>377</v>
      </c>
      <c r="D434" s="149" t="s">
        <v>248</v>
      </c>
      <c r="E434" s="149" t="s">
        <v>57</v>
      </c>
      <c r="F434" s="750" t="s">
        <v>84</v>
      </c>
      <c r="G434" s="751" t="s">
        <v>65</v>
      </c>
      <c r="H434" s="751" t="s">
        <v>72</v>
      </c>
      <c r="I434" s="752" t="s">
        <v>112</v>
      </c>
      <c r="J434" s="149" t="s">
        <v>76</v>
      </c>
      <c r="K434" s="824">
        <v>1554.1</v>
      </c>
      <c r="L434" s="165">
        <f>M434-K434</f>
        <v>0</v>
      </c>
      <c r="M434" s="165">
        <v>1554.1</v>
      </c>
      <c r="N434" s="165">
        <v>1578.5</v>
      </c>
    </row>
    <row r="435" spans="1:14" s="146" customFormat="1" ht="18.75">
      <c r="A435" s="150"/>
      <c r="B435" s="163" t="s">
        <v>77</v>
      </c>
      <c r="C435" s="164" t="s">
        <v>377</v>
      </c>
      <c r="D435" s="149" t="s">
        <v>248</v>
      </c>
      <c r="E435" s="149" t="s">
        <v>57</v>
      </c>
      <c r="F435" s="750" t="s">
        <v>84</v>
      </c>
      <c r="G435" s="751" t="s">
        <v>65</v>
      </c>
      <c r="H435" s="751" t="s">
        <v>72</v>
      </c>
      <c r="I435" s="752" t="s">
        <v>112</v>
      </c>
      <c r="J435" s="149" t="s">
        <v>78</v>
      </c>
      <c r="K435" s="824">
        <v>14.6</v>
      </c>
      <c r="L435" s="165">
        <f>M435-K435</f>
        <v>0</v>
      </c>
      <c r="M435" s="165">
        <v>14.6</v>
      </c>
      <c r="N435" s="165">
        <v>14.6</v>
      </c>
    </row>
    <row r="436" spans="1:14" s="146" customFormat="1" ht="42" customHeight="1">
      <c r="A436" s="150"/>
      <c r="B436" s="163" t="s">
        <v>391</v>
      </c>
      <c r="C436" s="164" t="s">
        <v>377</v>
      </c>
      <c r="D436" s="149" t="s">
        <v>248</v>
      </c>
      <c r="E436" s="149" t="s">
        <v>57</v>
      </c>
      <c r="F436" s="179" t="s">
        <v>84</v>
      </c>
      <c r="G436" s="320" t="s">
        <v>110</v>
      </c>
      <c r="H436" s="320" t="s">
        <v>63</v>
      </c>
      <c r="I436" s="752" t="s">
        <v>64</v>
      </c>
      <c r="J436" s="149"/>
      <c r="K436" s="824">
        <f t="shared" ref="K436:N440" si="78">K437</f>
        <v>60</v>
      </c>
      <c r="L436" s="165">
        <f t="shared" si="78"/>
        <v>0</v>
      </c>
      <c r="M436" s="165">
        <f t="shared" si="78"/>
        <v>60</v>
      </c>
      <c r="N436" s="165">
        <f t="shared" si="78"/>
        <v>57.9</v>
      </c>
    </row>
    <row r="437" spans="1:14" s="146" customFormat="1" ht="96.75" customHeight="1">
      <c r="A437" s="150"/>
      <c r="B437" s="167" t="s">
        <v>383</v>
      </c>
      <c r="C437" s="164" t="s">
        <v>377</v>
      </c>
      <c r="D437" s="149" t="s">
        <v>248</v>
      </c>
      <c r="E437" s="149" t="s">
        <v>57</v>
      </c>
      <c r="F437" s="179" t="s">
        <v>84</v>
      </c>
      <c r="G437" s="320" t="s">
        <v>110</v>
      </c>
      <c r="H437" s="320" t="s">
        <v>84</v>
      </c>
      <c r="I437" s="752" t="s">
        <v>64</v>
      </c>
      <c r="J437" s="149"/>
      <c r="K437" s="824">
        <f>K440+K438</f>
        <v>60</v>
      </c>
      <c r="L437" s="165">
        <f>L440+L438</f>
        <v>0</v>
      </c>
      <c r="M437" s="165">
        <f>M440+M438</f>
        <v>60</v>
      </c>
      <c r="N437" s="165">
        <f>N440+N438</f>
        <v>57.9</v>
      </c>
    </row>
    <row r="438" spans="1:14" s="146" customFormat="1" ht="40.5" customHeight="1">
      <c r="A438" s="150"/>
      <c r="B438" s="167" t="s">
        <v>378</v>
      </c>
      <c r="C438" s="164" t="s">
        <v>377</v>
      </c>
      <c r="D438" s="149" t="s">
        <v>248</v>
      </c>
      <c r="E438" s="149" t="s">
        <v>57</v>
      </c>
      <c r="F438" s="179" t="s">
        <v>84</v>
      </c>
      <c r="G438" s="320" t="s">
        <v>110</v>
      </c>
      <c r="H438" s="320" t="s">
        <v>84</v>
      </c>
      <c r="I438" s="752" t="s">
        <v>379</v>
      </c>
      <c r="J438" s="149"/>
      <c r="K438" s="824">
        <f>K439</f>
        <v>17.899999999999999</v>
      </c>
      <c r="L438" s="165">
        <f>L439</f>
        <v>0</v>
      </c>
      <c r="M438" s="165">
        <f>M439</f>
        <v>17.899999999999999</v>
      </c>
      <c r="N438" s="165">
        <f>N439</f>
        <v>17.899999999999999</v>
      </c>
    </row>
    <row r="439" spans="1:14" s="146" customFormat="1" ht="57" customHeight="1">
      <c r="A439" s="150"/>
      <c r="B439" s="167" t="s">
        <v>97</v>
      </c>
      <c r="C439" s="164" t="s">
        <v>377</v>
      </c>
      <c r="D439" s="149" t="s">
        <v>248</v>
      </c>
      <c r="E439" s="149" t="s">
        <v>57</v>
      </c>
      <c r="F439" s="179" t="s">
        <v>84</v>
      </c>
      <c r="G439" s="320" t="s">
        <v>110</v>
      </c>
      <c r="H439" s="320" t="s">
        <v>84</v>
      </c>
      <c r="I439" s="752" t="s">
        <v>379</v>
      </c>
      <c r="J439" s="149" t="s">
        <v>98</v>
      </c>
      <c r="K439" s="824">
        <v>17.899999999999999</v>
      </c>
      <c r="L439" s="165">
        <f>M439-K439</f>
        <v>0</v>
      </c>
      <c r="M439" s="165">
        <v>17.899999999999999</v>
      </c>
      <c r="N439" s="165">
        <v>17.899999999999999</v>
      </c>
    </row>
    <row r="440" spans="1:14" s="146" customFormat="1" ht="56.25">
      <c r="A440" s="150"/>
      <c r="B440" s="167" t="s">
        <v>586</v>
      </c>
      <c r="C440" s="164" t="s">
        <v>377</v>
      </c>
      <c r="D440" s="149" t="s">
        <v>248</v>
      </c>
      <c r="E440" s="149" t="s">
        <v>57</v>
      </c>
      <c r="F440" s="750" t="s">
        <v>84</v>
      </c>
      <c r="G440" s="751" t="s">
        <v>110</v>
      </c>
      <c r="H440" s="751" t="s">
        <v>84</v>
      </c>
      <c r="I440" s="752" t="s">
        <v>587</v>
      </c>
      <c r="J440" s="149"/>
      <c r="K440" s="824">
        <f t="shared" si="78"/>
        <v>42.1</v>
      </c>
      <c r="L440" s="165">
        <f t="shared" si="78"/>
        <v>0</v>
      </c>
      <c r="M440" s="165">
        <f t="shared" si="78"/>
        <v>42.1</v>
      </c>
      <c r="N440" s="165">
        <f t="shared" si="78"/>
        <v>40</v>
      </c>
    </row>
    <row r="441" spans="1:14" s="146" customFormat="1" ht="56.25">
      <c r="A441" s="150"/>
      <c r="B441" s="167" t="s">
        <v>97</v>
      </c>
      <c r="C441" s="164" t="s">
        <v>377</v>
      </c>
      <c r="D441" s="149" t="s">
        <v>248</v>
      </c>
      <c r="E441" s="149" t="s">
        <v>57</v>
      </c>
      <c r="F441" s="750" t="s">
        <v>84</v>
      </c>
      <c r="G441" s="751" t="s">
        <v>110</v>
      </c>
      <c r="H441" s="751" t="s">
        <v>84</v>
      </c>
      <c r="I441" s="752" t="s">
        <v>587</v>
      </c>
      <c r="J441" s="149" t="s">
        <v>98</v>
      </c>
      <c r="K441" s="824">
        <v>42.1</v>
      </c>
      <c r="L441" s="165">
        <f>M441-K441</f>
        <v>0</v>
      </c>
      <c r="M441" s="165">
        <v>42.1</v>
      </c>
      <c r="N441" s="165">
        <v>40</v>
      </c>
    </row>
    <row r="442" spans="1:14" s="146" customFormat="1" ht="37.5">
      <c r="A442" s="150"/>
      <c r="B442" s="163" t="s">
        <v>384</v>
      </c>
      <c r="C442" s="164" t="s">
        <v>377</v>
      </c>
      <c r="D442" s="149" t="s">
        <v>248</v>
      </c>
      <c r="E442" s="149" t="s">
        <v>72</v>
      </c>
      <c r="F442" s="179"/>
      <c r="G442" s="320"/>
      <c r="H442" s="320"/>
      <c r="I442" s="321"/>
      <c r="J442" s="322"/>
      <c r="K442" s="824">
        <f t="shared" ref="K442:N444" si="79">K443</f>
        <v>9246.1</v>
      </c>
      <c r="L442" s="165">
        <f t="shared" si="79"/>
        <v>0</v>
      </c>
      <c r="M442" s="165">
        <f t="shared" si="79"/>
        <v>9246.1</v>
      </c>
      <c r="N442" s="165">
        <f t="shared" si="79"/>
        <v>9303.9000000000015</v>
      </c>
    </row>
    <row r="443" spans="1:14" s="146" customFormat="1" ht="56.25">
      <c r="A443" s="150"/>
      <c r="B443" s="169" t="s">
        <v>235</v>
      </c>
      <c r="C443" s="164" t="s">
        <v>377</v>
      </c>
      <c r="D443" s="149" t="s">
        <v>248</v>
      </c>
      <c r="E443" s="149" t="s">
        <v>72</v>
      </c>
      <c r="F443" s="179" t="s">
        <v>84</v>
      </c>
      <c r="G443" s="320" t="s">
        <v>62</v>
      </c>
      <c r="H443" s="320" t="s">
        <v>63</v>
      </c>
      <c r="I443" s="321" t="s">
        <v>64</v>
      </c>
      <c r="J443" s="322"/>
      <c r="K443" s="824">
        <f t="shared" si="79"/>
        <v>9246.1</v>
      </c>
      <c r="L443" s="165">
        <f t="shared" si="79"/>
        <v>0</v>
      </c>
      <c r="M443" s="165">
        <f t="shared" si="79"/>
        <v>9246.1</v>
      </c>
      <c r="N443" s="165">
        <f t="shared" si="79"/>
        <v>9303.9000000000015</v>
      </c>
    </row>
    <row r="444" spans="1:14" s="146" customFormat="1" ht="56.25">
      <c r="A444" s="150"/>
      <c r="B444" s="163" t="s">
        <v>238</v>
      </c>
      <c r="C444" s="164" t="s">
        <v>377</v>
      </c>
      <c r="D444" s="149" t="s">
        <v>248</v>
      </c>
      <c r="E444" s="149" t="s">
        <v>72</v>
      </c>
      <c r="F444" s="750" t="s">
        <v>84</v>
      </c>
      <c r="G444" s="751" t="s">
        <v>50</v>
      </c>
      <c r="H444" s="751" t="s">
        <v>63</v>
      </c>
      <c r="I444" s="752" t="s">
        <v>64</v>
      </c>
      <c r="J444" s="149"/>
      <c r="K444" s="824">
        <f t="shared" si="79"/>
        <v>9246.1</v>
      </c>
      <c r="L444" s="165">
        <f t="shared" si="79"/>
        <v>0</v>
      </c>
      <c r="M444" s="165">
        <f t="shared" si="79"/>
        <v>9246.1</v>
      </c>
      <c r="N444" s="165">
        <f t="shared" si="79"/>
        <v>9303.9000000000015</v>
      </c>
    </row>
    <row r="445" spans="1:14" s="146" customFormat="1" ht="37.5">
      <c r="A445" s="150"/>
      <c r="B445" s="163" t="s">
        <v>322</v>
      </c>
      <c r="C445" s="164" t="s">
        <v>377</v>
      </c>
      <c r="D445" s="149" t="s">
        <v>248</v>
      </c>
      <c r="E445" s="149" t="s">
        <v>72</v>
      </c>
      <c r="F445" s="750" t="s">
        <v>84</v>
      </c>
      <c r="G445" s="751" t="s">
        <v>50</v>
      </c>
      <c r="H445" s="751" t="s">
        <v>57</v>
      </c>
      <c r="I445" s="752" t="s">
        <v>64</v>
      </c>
      <c r="J445" s="149"/>
      <c r="K445" s="824">
        <f>K446+K450</f>
        <v>9246.1</v>
      </c>
      <c r="L445" s="165">
        <f>L446+L450</f>
        <v>0</v>
      </c>
      <c r="M445" s="165">
        <f>M446+M450</f>
        <v>9246.1</v>
      </c>
      <c r="N445" s="165">
        <f>N446+N450</f>
        <v>9303.9000000000015</v>
      </c>
    </row>
    <row r="446" spans="1:14" s="146" customFormat="1" ht="37.5">
      <c r="A446" s="150"/>
      <c r="B446" s="163" t="s">
        <v>67</v>
      </c>
      <c r="C446" s="164" t="s">
        <v>377</v>
      </c>
      <c r="D446" s="149" t="s">
        <v>248</v>
      </c>
      <c r="E446" s="149" t="s">
        <v>72</v>
      </c>
      <c r="F446" s="750" t="s">
        <v>84</v>
      </c>
      <c r="G446" s="751" t="s">
        <v>50</v>
      </c>
      <c r="H446" s="751" t="s">
        <v>57</v>
      </c>
      <c r="I446" s="752" t="s">
        <v>68</v>
      </c>
      <c r="J446" s="322"/>
      <c r="K446" s="824">
        <f>K447+K448+K449</f>
        <v>2806.7</v>
      </c>
      <c r="L446" s="165">
        <f>L447+L448+L449</f>
        <v>0</v>
      </c>
      <c r="M446" s="165">
        <f>M447+M448+M449</f>
        <v>2806.7</v>
      </c>
      <c r="N446" s="165">
        <f>N447+N448+N449</f>
        <v>2807.3</v>
      </c>
    </row>
    <row r="447" spans="1:14" s="146" customFormat="1" ht="112.5">
      <c r="A447" s="150"/>
      <c r="B447" s="163" t="s">
        <v>69</v>
      </c>
      <c r="C447" s="164" t="s">
        <v>377</v>
      </c>
      <c r="D447" s="149" t="s">
        <v>248</v>
      </c>
      <c r="E447" s="149" t="s">
        <v>72</v>
      </c>
      <c r="F447" s="750" t="s">
        <v>84</v>
      </c>
      <c r="G447" s="751" t="s">
        <v>50</v>
      </c>
      <c r="H447" s="751" t="s">
        <v>57</v>
      </c>
      <c r="I447" s="752" t="s">
        <v>68</v>
      </c>
      <c r="J447" s="322" t="s">
        <v>70</v>
      </c>
      <c r="K447" s="824">
        <v>2605.6</v>
      </c>
      <c r="L447" s="165">
        <f>M447-K447</f>
        <v>0</v>
      </c>
      <c r="M447" s="165">
        <v>2605.6</v>
      </c>
      <c r="N447" s="165">
        <v>2605.6</v>
      </c>
    </row>
    <row r="448" spans="1:14" s="146" customFormat="1" ht="56.25">
      <c r="A448" s="150"/>
      <c r="B448" s="163" t="s">
        <v>75</v>
      </c>
      <c r="C448" s="164" t="s">
        <v>377</v>
      </c>
      <c r="D448" s="149" t="s">
        <v>248</v>
      </c>
      <c r="E448" s="149" t="s">
        <v>72</v>
      </c>
      <c r="F448" s="750" t="s">
        <v>84</v>
      </c>
      <c r="G448" s="751" t="s">
        <v>50</v>
      </c>
      <c r="H448" s="751" t="s">
        <v>57</v>
      </c>
      <c r="I448" s="752" t="s">
        <v>68</v>
      </c>
      <c r="J448" s="322" t="s">
        <v>76</v>
      </c>
      <c r="K448" s="824">
        <v>196.7</v>
      </c>
      <c r="L448" s="165">
        <f>M448-K448</f>
        <v>0</v>
      </c>
      <c r="M448" s="165">
        <v>196.7</v>
      </c>
      <c r="N448" s="165">
        <v>197.4</v>
      </c>
    </row>
    <row r="449" spans="1:14" s="146" customFormat="1" ht="18.75">
      <c r="A449" s="150"/>
      <c r="B449" s="163" t="s">
        <v>77</v>
      </c>
      <c r="C449" s="164" t="s">
        <v>377</v>
      </c>
      <c r="D449" s="149" t="s">
        <v>248</v>
      </c>
      <c r="E449" s="149" t="s">
        <v>72</v>
      </c>
      <c r="F449" s="750" t="s">
        <v>84</v>
      </c>
      <c r="G449" s="751" t="s">
        <v>50</v>
      </c>
      <c r="H449" s="751" t="s">
        <v>57</v>
      </c>
      <c r="I449" s="752" t="s">
        <v>68</v>
      </c>
      <c r="J449" s="149" t="s">
        <v>78</v>
      </c>
      <c r="K449" s="824">
        <v>4.4000000000000004</v>
      </c>
      <c r="L449" s="165">
        <f>M449-K449</f>
        <v>0</v>
      </c>
      <c r="M449" s="165">
        <v>4.4000000000000004</v>
      </c>
      <c r="N449" s="165">
        <v>4.3</v>
      </c>
    </row>
    <row r="450" spans="1:14" s="146" customFormat="1" ht="39" customHeight="1">
      <c r="A450" s="150"/>
      <c r="B450" s="303" t="s">
        <v>795</v>
      </c>
      <c r="C450" s="164" t="s">
        <v>377</v>
      </c>
      <c r="D450" s="149" t="s">
        <v>248</v>
      </c>
      <c r="E450" s="149" t="s">
        <v>72</v>
      </c>
      <c r="F450" s="750" t="s">
        <v>84</v>
      </c>
      <c r="G450" s="751" t="s">
        <v>50</v>
      </c>
      <c r="H450" s="751" t="s">
        <v>57</v>
      </c>
      <c r="I450" s="752" t="s">
        <v>112</v>
      </c>
      <c r="J450" s="149"/>
      <c r="K450" s="824">
        <f>K451+K452+K453</f>
        <v>6439.4000000000005</v>
      </c>
      <c r="L450" s="165">
        <f>L451+L452+L453</f>
        <v>0</v>
      </c>
      <c r="M450" s="165">
        <f>M451+M452+M453</f>
        <v>6439.4000000000005</v>
      </c>
      <c r="N450" s="165">
        <f>N451+N452+N453</f>
        <v>6496.6</v>
      </c>
    </row>
    <row r="451" spans="1:14" s="146" customFormat="1" ht="112.5">
      <c r="A451" s="150"/>
      <c r="B451" s="163" t="s">
        <v>69</v>
      </c>
      <c r="C451" s="429" t="s">
        <v>377</v>
      </c>
      <c r="D451" s="322" t="s">
        <v>248</v>
      </c>
      <c r="E451" s="322" t="s">
        <v>72</v>
      </c>
      <c r="F451" s="750" t="s">
        <v>84</v>
      </c>
      <c r="G451" s="751" t="s">
        <v>50</v>
      </c>
      <c r="H451" s="751" t="s">
        <v>57</v>
      </c>
      <c r="I451" s="752" t="s">
        <v>112</v>
      </c>
      <c r="J451" s="322" t="s">
        <v>70</v>
      </c>
      <c r="K451" s="824">
        <v>5959.1</v>
      </c>
      <c r="L451" s="165">
        <f>M451-K451</f>
        <v>0</v>
      </c>
      <c r="M451" s="165">
        <v>5959.1</v>
      </c>
      <c r="N451" s="165">
        <v>5959.1</v>
      </c>
    </row>
    <row r="452" spans="1:14" s="146" customFormat="1" ht="56.25">
      <c r="A452" s="150"/>
      <c r="B452" s="163" t="s">
        <v>75</v>
      </c>
      <c r="C452" s="429" t="s">
        <v>377</v>
      </c>
      <c r="D452" s="322" t="s">
        <v>248</v>
      </c>
      <c r="E452" s="322" t="s">
        <v>72</v>
      </c>
      <c r="F452" s="750" t="s">
        <v>84</v>
      </c>
      <c r="G452" s="751" t="s">
        <v>50</v>
      </c>
      <c r="H452" s="751" t="s">
        <v>57</v>
      </c>
      <c r="I452" s="752" t="s">
        <v>112</v>
      </c>
      <c r="J452" s="322" t="s">
        <v>76</v>
      </c>
      <c r="K452" s="824">
        <v>478.7</v>
      </c>
      <c r="L452" s="165">
        <f>M452-K452</f>
        <v>0</v>
      </c>
      <c r="M452" s="165">
        <v>478.7</v>
      </c>
      <c r="N452" s="165">
        <v>535.9</v>
      </c>
    </row>
    <row r="453" spans="1:14" s="146" customFormat="1" ht="18.75">
      <c r="A453" s="150"/>
      <c r="B453" s="163" t="s">
        <v>77</v>
      </c>
      <c r="C453" s="429" t="s">
        <v>377</v>
      </c>
      <c r="D453" s="322" t="s">
        <v>248</v>
      </c>
      <c r="E453" s="322" t="s">
        <v>72</v>
      </c>
      <c r="F453" s="750" t="s">
        <v>84</v>
      </c>
      <c r="G453" s="751" t="s">
        <v>50</v>
      </c>
      <c r="H453" s="751" t="s">
        <v>57</v>
      </c>
      <c r="I453" s="752" t="s">
        <v>112</v>
      </c>
      <c r="J453" s="149" t="s">
        <v>78</v>
      </c>
      <c r="K453" s="824">
        <v>1.6</v>
      </c>
      <c r="L453" s="165">
        <f>M453-K453</f>
        <v>0</v>
      </c>
      <c r="M453" s="165">
        <v>1.6</v>
      </c>
      <c r="N453" s="165">
        <v>1.6</v>
      </c>
    </row>
    <row r="454" spans="1:14" s="396" customFormat="1" ht="18.75">
      <c r="A454" s="150"/>
      <c r="B454" s="163"/>
      <c r="C454" s="429"/>
      <c r="D454" s="322"/>
      <c r="E454" s="322"/>
      <c r="F454" s="750"/>
      <c r="G454" s="751"/>
      <c r="H454" s="751"/>
      <c r="I454" s="752"/>
      <c r="J454" s="149"/>
      <c r="K454" s="824"/>
      <c r="L454" s="165"/>
      <c r="M454" s="165"/>
      <c r="N454" s="165"/>
    </row>
    <row r="455" spans="1:14" s="391" customFormat="1" ht="56.25">
      <c r="A455" s="390">
        <v>7</v>
      </c>
      <c r="B455" s="157" t="s">
        <v>26</v>
      </c>
      <c r="C455" s="158" t="s">
        <v>331</v>
      </c>
      <c r="D455" s="159"/>
      <c r="E455" s="159"/>
      <c r="F455" s="160"/>
      <c r="G455" s="161"/>
      <c r="H455" s="161"/>
      <c r="I455" s="162"/>
      <c r="J455" s="159"/>
      <c r="K455" s="823">
        <f>K456+K463</f>
        <v>21837.300000000003</v>
      </c>
      <c r="L455" s="188">
        <f>L456+L463</f>
        <v>0</v>
      </c>
      <c r="M455" s="188">
        <f>M456+M463</f>
        <v>21837.300000000003</v>
      </c>
      <c r="N455" s="188">
        <f>N456+N463</f>
        <v>24564.5</v>
      </c>
    </row>
    <row r="456" spans="1:14" s="391" customFormat="1" ht="18.75">
      <c r="A456" s="390"/>
      <c r="B456" s="592" t="s">
        <v>56</v>
      </c>
      <c r="C456" s="593" t="s">
        <v>331</v>
      </c>
      <c r="D456" s="180" t="s">
        <v>57</v>
      </c>
      <c r="E456" s="180"/>
      <c r="F456" s="576"/>
      <c r="G456" s="577"/>
      <c r="H456" s="577"/>
      <c r="I456" s="578"/>
      <c r="J456" s="180"/>
      <c r="K456" s="824">
        <f t="shared" ref="K456:M460" si="80">K457</f>
        <v>35.299999999999997</v>
      </c>
      <c r="L456" s="579">
        <f t="shared" si="80"/>
        <v>0</v>
      </c>
      <c r="M456" s="579">
        <f t="shared" si="80"/>
        <v>35.299999999999997</v>
      </c>
      <c r="N456" s="579">
        <f t="shared" ref="N456:N460" si="81">N457</f>
        <v>35.299999999999997</v>
      </c>
    </row>
    <row r="457" spans="1:14" s="391" customFormat="1" ht="18.75">
      <c r="A457" s="390"/>
      <c r="B457" s="592" t="s">
        <v>91</v>
      </c>
      <c r="C457" s="593" t="s">
        <v>331</v>
      </c>
      <c r="D457" s="180" t="s">
        <v>57</v>
      </c>
      <c r="E457" s="180" t="s">
        <v>92</v>
      </c>
      <c r="F457" s="576"/>
      <c r="G457" s="577"/>
      <c r="H457" s="577"/>
      <c r="I457" s="578"/>
      <c r="J457" s="180"/>
      <c r="K457" s="824">
        <f t="shared" si="80"/>
        <v>35.299999999999997</v>
      </c>
      <c r="L457" s="579">
        <f t="shared" si="80"/>
        <v>0</v>
      </c>
      <c r="M457" s="579">
        <f t="shared" si="80"/>
        <v>35.299999999999997</v>
      </c>
      <c r="N457" s="579">
        <f t="shared" si="81"/>
        <v>35.299999999999997</v>
      </c>
    </row>
    <row r="458" spans="1:14" s="391" customFormat="1" ht="75">
      <c r="A458" s="390"/>
      <c r="B458" s="592" t="s">
        <v>239</v>
      </c>
      <c r="C458" s="593" t="s">
        <v>331</v>
      </c>
      <c r="D458" s="180" t="s">
        <v>57</v>
      </c>
      <c r="E458" s="180" t="s">
        <v>92</v>
      </c>
      <c r="F458" s="576" t="s">
        <v>72</v>
      </c>
      <c r="G458" s="577" t="s">
        <v>62</v>
      </c>
      <c r="H458" s="577" t="s">
        <v>63</v>
      </c>
      <c r="I458" s="578" t="s">
        <v>64</v>
      </c>
      <c r="J458" s="180"/>
      <c r="K458" s="824">
        <f t="shared" si="80"/>
        <v>35.299999999999997</v>
      </c>
      <c r="L458" s="579">
        <f t="shared" si="80"/>
        <v>0</v>
      </c>
      <c r="M458" s="579">
        <f t="shared" si="80"/>
        <v>35.299999999999997</v>
      </c>
      <c r="N458" s="579">
        <f t="shared" si="81"/>
        <v>35.299999999999997</v>
      </c>
    </row>
    <row r="459" spans="1:14" s="391" customFormat="1" ht="37.5">
      <c r="A459" s="390"/>
      <c r="B459" s="592" t="s">
        <v>242</v>
      </c>
      <c r="C459" s="593" t="s">
        <v>331</v>
      </c>
      <c r="D459" s="180" t="s">
        <v>57</v>
      </c>
      <c r="E459" s="180" t="s">
        <v>92</v>
      </c>
      <c r="F459" s="576" t="s">
        <v>72</v>
      </c>
      <c r="G459" s="577" t="s">
        <v>110</v>
      </c>
      <c r="H459" s="577" t="s">
        <v>63</v>
      </c>
      <c r="I459" s="578" t="s">
        <v>64</v>
      </c>
      <c r="J459" s="180"/>
      <c r="K459" s="824">
        <f t="shared" si="80"/>
        <v>35.299999999999997</v>
      </c>
      <c r="L459" s="579">
        <f t="shared" si="80"/>
        <v>0</v>
      </c>
      <c r="M459" s="579">
        <f t="shared" si="80"/>
        <v>35.299999999999997</v>
      </c>
      <c r="N459" s="579">
        <f t="shared" si="81"/>
        <v>35.299999999999997</v>
      </c>
    </row>
    <row r="460" spans="1:14" s="391" customFormat="1" ht="37.5">
      <c r="A460" s="390"/>
      <c r="B460" s="592" t="s">
        <v>428</v>
      </c>
      <c r="C460" s="593" t="s">
        <v>331</v>
      </c>
      <c r="D460" s="180" t="s">
        <v>57</v>
      </c>
      <c r="E460" s="180" t="s">
        <v>92</v>
      </c>
      <c r="F460" s="576" t="s">
        <v>72</v>
      </c>
      <c r="G460" s="577" t="s">
        <v>110</v>
      </c>
      <c r="H460" s="577" t="s">
        <v>84</v>
      </c>
      <c r="I460" s="578" t="s">
        <v>64</v>
      </c>
      <c r="J460" s="180"/>
      <c r="K460" s="824">
        <f t="shared" si="80"/>
        <v>35.299999999999997</v>
      </c>
      <c r="L460" s="579">
        <f t="shared" si="80"/>
        <v>0</v>
      </c>
      <c r="M460" s="579">
        <f t="shared" si="80"/>
        <v>35.299999999999997</v>
      </c>
      <c r="N460" s="579">
        <f t="shared" si="81"/>
        <v>35.299999999999997</v>
      </c>
    </row>
    <row r="461" spans="1:14" s="391" customFormat="1" ht="54" customHeight="1">
      <c r="A461" s="390"/>
      <c r="B461" s="592" t="s">
        <v>429</v>
      </c>
      <c r="C461" s="593" t="s">
        <v>331</v>
      </c>
      <c r="D461" s="180" t="s">
        <v>57</v>
      </c>
      <c r="E461" s="180" t="s">
        <v>92</v>
      </c>
      <c r="F461" s="576" t="s">
        <v>72</v>
      </c>
      <c r="G461" s="577" t="s">
        <v>110</v>
      </c>
      <c r="H461" s="577" t="s">
        <v>84</v>
      </c>
      <c r="I461" s="578" t="s">
        <v>126</v>
      </c>
      <c r="J461" s="180"/>
      <c r="K461" s="824">
        <f>K462</f>
        <v>35.299999999999997</v>
      </c>
      <c r="L461" s="579">
        <f>L462</f>
        <v>0</v>
      </c>
      <c r="M461" s="579">
        <f>M462</f>
        <v>35.299999999999997</v>
      </c>
      <c r="N461" s="579">
        <f>N462</f>
        <v>35.299999999999997</v>
      </c>
    </row>
    <row r="462" spans="1:14" s="146" customFormat="1" ht="56.25">
      <c r="A462" s="150"/>
      <c r="B462" s="595" t="s">
        <v>75</v>
      </c>
      <c r="C462" s="593" t="s">
        <v>331</v>
      </c>
      <c r="D462" s="180" t="s">
        <v>57</v>
      </c>
      <c r="E462" s="180" t="s">
        <v>92</v>
      </c>
      <c r="F462" s="576" t="s">
        <v>72</v>
      </c>
      <c r="G462" s="577" t="s">
        <v>110</v>
      </c>
      <c r="H462" s="577" t="s">
        <v>84</v>
      </c>
      <c r="I462" s="578" t="s">
        <v>126</v>
      </c>
      <c r="J462" s="180" t="s">
        <v>76</v>
      </c>
      <c r="K462" s="824">
        <v>35.299999999999997</v>
      </c>
      <c r="L462" s="165">
        <f>M462-K462</f>
        <v>0</v>
      </c>
      <c r="M462" s="579">
        <v>35.299999999999997</v>
      </c>
      <c r="N462" s="165">
        <v>35.299999999999997</v>
      </c>
    </row>
    <row r="463" spans="1:14" s="146" customFormat="1" ht="18.75">
      <c r="A463" s="150"/>
      <c r="B463" s="595" t="s">
        <v>385</v>
      </c>
      <c r="C463" s="593" t="s">
        <v>331</v>
      </c>
      <c r="D463" s="180" t="s">
        <v>88</v>
      </c>
      <c r="E463" s="180"/>
      <c r="F463" s="576"/>
      <c r="G463" s="577"/>
      <c r="H463" s="577"/>
      <c r="I463" s="578"/>
      <c r="J463" s="180"/>
      <c r="K463" s="824">
        <f>K464+K486+K480</f>
        <v>21802.000000000004</v>
      </c>
      <c r="L463" s="579">
        <f>L464+L486+L480</f>
        <v>0</v>
      </c>
      <c r="M463" s="579">
        <f>M464+M486+M480</f>
        <v>21802.000000000004</v>
      </c>
      <c r="N463" s="579">
        <f>N464+N486+N480</f>
        <v>24529.200000000001</v>
      </c>
    </row>
    <row r="464" spans="1:14" s="391" customFormat="1" ht="18.75">
      <c r="A464" s="150"/>
      <c r="B464" s="169" t="s">
        <v>443</v>
      </c>
      <c r="C464" s="164" t="s">
        <v>331</v>
      </c>
      <c r="D464" s="149" t="s">
        <v>88</v>
      </c>
      <c r="E464" s="149" t="s">
        <v>57</v>
      </c>
      <c r="F464" s="750"/>
      <c r="G464" s="751"/>
      <c r="H464" s="751"/>
      <c r="I464" s="752"/>
      <c r="J464" s="149"/>
      <c r="K464" s="824">
        <f>K465</f>
        <v>19316.600000000002</v>
      </c>
      <c r="L464" s="165">
        <f>L465</f>
        <v>0</v>
      </c>
      <c r="M464" s="165">
        <f>M465</f>
        <v>19316.600000000002</v>
      </c>
      <c r="N464" s="165">
        <f>N465</f>
        <v>18463.7</v>
      </c>
    </row>
    <row r="465" spans="1:14" s="391" customFormat="1" ht="61.5" customHeight="1">
      <c r="A465" s="150"/>
      <c r="B465" s="163" t="s">
        <v>239</v>
      </c>
      <c r="C465" s="164" t="s">
        <v>331</v>
      </c>
      <c r="D465" s="149" t="s">
        <v>88</v>
      </c>
      <c r="E465" s="149" t="s">
        <v>57</v>
      </c>
      <c r="F465" s="750" t="s">
        <v>72</v>
      </c>
      <c r="G465" s="751" t="s">
        <v>62</v>
      </c>
      <c r="H465" s="751" t="s">
        <v>63</v>
      </c>
      <c r="I465" s="752" t="s">
        <v>64</v>
      </c>
      <c r="J465" s="149"/>
      <c r="K465" s="824">
        <f>K466+K470</f>
        <v>19316.600000000002</v>
      </c>
      <c r="L465" s="165">
        <f>L466+L470</f>
        <v>0</v>
      </c>
      <c r="M465" s="165">
        <f>M466+M470</f>
        <v>19316.600000000002</v>
      </c>
      <c r="N465" s="165">
        <f>N466+N470</f>
        <v>18463.7</v>
      </c>
    </row>
    <row r="466" spans="1:14" s="391" customFormat="1" ht="37.5">
      <c r="A466" s="150"/>
      <c r="B466" s="169" t="s">
        <v>240</v>
      </c>
      <c r="C466" s="164" t="s">
        <v>331</v>
      </c>
      <c r="D466" s="149" t="s">
        <v>88</v>
      </c>
      <c r="E466" s="149" t="s">
        <v>57</v>
      </c>
      <c r="F466" s="750" t="s">
        <v>72</v>
      </c>
      <c r="G466" s="751" t="s">
        <v>65</v>
      </c>
      <c r="H466" s="751" t="s">
        <v>63</v>
      </c>
      <c r="I466" s="752" t="s">
        <v>64</v>
      </c>
      <c r="J466" s="149"/>
      <c r="K466" s="824">
        <f>K467</f>
        <v>180</v>
      </c>
      <c r="L466" s="165">
        <f>L467</f>
        <v>0</v>
      </c>
      <c r="M466" s="165">
        <f>M467</f>
        <v>180</v>
      </c>
      <c r="N466" s="165">
        <f>N467</f>
        <v>180</v>
      </c>
    </row>
    <row r="467" spans="1:14" s="391" customFormat="1" ht="18.75">
      <c r="A467" s="150"/>
      <c r="B467" s="163" t="s">
        <v>317</v>
      </c>
      <c r="C467" s="164" t="s">
        <v>331</v>
      </c>
      <c r="D467" s="149" t="s">
        <v>88</v>
      </c>
      <c r="E467" s="149" t="s">
        <v>57</v>
      </c>
      <c r="F467" s="750" t="s">
        <v>72</v>
      </c>
      <c r="G467" s="751" t="s">
        <v>65</v>
      </c>
      <c r="H467" s="751" t="s">
        <v>57</v>
      </c>
      <c r="I467" s="752" t="s">
        <v>64</v>
      </c>
      <c r="J467" s="149"/>
      <c r="K467" s="824">
        <f t="shared" ref="K467:N468" si="82">K468</f>
        <v>180</v>
      </c>
      <c r="L467" s="165">
        <f t="shared" si="82"/>
        <v>0</v>
      </c>
      <c r="M467" s="165">
        <f t="shared" si="82"/>
        <v>180</v>
      </c>
      <c r="N467" s="165">
        <f t="shared" si="82"/>
        <v>180</v>
      </c>
    </row>
    <row r="468" spans="1:14" s="391" customFormat="1" ht="41.25" customHeight="1">
      <c r="A468" s="150"/>
      <c r="B468" s="163" t="s">
        <v>318</v>
      </c>
      <c r="C468" s="164" t="s">
        <v>331</v>
      </c>
      <c r="D468" s="149" t="s">
        <v>88</v>
      </c>
      <c r="E468" s="149" t="s">
        <v>57</v>
      </c>
      <c r="F468" s="750" t="s">
        <v>72</v>
      </c>
      <c r="G468" s="751" t="s">
        <v>65</v>
      </c>
      <c r="H468" s="751" t="s">
        <v>57</v>
      </c>
      <c r="I468" s="752" t="s">
        <v>319</v>
      </c>
      <c r="J468" s="149"/>
      <c r="K468" s="824">
        <f t="shared" si="82"/>
        <v>180</v>
      </c>
      <c r="L468" s="165">
        <f t="shared" si="82"/>
        <v>0</v>
      </c>
      <c r="M468" s="165">
        <f t="shared" si="82"/>
        <v>180</v>
      </c>
      <c r="N468" s="165">
        <f t="shared" si="82"/>
        <v>180</v>
      </c>
    </row>
    <row r="469" spans="1:14" s="391" customFormat="1" ht="37.5">
      <c r="A469" s="150"/>
      <c r="B469" s="163" t="s">
        <v>141</v>
      </c>
      <c r="C469" s="164" t="s">
        <v>331</v>
      </c>
      <c r="D469" s="149" t="s">
        <v>88</v>
      </c>
      <c r="E469" s="149" t="s">
        <v>57</v>
      </c>
      <c r="F469" s="750" t="s">
        <v>72</v>
      </c>
      <c r="G469" s="751" t="s">
        <v>65</v>
      </c>
      <c r="H469" s="751" t="s">
        <v>57</v>
      </c>
      <c r="I469" s="752" t="s">
        <v>319</v>
      </c>
      <c r="J469" s="149" t="s">
        <v>142</v>
      </c>
      <c r="K469" s="824">
        <v>180</v>
      </c>
      <c r="L469" s="165">
        <f>M469-K469</f>
        <v>0</v>
      </c>
      <c r="M469" s="165">
        <v>180</v>
      </c>
      <c r="N469" s="165">
        <v>180</v>
      </c>
    </row>
    <row r="470" spans="1:14" s="146" customFormat="1" ht="37.5">
      <c r="A470" s="150"/>
      <c r="B470" s="163" t="s">
        <v>242</v>
      </c>
      <c r="C470" s="164" t="s">
        <v>331</v>
      </c>
      <c r="D470" s="149" t="s">
        <v>88</v>
      </c>
      <c r="E470" s="149" t="s">
        <v>57</v>
      </c>
      <c r="F470" s="750" t="s">
        <v>72</v>
      </c>
      <c r="G470" s="751" t="s">
        <v>110</v>
      </c>
      <c r="H470" s="751" t="s">
        <v>63</v>
      </c>
      <c r="I470" s="752" t="s">
        <v>64</v>
      </c>
      <c r="J470" s="149"/>
      <c r="K470" s="824">
        <f t="shared" ref="K470:N470" si="83">K471</f>
        <v>19136.600000000002</v>
      </c>
      <c r="L470" s="165">
        <f t="shared" si="83"/>
        <v>0</v>
      </c>
      <c r="M470" s="165">
        <f t="shared" si="83"/>
        <v>19136.600000000002</v>
      </c>
      <c r="N470" s="165">
        <f t="shared" si="83"/>
        <v>18283.7</v>
      </c>
    </row>
    <row r="471" spans="1:14" s="391" customFormat="1" ht="34.15" customHeight="1">
      <c r="A471" s="150"/>
      <c r="B471" s="163" t="s">
        <v>444</v>
      </c>
      <c r="C471" s="164" t="s">
        <v>331</v>
      </c>
      <c r="D471" s="149" t="s">
        <v>88</v>
      </c>
      <c r="E471" s="149" t="s">
        <v>57</v>
      </c>
      <c r="F471" s="750" t="s">
        <v>72</v>
      </c>
      <c r="G471" s="751" t="s">
        <v>110</v>
      </c>
      <c r="H471" s="751" t="s">
        <v>59</v>
      </c>
      <c r="I471" s="752" t="s">
        <v>64</v>
      </c>
      <c r="J471" s="149"/>
      <c r="K471" s="824">
        <f>K472+K476+K478</f>
        <v>19136.600000000002</v>
      </c>
      <c r="L471" s="165">
        <f>L472+L476+L478</f>
        <v>0</v>
      </c>
      <c r="M471" s="165">
        <f>M472+M476+M478</f>
        <v>19136.600000000002</v>
      </c>
      <c r="N471" s="165">
        <f>N472+N476+N478</f>
        <v>18283.7</v>
      </c>
    </row>
    <row r="472" spans="1:14" s="391" customFormat="1" ht="39" customHeight="1">
      <c r="A472" s="150"/>
      <c r="B472" s="303" t="s">
        <v>795</v>
      </c>
      <c r="C472" s="164" t="s">
        <v>331</v>
      </c>
      <c r="D472" s="149" t="s">
        <v>88</v>
      </c>
      <c r="E472" s="149" t="s">
        <v>57</v>
      </c>
      <c r="F472" s="750" t="s">
        <v>72</v>
      </c>
      <c r="G472" s="751" t="s">
        <v>110</v>
      </c>
      <c r="H472" s="751" t="s">
        <v>59</v>
      </c>
      <c r="I472" s="752" t="s">
        <v>112</v>
      </c>
      <c r="J472" s="149"/>
      <c r="K472" s="824">
        <f>K473+K474+K475</f>
        <v>18158.7</v>
      </c>
      <c r="L472" s="165">
        <f>L473+L474+L475</f>
        <v>0</v>
      </c>
      <c r="M472" s="165">
        <f>M473+M474+M475</f>
        <v>18158.7</v>
      </c>
      <c r="N472" s="165">
        <f>N473+N474+N475</f>
        <v>18158.7</v>
      </c>
    </row>
    <row r="473" spans="1:14" s="391" customFormat="1" ht="112.5">
      <c r="A473" s="150"/>
      <c r="B473" s="163" t="s">
        <v>69</v>
      </c>
      <c r="C473" s="164" t="s">
        <v>331</v>
      </c>
      <c r="D473" s="149" t="s">
        <v>88</v>
      </c>
      <c r="E473" s="149" t="s">
        <v>57</v>
      </c>
      <c r="F473" s="750" t="s">
        <v>72</v>
      </c>
      <c r="G473" s="751" t="s">
        <v>110</v>
      </c>
      <c r="H473" s="751" t="s">
        <v>59</v>
      </c>
      <c r="I473" s="752" t="s">
        <v>112</v>
      </c>
      <c r="J473" s="149" t="s">
        <v>70</v>
      </c>
      <c r="K473" s="824">
        <v>17673</v>
      </c>
      <c r="L473" s="165">
        <f>M473-K473</f>
        <v>0</v>
      </c>
      <c r="M473" s="165">
        <v>17673</v>
      </c>
      <c r="N473" s="165">
        <v>17673</v>
      </c>
    </row>
    <row r="474" spans="1:14" s="146" customFormat="1" ht="56.25">
      <c r="A474" s="150"/>
      <c r="B474" s="163" t="s">
        <v>75</v>
      </c>
      <c r="C474" s="164" t="s">
        <v>331</v>
      </c>
      <c r="D474" s="149" t="s">
        <v>88</v>
      </c>
      <c r="E474" s="149" t="s">
        <v>57</v>
      </c>
      <c r="F474" s="750" t="s">
        <v>72</v>
      </c>
      <c r="G474" s="751" t="s">
        <v>110</v>
      </c>
      <c r="H474" s="751" t="s">
        <v>59</v>
      </c>
      <c r="I474" s="752" t="s">
        <v>112</v>
      </c>
      <c r="J474" s="149" t="s">
        <v>76</v>
      </c>
      <c r="K474" s="824">
        <v>425.8</v>
      </c>
      <c r="L474" s="165">
        <f>M474-K474</f>
        <v>0</v>
      </c>
      <c r="M474" s="165">
        <v>425.8</v>
      </c>
      <c r="N474" s="165">
        <v>427.8</v>
      </c>
    </row>
    <row r="475" spans="1:14" s="391" customFormat="1" ht="18.75">
      <c r="A475" s="150"/>
      <c r="B475" s="163" t="s">
        <v>77</v>
      </c>
      <c r="C475" s="164" t="s">
        <v>331</v>
      </c>
      <c r="D475" s="149" t="s">
        <v>88</v>
      </c>
      <c r="E475" s="149" t="s">
        <v>57</v>
      </c>
      <c r="F475" s="750" t="s">
        <v>72</v>
      </c>
      <c r="G475" s="751" t="s">
        <v>110</v>
      </c>
      <c r="H475" s="751" t="s">
        <v>59</v>
      </c>
      <c r="I475" s="752" t="s">
        <v>112</v>
      </c>
      <c r="J475" s="149" t="s">
        <v>78</v>
      </c>
      <c r="K475" s="824">
        <v>59.9</v>
      </c>
      <c r="L475" s="165">
        <f>M475-K475</f>
        <v>0</v>
      </c>
      <c r="M475" s="165">
        <v>59.9</v>
      </c>
      <c r="N475" s="165">
        <v>57.9</v>
      </c>
    </row>
    <row r="476" spans="1:14" s="391" customFormat="1" ht="193.5" customHeight="1">
      <c r="A476" s="150"/>
      <c r="B476" s="163" t="s">
        <v>694</v>
      </c>
      <c r="C476" s="164" t="s">
        <v>331</v>
      </c>
      <c r="D476" s="149" t="s">
        <v>88</v>
      </c>
      <c r="E476" s="149" t="s">
        <v>57</v>
      </c>
      <c r="F476" s="750" t="s">
        <v>72</v>
      </c>
      <c r="G476" s="751" t="s">
        <v>110</v>
      </c>
      <c r="H476" s="751" t="s">
        <v>59</v>
      </c>
      <c r="I476" s="752" t="s">
        <v>538</v>
      </c>
      <c r="J476" s="149"/>
      <c r="K476" s="824">
        <f>K477</f>
        <v>125</v>
      </c>
      <c r="L476" s="165">
        <f>L477</f>
        <v>0</v>
      </c>
      <c r="M476" s="165">
        <f>M477</f>
        <v>125</v>
      </c>
      <c r="N476" s="165">
        <f>N477</f>
        <v>125</v>
      </c>
    </row>
    <row r="477" spans="1:14" s="391" customFormat="1" ht="112.5">
      <c r="A477" s="150"/>
      <c r="B477" s="163" t="s">
        <v>69</v>
      </c>
      <c r="C477" s="164" t="s">
        <v>331</v>
      </c>
      <c r="D477" s="149" t="s">
        <v>88</v>
      </c>
      <c r="E477" s="149" t="s">
        <v>57</v>
      </c>
      <c r="F477" s="750" t="s">
        <v>72</v>
      </c>
      <c r="G477" s="751" t="s">
        <v>110</v>
      </c>
      <c r="H477" s="751" t="s">
        <v>59</v>
      </c>
      <c r="I477" s="752" t="s">
        <v>538</v>
      </c>
      <c r="J477" s="149" t="s">
        <v>70</v>
      </c>
      <c r="K477" s="824">
        <v>125</v>
      </c>
      <c r="L477" s="165">
        <f>M477-K477</f>
        <v>0</v>
      </c>
      <c r="M477" s="165">
        <v>125</v>
      </c>
      <c r="N477" s="705">
        <v>125</v>
      </c>
    </row>
    <row r="478" spans="1:14" s="391" customFormat="1" ht="57" customHeight="1">
      <c r="A478" s="150"/>
      <c r="B478" s="163" t="s">
        <v>729</v>
      </c>
      <c r="C478" s="164" t="s">
        <v>331</v>
      </c>
      <c r="D478" s="149" t="s">
        <v>88</v>
      </c>
      <c r="E478" s="149" t="s">
        <v>57</v>
      </c>
      <c r="F478" s="750" t="s">
        <v>72</v>
      </c>
      <c r="G478" s="751" t="s">
        <v>110</v>
      </c>
      <c r="H478" s="751" t="s">
        <v>59</v>
      </c>
      <c r="I478" s="752" t="s">
        <v>583</v>
      </c>
      <c r="J478" s="149"/>
      <c r="K478" s="824">
        <f>K479</f>
        <v>852.9</v>
      </c>
      <c r="L478" s="165">
        <f>L479</f>
        <v>0</v>
      </c>
      <c r="M478" s="165">
        <f>M479</f>
        <v>852.9</v>
      </c>
      <c r="N478" s="165">
        <f>N479</f>
        <v>0</v>
      </c>
    </row>
    <row r="479" spans="1:14" s="391" customFormat="1" ht="112.5">
      <c r="A479" s="150"/>
      <c r="B479" s="163" t="s">
        <v>69</v>
      </c>
      <c r="C479" s="164" t="s">
        <v>331</v>
      </c>
      <c r="D479" s="149" t="s">
        <v>88</v>
      </c>
      <c r="E479" s="149" t="s">
        <v>57</v>
      </c>
      <c r="F479" s="750" t="s">
        <v>72</v>
      </c>
      <c r="G479" s="751" t="s">
        <v>110</v>
      </c>
      <c r="H479" s="751" t="s">
        <v>59</v>
      </c>
      <c r="I479" s="752" t="s">
        <v>583</v>
      </c>
      <c r="J479" s="149" t="s">
        <v>70</v>
      </c>
      <c r="K479" s="824">
        <v>852.9</v>
      </c>
      <c r="L479" s="165">
        <f>M479-K479</f>
        <v>0</v>
      </c>
      <c r="M479" s="165">
        <v>852.9</v>
      </c>
      <c r="N479" s="705">
        <f>852.9-852.9</f>
        <v>0</v>
      </c>
    </row>
    <row r="480" spans="1:14" s="391" customFormat="1" ht="18.75">
      <c r="A480" s="150"/>
      <c r="B480" s="163" t="s">
        <v>219</v>
      </c>
      <c r="C480" s="164" t="s">
        <v>331</v>
      </c>
      <c r="D480" s="149" t="s">
        <v>88</v>
      </c>
      <c r="E480" s="149" t="s">
        <v>59</v>
      </c>
      <c r="F480" s="750"/>
      <c r="G480" s="751"/>
      <c r="H480" s="751"/>
      <c r="I480" s="752"/>
      <c r="J480" s="149"/>
      <c r="K480" s="824">
        <f t="shared" ref="K480:N484" si="84">K481</f>
        <v>0</v>
      </c>
      <c r="L480" s="165">
        <f t="shared" si="84"/>
        <v>0</v>
      </c>
      <c r="M480" s="165">
        <f t="shared" si="84"/>
        <v>0</v>
      </c>
      <c r="N480" s="165">
        <f t="shared" si="84"/>
        <v>3689.7999999999997</v>
      </c>
    </row>
    <row r="481" spans="1:14" s="391" customFormat="1" ht="56.25" customHeight="1">
      <c r="A481" s="150"/>
      <c r="B481" s="163" t="s">
        <v>239</v>
      </c>
      <c r="C481" s="164" t="s">
        <v>331</v>
      </c>
      <c r="D481" s="149" t="s">
        <v>88</v>
      </c>
      <c r="E481" s="149" t="s">
        <v>59</v>
      </c>
      <c r="F481" s="750" t="s">
        <v>72</v>
      </c>
      <c r="G481" s="751" t="s">
        <v>62</v>
      </c>
      <c r="H481" s="751" t="s">
        <v>63</v>
      </c>
      <c r="I481" s="752" t="s">
        <v>64</v>
      </c>
      <c r="J481" s="149"/>
      <c r="K481" s="824">
        <f t="shared" si="84"/>
        <v>0</v>
      </c>
      <c r="L481" s="165">
        <f t="shared" si="84"/>
        <v>0</v>
      </c>
      <c r="M481" s="165">
        <f t="shared" si="84"/>
        <v>0</v>
      </c>
      <c r="N481" s="165">
        <f t="shared" si="84"/>
        <v>3689.7999999999997</v>
      </c>
    </row>
    <row r="482" spans="1:14" s="391" customFormat="1" ht="37.5">
      <c r="A482" s="150"/>
      <c r="B482" s="169" t="s">
        <v>240</v>
      </c>
      <c r="C482" s="164" t="s">
        <v>331</v>
      </c>
      <c r="D482" s="149" t="s">
        <v>88</v>
      </c>
      <c r="E482" s="149" t="s">
        <v>59</v>
      </c>
      <c r="F482" s="750" t="s">
        <v>72</v>
      </c>
      <c r="G482" s="751" t="s">
        <v>65</v>
      </c>
      <c r="H482" s="751" t="s">
        <v>63</v>
      </c>
      <c r="I482" s="752" t="s">
        <v>64</v>
      </c>
      <c r="J482" s="149"/>
      <c r="K482" s="824">
        <f t="shared" si="84"/>
        <v>0</v>
      </c>
      <c r="L482" s="165">
        <f t="shared" si="84"/>
        <v>0</v>
      </c>
      <c r="M482" s="165">
        <f t="shared" si="84"/>
        <v>0</v>
      </c>
      <c r="N482" s="165">
        <f t="shared" si="84"/>
        <v>3689.7999999999997</v>
      </c>
    </row>
    <row r="483" spans="1:14" s="391" customFormat="1" ht="21" customHeight="1">
      <c r="A483" s="150"/>
      <c r="B483" s="163" t="s">
        <v>898</v>
      </c>
      <c r="C483" s="164" t="s">
        <v>331</v>
      </c>
      <c r="D483" s="149" t="s">
        <v>88</v>
      </c>
      <c r="E483" s="149" t="s">
        <v>59</v>
      </c>
      <c r="F483" s="750" t="s">
        <v>72</v>
      </c>
      <c r="G483" s="751" t="s">
        <v>65</v>
      </c>
      <c r="H483" s="751" t="s">
        <v>897</v>
      </c>
      <c r="I483" s="752" t="s">
        <v>64</v>
      </c>
      <c r="J483" s="149"/>
      <c r="K483" s="824">
        <f t="shared" si="84"/>
        <v>0</v>
      </c>
      <c r="L483" s="165">
        <f t="shared" si="84"/>
        <v>0</v>
      </c>
      <c r="M483" s="165">
        <f t="shared" si="84"/>
        <v>0</v>
      </c>
      <c r="N483" s="165">
        <f t="shared" si="84"/>
        <v>3689.7999999999997</v>
      </c>
    </row>
    <row r="484" spans="1:14" s="391" customFormat="1" ht="56.25">
      <c r="A484" s="150"/>
      <c r="B484" s="163" t="s">
        <v>899</v>
      </c>
      <c r="C484" s="164" t="s">
        <v>331</v>
      </c>
      <c r="D484" s="149" t="s">
        <v>88</v>
      </c>
      <c r="E484" s="149" t="s">
        <v>59</v>
      </c>
      <c r="F484" s="750" t="s">
        <v>72</v>
      </c>
      <c r="G484" s="751" t="s">
        <v>65</v>
      </c>
      <c r="H484" s="751" t="s">
        <v>897</v>
      </c>
      <c r="I484" s="752" t="s">
        <v>916</v>
      </c>
      <c r="J484" s="149"/>
      <c r="K484" s="824">
        <f t="shared" si="84"/>
        <v>0</v>
      </c>
      <c r="L484" s="165">
        <f t="shared" si="84"/>
        <v>0</v>
      </c>
      <c r="M484" s="165">
        <f t="shared" si="84"/>
        <v>0</v>
      </c>
      <c r="N484" s="165">
        <f t="shared" si="84"/>
        <v>3689.7999999999997</v>
      </c>
    </row>
    <row r="485" spans="1:14" s="391" customFormat="1" ht="56.25">
      <c r="A485" s="150"/>
      <c r="B485" s="163" t="s">
        <v>75</v>
      </c>
      <c r="C485" s="164" t="s">
        <v>331</v>
      </c>
      <c r="D485" s="149" t="s">
        <v>88</v>
      </c>
      <c r="E485" s="149" t="s">
        <v>59</v>
      </c>
      <c r="F485" s="750" t="s">
        <v>72</v>
      </c>
      <c r="G485" s="751" t="s">
        <v>65</v>
      </c>
      <c r="H485" s="751" t="s">
        <v>897</v>
      </c>
      <c r="I485" s="752" t="s">
        <v>916</v>
      </c>
      <c r="J485" s="149" t="s">
        <v>76</v>
      </c>
      <c r="K485" s="824">
        <v>0</v>
      </c>
      <c r="L485" s="165">
        <f>M485-K485</f>
        <v>0</v>
      </c>
      <c r="M485" s="165">
        <v>0</v>
      </c>
      <c r="N485" s="705">
        <f>3579.1+110.7</f>
        <v>3689.7999999999997</v>
      </c>
    </row>
    <row r="486" spans="1:14" s="146" customFormat="1" ht="37.5">
      <c r="A486" s="150"/>
      <c r="B486" s="169" t="s">
        <v>221</v>
      </c>
      <c r="C486" s="164" t="s">
        <v>331</v>
      </c>
      <c r="D486" s="149" t="s">
        <v>88</v>
      </c>
      <c r="E486" s="149" t="s">
        <v>86</v>
      </c>
      <c r="F486" s="750"/>
      <c r="G486" s="751"/>
      <c r="H486" s="751"/>
      <c r="I486" s="752"/>
      <c r="J486" s="149"/>
      <c r="K486" s="824">
        <f t="shared" ref="K486:N489" si="85">K487</f>
        <v>2485.4</v>
      </c>
      <c r="L486" s="165">
        <f t="shared" si="85"/>
        <v>0</v>
      </c>
      <c r="M486" s="165">
        <f t="shared" si="85"/>
        <v>2485.4</v>
      </c>
      <c r="N486" s="165">
        <f t="shared" si="85"/>
        <v>2375.7000000000003</v>
      </c>
    </row>
    <row r="487" spans="1:14" s="146" customFormat="1" ht="60" customHeight="1">
      <c r="A487" s="150"/>
      <c r="B487" s="163" t="s">
        <v>239</v>
      </c>
      <c r="C487" s="164" t="s">
        <v>331</v>
      </c>
      <c r="D487" s="149" t="s">
        <v>88</v>
      </c>
      <c r="E487" s="149" t="s">
        <v>86</v>
      </c>
      <c r="F487" s="750" t="s">
        <v>72</v>
      </c>
      <c r="G487" s="751" t="s">
        <v>62</v>
      </c>
      <c r="H487" s="751" t="s">
        <v>63</v>
      </c>
      <c r="I487" s="752" t="s">
        <v>64</v>
      </c>
      <c r="J487" s="149"/>
      <c r="K487" s="824">
        <f t="shared" si="85"/>
        <v>2485.4</v>
      </c>
      <c r="L487" s="165">
        <f t="shared" si="85"/>
        <v>0</v>
      </c>
      <c r="M487" s="165">
        <f t="shared" si="85"/>
        <v>2485.4</v>
      </c>
      <c r="N487" s="165">
        <f t="shared" si="85"/>
        <v>2375.7000000000003</v>
      </c>
    </row>
    <row r="488" spans="1:14" s="146" customFormat="1" ht="37.5">
      <c r="A488" s="150"/>
      <c r="B488" s="167" t="s">
        <v>242</v>
      </c>
      <c r="C488" s="164" t="s">
        <v>331</v>
      </c>
      <c r="D488" s="149" t="s">
        <v>88</v>
      </c>
      <c r="E488" s="149" t="s">
        <v>86</v>
      </c>
      <c r="F488" s="750" t="s">
        <v>72</v>
      </c>
      <c r="G488" s="751" t="s">
        <v>110</v>
      </c>
      <c r="H488" s="751" t="s">
        <v>63</v>
      </c>
      <c r="I488" s="752" t="s">
        <v>64</v>
      </c>
      <c r="J488" s="149"/>
      <c r="K488" s="824">
        <f t="shared" si="85"/>
        <v>2485.4</v>
      </c>
      <c r="L488" s="165">
        <f t="shared" si="85"/>
        <v>0</v>
      </c>
      <c r="M488" s="165">
        <f t="shared" si="85"/>
        <v>2485.4</v>
      </c>
      <c r="N488" s="165">
        <f t="shared" si="85"/>
        <v>2375.7000000000003</v>
      </c>
    </row>
    <row r="489" spans="1:14" s="146" customFormat="1" ht="37.5">
      <c r="A489" s="150"/>
      <c r="B489" s="163" t="s">
        <v>322</v>
      </c>
      <c r="C489" s="164" t="s">
        <v>331</v>
      </c>
      <c r="D489" s="149" t="s">
        <v>88</v>
      </c>
      <c r="E489" s="149" t="s">
        <v>86</v>
      </c>
      <c r="F489" s="750" t="s">
        <v>72</v>
      </c>
      <c r="G489" s="751" t="s">
        <v>110</v>
      </c>
      <c r="H489" s="751" t="s">
        <v>57</v>
      </c>
      <c r="I489" s="752" t="s">
        <v>64</v>
      </c>
      <c r="J489" s="149"/>
      <c r="K489" s="824">
        <f t="shared" si="85"/>
        <v>2485.4</v>
      </c>
      <c r="L489" s="165">
        <f t="shared" si="85"/>
        <v>0</v>
      </c>
      <c r="M489" s="165">
        <f t="shared" si="85"/>
        <v>2485.4</v>
      </c>
      <c r="N489" s="165">
        <f t="shared" si="85"/>
        <v>2375.7000000000003</v>
      </c>
    </row>
    <row r="490" spans="1:14" s="146" customFormat="1" ht="37.5">
      <c r="A490" s="150"/>
      <c r="B490" s="163" t="s">
        <v>67</v>
      </c>
      <c r="C490" s="164" t="s">
        <v>331</v>
      </c>
      <c r="D490" s="149" t="s">
        <v>88</v>
      </c>
      <c r="E490" s="149" t="s">
        <v>86</v>
      </c>
      <c r="F490" s="750" t="s">
        <v>72</v>
      </c>
      <c r="G490" s="751" t="s">
        <v>110</v>
      </c>
      <c r="H490" s="751" t="s">
        <v>57</v>
      </c>
      <c r="I490" s="752" t="s">
        <v>68</v>
      </c>
      <c r="J490" s="149"/>
      <c r="K490" s="824">
        <f>K491+K492+K493</f>
        <v>2485.4</v>
      </c>
      <c r="L490" s="165">
        <f>L491+L492+L493</f>
        <v>0</v>
      </c>
      <c r="M490" s="165">
        <f>M491+M492+M493</f>
        <v>2485.4</v>
      </c>
      <c r="N490" s="165">
        <f>N491+N492+N493</f>
        <v>2375.7000000000003</v>
      </c>
    </row>
    <row r="491" spans="1:14" s="146" customFormat="1" ht="112.5">
      <c r="A491" s="150"/>
      <c r="B491" s="163" t="s">
        <v>69</v>
      </c>
      <c r="C491" s="164" t="s">
        <v>331</v>
      </c>
      <c r="D491" s="149" t="s">
        <v>88</v>
      </c>
      <c r="E491" s="149" t="s">
        <v>86</v>
      </c>
      <c r="F491" s="750" t="s">
        <v>72</v>
      </c>
      <c r="G491" s="751" t="s">
        <v>110</v>
      </c>
      <c r="H491" s="751" t="s">
        <v>57</v>
      </c>
      <c r="I491" s="752" t="s">
        <v>68</v>
      </c>
      <c r="J491" s="149" t="s">
        <v>70</v>
      </c>
      <c r="K491" s="824">
        <v>2371.8000000000002</v>
      </c>
      <c r="L491" s="165">
        <f>M491-K491</f>
        <v>0</v>
      </c>
      <c r="M491" s="165">
        <v>2371.8000000000002</v>
      </c>
      <c r="N491" s="165">
        <v>2371.8000000000002</v>
      </c>
    </row>
    <row r="492" spans="1:14" s="146" customFormat="1" ht="56.25">
      <c r="A492" s="150"/>
      <c r="B492" s="163" t="s">
        <v>75</v>
      </c>
      <c r="C492" s="164" t="s">
        <v>331</v>
      </c>
      <c r="D492" s="149" t="s">
        <v>88</v>
      </c>
      <c r="E492" s="149" t="s">
        <v>86</v>
      </c>
      <c r="F492" s="750" t="s">
        <v>72</v>
      </c>
      <c r="G492" s="751" t="s">
        <v>110</v>
      </c>
      <c r="H492" s="751" t="s">
        <v>57</v>
      </c>
      <c r="I492" s="752" t="s">
        <v>68</v>
      </c>
      <c r="J492" s="149" t="s">
        <v>76</v>
      </c>
      <c r="K492" s="824">
        <v>111.6</v>
      </c>
      <c r="L492" s="165">
        <f>M492-K492</f>
        <v>0</v>
      </c>
      <c r="M492" s="165">
        <v>111.6</v>
      </c>
      <c r="N492" s="165">
        <f>112.7-110.7</f>
        <v>2</v>
      </c>
    </row>
    <row r="493" spans="1:14" s="146" customFormat="1" ht="18.75">
      <c r="A493" s="150"/>
      <c r="B493" s="163" t="s">
        <v>77</v>
      </c>
      <c r="C493" s="164" t="s">
        <v>331</v>
      </c>
      <c r="D493" s="149" t="s">
        <v>88</v>
      </c>
      <c r="E493" s="149" t="s">
        <v>86</v>
      </c>
      <c r="F493" s="750" t="s">
        <v>72</v>
      </c>
      <c r="G493" s="751" t="s">
        <v>110</v>
      </c>
      <c r="H493" s="751" t="s">
        <v>57</v>
      </c>
      <c r="I493" s="752" t="s">
        <v>68</v>
      </c>
      <c r="J493" s="149" t="s">
        <v>78</v>
      </c>
      <c r="K493" s="824">
        <v>2</v>
      </c>
      <c r="L493" s="165">
        <f>M493-K493</f>
        <v>0</v>
      </c>
      <c r="M493" s="165">
        <v>2</v>
      </c>
      <c r="N493" s="165">
        <v>1.9</v>
      </c>
    </row>
    <row r="494" spans="1:14" s="146" customFormat="1" ht="18.75">
      <c r="A494" s="150"/>
      <c r="B494" s="163"/>
      <c r="C494" s="164"/>
      <c r="D494" s="149"/>
      <c r="E494" s="149"/>
      <c r="F494" s="750"/>
      <c r="G494" s="751"/>
      <c r="H494" s="751"/>
      <c r="I494" s="752"/>
      <c r="J494" s="149"/>
      <c r="K494" s="824"/>
      <c r="L494" s="165"/>
      <c r="M494" s="165"/>
      <c r="N494" s="165"/>
    </row>
    <row r="495" spans="1:14" s="391" customFormat="1" ht="56.25">
      <c r="A495" s="390">
        <v>8</v>
      </c>
      <c r="B495" s="157" t="s">
        <v>27</v>
      </c>
      <c r="C495" s="158" t="s">
        <v>327</v>
      </c>
      <c r="D495" s="159"/>
      <c r="E495" s="159"/>
      <c r="F495" s="160"/>
      <c r="G495" s="161"/>
      <c r="H495" s="161"/>
      <c r="I495" s="162"/>
      <c r="J495" s="159"/>
      <c r="K495" s="823">
        <f>K509+K496</f>
        <v>6151.9</v>
      </c>
      <c r="L495" s="188">
        <f>L509+L496</f>
        <v>0</v>
      </c>
      <c r="M495" s="188">
        <f>M509+M496</f>
        <v>6151.9</v>
      </c>
      <c r="N495" s="188">
        <f>N509+N496</f>
        <v>6157.1999999999989</v>
      </c>
    </row>
    <row r="496" spans="1:14" s="391" customFormat="1" ht="18.75">
      <c r="A496" s="390"/>
      <c r="B496" s="163" t="s">
        <v>56</v>
      </c>
      <c r="C496" s="164" t="s">
        <v>327</v>
      </c>
      <c r="D496" s="149" t="s">
        <v>57</v>
      </c>
      <c r="E496" s="149"/>
      <c r="F496" s="750"/>
      <c r="G496" s="751"/>
      <c r="H496" s="751"/>
      <c r="I496" s="752"/>
      <c r="J496" s="149"/>
      <c r="K496" s="824">
        <f t="shared" ref="K496:N498" si="86">K497</f>
        <v>122.39999999999999</v>
      </c>
      <c r="L496" s="579">
        <f t="shared" si="86"/>
        <v>0</v>
      </c>
      <c r="M496" s="579">
        <f t="shared" si="86"/>
        <v>122.39999999999999</v>
      </c>
      <c r="N496" s="579">
        <f t="shared" si="86"/>
        <v>122.39999999999999</v>
      </c>
    </row>
    <row r="497" spans="1:14" s="391" customFormat="1" ht="18.75">
      <c r="A497" s="390"/>
      <c r="B497" s="163" t="s">
        <v>91</v>
      </c>
      <c r="C497" s="164" t="s">
        <v>327</v>
      </c>
      <c r="D497" s="149" t="s">
        <v>57</v>
      </c>
      <c r="E497" s="149" t="s">
        <v>92</v>
      </c>
      <c r="F497" s="750"/>
      <c r="G497" s="751"/>
      <c r="H497" s="751"/>
      <c r="I497" s="752"/>
      <c r="J497" s="149"/>
      <c r="K497" s="824">
        <f t="shared" si="86"/>
        <v>122.39999999999999</v>
      </c>
      <c r="L497" s="579">
        <f t="shared" si="86"/>
        <v>0</v>
      </c>
      <c r="M497" s="579">
        <f t="shared" si="86"/>
        <v>122.39999999999999</v>
      </c>
      <c r="N497" s="579">
        <f t="shared" si="86"/>
        <v>122.39999999999999</v>
      </c>
    </row>
    <row r="498" spans="1:14" s="391" customFormat="1" ht="56.25">
      <c r="A498" s="390"/>
      <c r="B498" s="163" t="s">
        <v>243</v>
      </c>
      <c r="C498" s="164" t="s">
        <v>327</v>
      </c>
      <c r="D498" s="149" t="s">
        <v>57</v>
      </c>
      <c r="E498" s="149" t="s">
        <v>92</v>
      </c>
      <c r="F498" s="750" t="s">
        <v>86</v>
      </c>
      <c r="G498" s="751" t="s">
        <v>62</v>
      </c>
      <c r="H498" s="751" t="s">
        <v>63</v>
      </c>
      <c r="I498" s="752" t="s">
        <v>64</v>
      </c>
      <c r="J498" s="149"/>
      <c r="K498" s="824">
        <f t="shared" si="86"/>
        <v>122.39999999999999</v>
      </c>
      <c r="L498" s="579">
        <f t="shared" si="86"/>
        <v>0</v>
      </c>
      <c r="M498" s="579">
        <f t="shared" si="86"/>
        <v>122.39999999999999</v>
      </c>
      <c r="N498" s="579">
        <f t="shared" si="86"/>
        <v>122.39999999999999</v>
      </c>
    </row>
    <row r="499" spans="1:14" s="391" customFormat="1" ht="37.5">
      <c r="A499" s="390"/>
      <c r="B499" s="163" t="s">
        <v>242</v>
      </c>
      <c r="C499" s="164" t="s">
        <v>327</v>
      </c>
      <c r="D499" s="149" t="s">
        <v>57</v>
      </c>
      <c r="E499" s="149" t="s">
        <v>92</v>
      </c>
      <c r="F499" s="750" t="s">
        <v>86</v>
      </c>
      <c r="G499" s="751" t="s">
        <v>110</v>
      </c>
      <c r="H499" s="751" t="s">
        <v>63</v>
      </c>
      <c r="I499" s="752" t="s">
        <v>64</v>
      </c>
      <c r="J499" s="149"/>
      <c r="K499" s="824">
        <f>K500+K503+K506</f>
        <v>122.39999999999999</v>
      </c>
      <c r="L499" s="579">
        <f>L500+L503+L506</f>
        <v>0</v>
      </c>
      <c r="M499" s="579">
        <f>M500+M503+M506</f>
        <v>122.39999999999999</v>
      </c>
      <c r="N499" s="579">
        <f>N500+N503+N506</f>
        <v>122.39999999999999</v>
      </c>
    </row>
    <row r="500" spans="1:14" s="391" customFormat="1" ht="37.5">
      <c r="A500" s="390"/>
      <c r="B500" s="656" t="s">
        <v>428</v>
      </c>
      <c r="C500" s="164" t="s">
        <v>327</v>
      </c>
      <c r="D500" s="149" t="s">
        <v>57</v>
      </c>
      <c r="E500" s="149" t="s">
        <v>92</v>
      </c>
      <c r="F500" s="750" t="s">
        <v>86</v>
      </c>
      <c r="G500" s="751" t="s">
        <v>110</v>
      </c>
      <c r="H500" s="751" t="s">
        <v>59</v>
      </c>
      <c r="I500" s="752" t="s">
        <v>64</v>
      </c>
      <c r="J500" s="149"/>
      <c r="K500" s="824">
        <f t="shared" ref="K500:N501" si="87">K501</f>
        <v>65.099999999999994</v>
      </c>
      <c r="L500" s="579">
        <f t="shared" si="87"/>
        <v>0</v>
      </c>
      <c r="M500" s="579">
        <f t="shared" si="87"/>
        <v>65.099999999999994</v>
      </c>
      <c r="N500" s="579">
        <f t="shared" si="87"/>
        <v>65.099999999999994</v>
      </c>
    </row>
    <row r="501" spans="1:14" s="391" customFormat="1" ht="63" customHeight="1">
      <c r="A501" s="390"/>
      <c r="B501" s="656" t="s">
        <v>429</v>
      </c>
      <c r="C501" s="164" t="s">
        <v>327</v>
      </c>
      <c r="D501" s="149" t="s">
        <v>57</v>
      </c>
      <c r="E501" s="149" t="s">
        <v>92</v>
      </c>
      <c r="F501" s="750" t="s">
        <v>86</v>
      </c>
      <c r="G501" s="751" t="s">
        <v>110</v>
      </c>
      <c r="H501" s="751" t="s">
        <v>59</v>
      </c>
      <c r="I501" s="752" t="s">
        <v>126</v>
      </c>
      <c r="J501" s="149"/>
      <c r="K501" s="824">
        <f t="shared" si="87"/>
        <v>65.099999999999994</v>
      </c>
      <c r="L501" s="579">
        <f t="shared" si="87"/>
        <v>0</v>
      </c>
      <c r="M501" s="579">
        <f t="shared" si="87"/>
        <v>65.099999999999994</v>
      </c>
      <c r="N501" s="579">
        <f t="shared" si="87"/>
        <v>65.099999999999994</v>
      </c>
    </row>
    <row r="502" spans="1:14" s="391" customFormat="1" ht="56.25">
      <c r="A502" s="390"/>
      <c r="B502" s="656" t="s">
        <v>75</v>
      </c>
      <c r="C502" s="164" t="s">
        <v>327</v>
      </c>
      <c r="D502" s="149" t="s">
        <v>57</v>
      </c>
      <c r="E502" s="149" t="s">
        <v>92</v>
      </c>
      <c r="F502" s="750" t="s">
        <v>86</v>
      </c>
      <c r="G502" s="751" t="s">
        <v>110</v>
      </c>
      <c r="H502" s="751" t="s">
        <v>59</v>
      </c>
      <c r="I502" s="752" t="s">
        <v>126</v>
      </c>
      <c r="J502" s="149" t="s">
        <v>76</v>
      </c>
      <c r="K502" s="824">
        <v>65.099999999999994</v>
      </c>
      <c r="L502" s="165">
        <f>M502-K502</f>
        <v>0</v>
      </c>
      <c r="M502" s="579">
        <v>65.099999999999994</v>
      </c>
      <c r="N502" s="579">
        <v>65.099999999999994</v>
      </c>
    </row>
    <row r="503" spans="1:14" s="391" customFormat="1" ht="37.5">
      <c r="A503" s="390"/>
      <c r="B503" s="163" t="s">
        <v>799</v>
      </c>
      <c r="C503" s="164" t="s">
        <v>327</v>
      </c>
      <c r="D503" s="149" t="s">
        <v>57</v>
      </c>
      <c r="E503" s="149" t="s">
        <v>92</v>
      </c>
      <c r="F503" s="750" t="s">
        <v>86</v>
      </c>
      <c r="G503" s="751" t="s">
        <v>110</v>
      </c>
      <c r="H503" s="751" t="s">
        <v>84</v>
      </c>
      <c r="I503" s="752" t="s">
        <v>64</v>
      </c>
      <c r="J503" s="149"/>
      <c r="K503" s="824">
        <f t="shared" ref="K503:N504" si="88">K504</f>
        <v>14.8</v>
      </c>
      <c r="L503" s="579">
        <f t="shared" si="88"/>
        <v>0</v>
      </c>
      <c r="M503" s="579">
        <f t="shared" si="88"/>
        <v>14.8</v>
      </c>
      <c r="N503" s="579">
        <f t="shared" si="88"/>
        <v>14.8</v>
      </c>
    </row>
    <row r="504" spans="1:14" s="391" customFormat="1" ht="18.75">
      <c r="A504" s="390"/>
      <c r="B504" s="163" t="s">
        <v>797</v>
      </c>
      <c r="C504" s="164" t="s">
        <v>327</v>
      </c>
      <c r="D504" s="149" t="s">
        <v>57</v>
      </c>
      <c r="E504" s="149" t="s">
        <v>92</v>
      </c>
      <c r="F504" s="750" t="s">
        <v>86</v>
      </c>
      <c r="G504" s="751" t="s">
        <v>110</v>
      </c>
      <c r="H504" s="751" t="s">
        <v>84</v>
      </c>
      <c r="I504" s="752" t="s">
        <v>798</v>
      </c>
      <c r="J504" s="149"/>
      <c r="K504" s="824">
        <f t="shared" si="88"/>
        <v>14.8</v>
      </c>
      <c r="L504" s="579">
        <f t="shared" si="88"/>
        <v>0</v>
      </c>
      <c r="M504" s="579">
        <f t="shared" si="88"/>
        <v>14.8</v>
      </c>
      <c r="N504" s="579">
        <f t="shared" si="88"/>
        <v>14.8</v>
      </c>
    </row>
    <row r="505" spans="1:14" s="391" customFormat="1" ht="56.25">
      <c r="A505" s="390"/>
      <c r="B505" s="656" t="s">
        <v>75</v>
      </c>
      <c r="C505" s="164" t="s">
        <v>327</v>
      </c>
      <c r="D505" s="149" t="s">
        <v>57</v>
      </c>
      <c r="E505" s="149" t="s">
        <v>92</v>
      </c>
      <c r="F505" s="750" t="s">
        <v>86</v>
      </c>
      <c r="G505" s="751" t="s">
        <v>110</v>
      </c>
      <c r="H505" s="751" t="s">
        <v>84</v>
      </c>
      <c r="I505" s="752" t="s">
        <v>798</v>
      </c>
      <c r="J505" s="180" t="s">
        <v>76</v>
      </c>
      <c r="K505" s="824">
        <v>14.8</v>
      </c>
      <c r="L505" s="165">
        <f>M505-K505</f>
        <v>0</v>
      </c>
      <c r="M505" s="579">
        <v>14.8</v>
      </c>
      <c r="N505" s="579">
        <v>14.8</v>
      </c>
    </row>
    <row r="506" spans="1:14" s="391" customFormat="1" ht="37.5">
      <c r="A506" s="390"/>
      <c r="B506" s="656" t="s">
        <v>813</v>
      </c>
      <c r="C506" s="164" t="s">
        <v>327</v>
      </c>
      <c r="D506" s="149" t="s">
        <v>57</v>
      </c>
      <c r="E506" s="149" t="s">
        <v>92</v>
      </c>
      <c r="F506" s="750" t="s">
        <v>86</v>
      </c>
      <c r="G506" s="751" t="s">
        <v>110</v>
      </c>
      <c r="H506" s="751" t="s">
        <v>72</v>
      </c>
      <c r="I506" s="752" t="s">
        <v>64</v>
      </c>
      <c r="J506" s="159"/>
      <c r="K506" s="824">
        <f t="shared" ref="K506:N507" si="89">K507</f>
        <v>42.5</v>
      </c>
      <c r="L506" s="579">
        <f t="shared" si="89"/>
        <v>0</v>
      </c>
      <c r="M506" s="579">
        <f t="shared" si="89"/>
        <v>42.5</v>
      </c>
      <c r="N506" s="579">
        <f t="shared" si="89"/>
        <v>42.5</v>
      </c>
    </row>
    <row r="507" spans="1:14" s="391" customFormat="1" ht="37.5">
      <c r="A507" s="390"/>
      <c r="B507" s="588" t="s">
        <v>148</v>
      </c>
      <c r="C507" s="164" t="s">
        <v>327</v>
      </c>
      <c r="D507" s="149" t="s">
        <v>57</v>
      </c>
      <c r="E507" s="149" t="s">
        <v>92</v>
      </c>
      <c r="F507" s="750" t="s">
        <v>86</v>
      </c>
      <c r="G507" s="751" t="s">
        <v>110</v>
      </c>
      <c r="H507" s="751" t="s">
        <v>72</v>
      </c>
      <c r="I507" s="752" t="s">
        <v>111</v>
      </c>
      <c r="J507" s="159"/>
      <c r="K507" s="824">
        <f t="shared" si="89"/>
        <v>42.5</v>
      </c>
      <c r="L507" s="579">
        <f t="shared" si="89"/>
        <v>0</v>
      </c>
      <c r="M507" s="579">
        <f t="shared" si="89"/>
        <v>42.5</v>
      </c>
      <c r="N507" s="579">
        <f t="shared" si="89"/>
        <v>42.5</v>
      </c>
    </row>
    <row r="508" spans="1:14" s="391" customFormat="1" ht="56.25">
      <c r="A508" s="390"/>
      <c r="B508" s="656" t="s">
        <v>75</v>
      </c>
      <c r="C508" s="164" t="s">
        <v>327</v>
      </c>
      <c r="D508" s="149" t="s">
        <v>57</v>
      </c>
      <c r="E508" s="149" t="s">
        <v>92</v>
      </c>
      <c r="F508" s="750" t="s">
        <v>86</v>
      </c>
      <c r="G508" s="751" t="s">
        <v>110</v>
      </c>
      <c r="H508" s="751" t="s">
        <v>72</v>
      </c>
      <c r="I508" s="752" t="s">
        <v>111</v>
      </c>
      <c r="J508" s="180" t="s">
        <v>76</v>
      </c>
      <c r="K508" s="824">
        <v>42.5</v>
      </c>
      <c r="L508" s="165">
        <f>M508-K508</f>
        <v>0</v>
      </c>
      <c r="M508" s="579">
        <v>42.5</v>
      </c>
      <c r="N508" s="579">
        <v>42.5</v>
      </c>
    </row>
    <row r="509" spans="1:14" s="146" customFormat="1" ht="18.75">
      <c r="A509" s="390"/>
      <c r="B509" s="163" t="s">
        <v>201</v>
      </c>
      <c r="C509" s="164" t="s">
        <v>327</v>
      </c>
      <c r="D509" s="149" t="s">
        <v>246</v>
      </c>
      <c r="E509" s="149"/>
      <c r="F509" s="750"/>
      <c r="G509" s="751"/>
      <c r="H509" s="751"/>
      <c r="I509" s="752"/>
      <c r="J509" s="149"/>
      <c r="K509" s="824">
        <f>K510+K518</f>
        <v>6029.5</v>
      </c>
      <c r="L509" s="165">
        <f>L510+L518</f>
        <v>0</v>
      </c>
      <c r="M509" s="165">
        <f>M510+M518</f>
        <v>6029.5</v>
      </c>
      <c r="N509" s="165">
        <f>N510+N518</f>
        <v>6034.7999999999993</v>
      </c>
    </row>
    <row r="510" spans="1:14" s="391" customFormat="1" ht="18.75">
      <c r="A510" s="390"/>
      <c r="B510" s="163" t="s">
        <v>425</v>
      </c>
      <c r="C510" s="164" t="s">
        <v>327</v>
      </c>
      <c r="D510" s="149" t="s">
        <v>246</v>
      </c>
      <c r="E510" s="149" t="s">
        <v>246</v>
      </c>
      <c r="F510" s="750"/>
      <c r="G510" s="751"/>
      <c r="H510" s="751"/>
      <c r="I510" s="752"/>
      <c r="J510" s="149"/>
      <c r="K510" s="824">
        <f>K511</f>
        <v>3048.2</v>
      </c>
      <c r="L510" s="165">
        <f>L511</f>
        <v>0</v>
      </c>
      <c r="M510" s="165">
        <f>M511</f>
        <v>3048.2</v>
      </c>
      <c r="N510" s="165">
        <f>N511</f>
        <v>3048.2</v>
      </c>
    </row>
    <row r="511" spans="1:14" s="391" customFormat="1" ht="56.25">
      <c r="A511" s="390"/>
      <c r="B511" s="163" t="s">
        <v>243</v>
      </c>
      <c r="C511" s="164" t="s">
        <v>327</v>
      </c>
      <c r="D511" s="149" t="s">
        <v>246</v>
      </c>
      <c r="E511" s="149" t="s">
        <v>246</v>
      </c>
      <c r="F511" s="750" t="s">
        <v>86</v>
      </c>
      <c r="G511" s="751" t="s">
        <v>62</v>
      </c>
      <c r="H511" s="751" t="s">
        <v>63</v>
      </c>
      <c r="I511" s="752" t="s">
        <v>64</v>
      </c>
      <c r="J511" s="149"/>
      <c r="K511" s="824">
        <f t="shared" ref="K511:N513" si="90">K512</f>
        <v>3048.2</v>
      </c>
      <c r="L511" s="165">
        <f t="shared" si="90"/>
        <v>0</v>
      </c>
      <c r="M511" s="165">
        <f t="shared" si="90"/>
        <v>3048.2</v>
      </c>
      <c r="N511" s="165">
        <f t="shared" si="90"/>
        <v>3048.2</v>
      </c>
    </row>
    <row r="512" spans="1:14" s="391" customFormat="1" ht="18.75">
      <c r="A512" s="390"/>
      <c r="B512" s="163" t="s">
        <v>244</v>
      </c>
      <c r="C512" s="164" t="s">
        <v>327</v>
      </c>
      <c r="D512" s="149" t="s">
        <v>246</v>
      </c>
      <c r="E512" s="149" t="s">
        <v>246</v>
      </c>
      <c r="F512" s="750" t="s">
        <v>86</v>
      </c>
      <c r="G512" s="751" t="s">
        <v>65</v>
      </c>
      <c r="H512" s="751" t="s">
        <v>63</v>
      </c>
      <c r="I512" s="752" t="s">
        <v>64</v>
      </c>
      <c r="J512" s="149"/>
      <c r="K512" s="824">
        <f t="shared" si="90"/>
        <v>3048.2</v>
      </c>
      <c r="L512" s="165">
        <f t="shared" si="90"/>
        <v>0</v>
      </c>
      <c r="M512" s="165">
        <f t="shared" si="90"/>
        <v>3048.2</v>
      </c>
      <c r="N512" s="165">
        <f t="shared" si="90"/>
        <v>3048.2</v>
      </c>
    </row>
    <row r="513" spans="1:14" s="391" customFormat="1" ht="78" customHeight="1">
      <c r="A513" s="390"/>
      <c r="B513" s="163" t="s">
        <v>328</v>
      </c>
      <c r="C513" s="164" t="s">
        <v>327</v>
      </c>
      <c r="D513" s="149" t="s">
        <v>246</v>
      </c>
      <c r="E513" s="149" t="s">
        <v>246</v>
      </c>
      <c r="F513" s="750" t="s">
        <v>86</v>
      </c>
      <c r="G513" s="751" t="s">
        <v>65</v>
      </c>
      <c r="H513" s="751" t="s">
        <v>57</v>
      </c>
      <c r="I513" s="752" t="s">
        <v>64</v>
      </c>
      <c r="J513" s="149"/>
      <c r="K513" s="824">
        <f t="shared" si="90"/>
        <v>3048.2</v>
      </c>
      <c r="L513" s="165">
        <f t="shared" si="90"/>
        <v>0</v>
      </c>
      <c r="M513" s="165">
        <f t="shared" si="90"/>
        <v>3048.2</v>
      </c>
      <c r="N513" s="165">
        <f t="shared" si="90"/>
        <v>3048.2</v>
      </c>
    </row>
    <row r="514" spans="1:14" s="391" customFormat="1" ht="39" customHeight="1">
      <c r="A514" s="390"/>
      <c r="B514" s="303" t="s">
        <v>795</v>
      </c>
      <c r="C514" s="164" t="s">
        <v>327</v>
      </c>
      <c r="D514" s="149" t="s">
        <v>246</v>
      </c>
      <c r="E514" s="149" t="s">
        <v>246</v>
      </c>
      <c r="F514" s="750" t="s">
        <v>86</v>
      </c>
      <c r="G514" s="751" t="s">
        <v>65</v>
      </c>
      <c r="H514" s="751" t="s">
        <v>57</v>
      </c>
      <c r="I514" s="752" t="s">
        <v>112</v>
      </c>
      <c r="J514" s="149"/>
      <c r="K514" s="824">
        <f>K515+K516+K517</f>
        <v>3048.2</v>
      </c>
      <c r="L514" s="165">
        <f>L515+L516+L517</f>
        <v>0</v>
      </c>
      <c r="M514" s="165">
        <f>M515+M516+M517</f>
        <v>3048.2</v>
      </c>
      <c r="N514" s="165">
        <f>N515+N516+N517</f>
        <v>3048.2</v>
      </c>
    </row>
    <row r="515" spans="1:14" s="391" customFormat="1" ht="112.5">
      <c r="A515" s="150"/>
      <c r="B515" s="163" t="s">
        <v>69</v>
      </c>
      <c r="C515" s="164" t="s">
        <v>327</v>
      </c>
      <c r="D515" s="149" t="s">
        <v>246</v>
      </c>
      <c r="E515" s="149" t="s">
        <v>246</v>
      </c>
      <c r="F515" s="750" t="s">
        <v>86</v>
      </c>
      <c r="G515" s="751" t="s">
        <v>65</v>
      </c>
      <c r="H515" s="751" t="s">
        <v>57</v>
      </c>
      <c r="I515" s="752" t="s">
        <v>112</v>
      </c>
      <c r="J515" s="149" t="s">
        <v>70</v>
      </c>
      <c r="K515" s="824">
        <v>2667.4</v>
      </c>
      <c r="L515" s="165">
        <f>M515-K515</f>
        <v>0</v>
      </c>
      <c r="M515" s="165">
        <v>2667.4</v>
      </c>
      <c r="N515" s="165">
        <v>2667.4</v>
      </c>
    </row>
    <row r="516" spans="1:14" s="146" customFormat="1" ht="56.25">
      <c r="A516" s="150"/>
      <c r="B516" s="163" t="s">
        <v>75</v>
      </c>
      <c r="C516" s="164" t="s">
        <v>327</v>
      </c>
      <c r="D516" s="149" t="s">
        <v>246</v>
      </c>
      <c r="E516" s="149" t="s">
        <v>246</v>
      </c>
      <c r="F516" s="750" t="s">
        <v>86</v>
      </c>
      <c r="G516" s="751" t="s">
        <v>65</v>
      </c>
      <c r="H516" s="751" t="s">
        <v>57</v>
      </c>
      <c r="I516" s="752" t="s">
        <v>112</v>
      </c>
      <c r="J516" s="149" t="s">
        <v>76</v>
      </c>
      <c r="K516" s="824">
        <v>378.1</v>
      </c>
      <c r="L516" s="165">
        <f>M516-K516</f>
        <v>0</v>
      </c>
      <c r="M516" s="165">
        <v>378.1</v>
      </c>
      <c r="N516" s="165">
        <v>378.1</v>
      </c>
    </row>
    <row r="517" spans="1:14" s="146" customFormat="1" ht="18.75">
      <c r="A517" s="150"/>
      <c r="B517" s="163" t="s">
        <v>77</v>
      </c>
      <c r="C517" s="164" t="s">
        <v>327</v>
      </c>
      <c r="D517" s="149" t="s">
        <v>246</v>
      </c>
      <c r="E517" s="149" t="s">
        <v>246</v>
      </c>
      <c r="F517" s="750" t="s">
        <v>86</v>
      </c>
      <c r="G517" s="751" t="s">
        <v>65</v>
      </c>
      <c r="H517" s="751" t="s">
        <v>57</v>
      </c>
      <c r="I517" s="752" t="s">
        <v>112</v>
      </c>
      <c r="J517" s="149" t="s">
        <v>78</v>
      </c>
      <c r="K517" s="824">
        <v>2.7</v>
      </c>
      <c r="L517" s="165">
        <f>M517-K517</f>
        <v>0</v>
      </c>
      <c r="M517" s="165">
        <v>2.7</v>
      </c>
      <c r="N517" s="165">
        <v>2.7</v>
      </c>
    </row>
    <row r="518" spans="1:14" s="146" customFormat="1" ht="18.75">
      <c r="A518" s="150"/>
      <c r="B518" s="163" t="s">
        <v>208</v>
      </c>
      <c r="C518" s="429" t="s">
        <v>327</v>
      </c>
      <c r="D518" s="149" t="s">
        <v>246</v>
      </c>
      <c r="E518" s="149" t="s">
        <v>100</v>
      </c>
      <c r="F518" s="750"/>
      <c r="G518" s="751"/>
      <c r="H518" s="751"/>
      <c r="I518" s="752"/>
      <c r="J518" s="149"/>
      <c r="K518" s="824">
        <f t="shared" ref="K518:N521" si="91">K519</f>
        <v>2981.2999999999997</v>
      </c>
      <c r="L518" s="165">
        <f t="shared" si="91"/>
        <v>0</v>
      </c>
      <c r="M518" s="165">
        <f t="shared" si="91"/>
        <v>2981.2999999999997</v>
      </c>
      <c r="N518" s="165">
        <f t="shared" si="91"/>
        <v>2986.6</v>
      </c>
    </row>
    <row r="519" spans="1:14" s="146" customFormat="1" ht="56.25">
      <c r="A519" s="150"/>
      <c r="B519" s="163" t="s">
        <v>243</v>
      </c>
      <c r="C519" s="429" t="s">
        <v>327</v>
      </c>
      <c r="D519" s="149" t="s">
        <v>246</v>
      </c>
      <c r="E519" s="149" t="s">
        <v>100</v>
      </c>
      <c r="F519" s="750" t="s">
        <v>86</v>
      </c>
      <c r="G519" s="751" t="s">
        <v>62</v>
      </c>
      <c r="H519" s="751" t="s">
        <v>63</v>
      </c>
      <c r="I519" s="752" t="s">
        <v>64</v>
      </c>
      <c r="J519" s="149"/>
      <c r="K519" s="824">
        <f t="shared" si="91"/>
        <v>2981.2999999999997</v>
      </c>
      <c r="L519" s="165">
        <f t="shared" si="91"/>
        <v>0</v>
      </c>
      <c r="M519" s="165">
        <f t="shared" si="91"/>
        <v>2981.2999999999997</v>
      </c>
      <c r="N519" s="165">
        <f t="shared" si="91"/>
        <v>2986.6</v>
      </c>
    </row>
    <row r="520" spans="1:14" s="146" customFormat="1" ht="37.5">
      <c r="A520" s="150"/>
      <c r="B520" s="163" t="s">
        <v>242</v>
      </c>
      <c r="C520" s="164" t="s">
        <v>327</v>
      </c>
      <c r="D520" s="149" t="s">
        <v>246</v>
      </c>
      <c r="E520" s="149" t="s">
        <v>100</v>
      </c>
      <c r="F520" s="750" t="s">
        <v>86</v>
      </c>
      <c r="G520" s="751" t="s">
        <v>110</v>
      </c>
      <c r="H520" s="751" t="s">
        <v>63</v>
      </c>
      <c r="I520" s="752" t="s">
        <v>64</v>
      </c>
      <c r="J520" s="149"/>
      <c r="K520" s="824">
        <f t="shared" si="91"/>
        <v>2981.2999999999997</v>
      </c>
      <c r="L520" s="165">
        <f t="shared" si="91"/>
        <v>0</v>
      </c>
      <c r="M520" s="165">
        <f t="shared" si="91"/>
        <v>2981.2999999999997</v>
      </c>
      <c r="N520" s="165">
        <f t="shared" si="91"/>
        <v>2986.6</v>
      </c>
    </row>
    <row r="521" spans="1:14" s="391" customFormat="1" ht="37.5">
      <c r="A521" s="150"/>
      <c r="B521" s="163" t="s">
        <v>322</v>
      </c>
      <c r="C521" s="164" t="s">
        <v>327</v>
      </c>
      <c r="D521" s="149" t="s">
        <v>246</v>
      </c>
      <c r="E521" s="149" t="s">
        <v>100</v>
      </c>
      <c r="F521" s="750" t="s">
        <v>86</v>
      </c>
      <c r="G521" s="751" t="s">
        <v>110</v>
      </c>
      <c r="H521" s="751" t="s">
        <v>57</v>
      </c>
      <c r="I521" s="752" t="s">
        <v>64</v>
      </c>
      <c r="J521" s="149"/>
      <c r="K521" s="824">
        <f t="shared" si="91"/>
        <v>2981.2999999999997</v>
      </c>
      <c r="L521" s="165">
        <f t="shared" si="91"/>
        <v>0</v>
      </c>
      <c r="M521" s="165">
        <f t="shared" si="91"/>
        <v>2981.2999999999997</v>
      </c>
      <c r="N521" s="165">
        <f t="shared" si="91"/>
        <v>2986.6</v>
      </c>
    </row>
    <row r="522" spans="1:14" s="146" customFormat="1" ht="37.5">
      <c r="A522" s="150"/>
      <c r="B522" s="163" t="s">
        <v>67</v>
      </c>
      <c r="C522" s="164" t="s">
        <v>327</v>
      </c>
      <c r="D522" s="149" t="s">
        <v>246</v>
      </c>
      <c r="E522" s="149" t="s">
        <v>100</v>
      </c>
      <c r="F522" s="750" t="s">
        <v>86</v>
      </c>
      <c r="G522" s="751" t="s">
        <v>110</v>
      </c>
      <c r="H522" s="751" t="s">
        <v>57</v>
      </c>
      <c r="I522" s="752" t="s">
        <v>68</v>
      </c>
      <c r="J522" s="149"/>
      <c r="K522" s="824">
        <f>K523+K524+K525</f>
        <v>2981.2999999999997</v>
      </c>
      <c r="L522" s="165">
        <f>L523+L524+L525</f>
        <v>0</v>
      </c>
      <c r="M522" s="165">
        <f>M523+M524+M525</f>
        <v>2981.2999999999997</v>
      </c>
      <c r="N522" s="165">
        <f>N523+N524+N525</f>
        <v>2986.6</v>
      </c>
    </row>
    <row r="523" spans="1:14" s="146" customFormat="1" ht="112.5">
      <c r="A523" s="150"/>
      <c r="B523" s="163" t="s">
        <v>69</v>
      </c>
      <c r="C523" s="164" t="s">
        <v>327</v>
      </c>
      <c r="D523" s="149" t="s">
        <v>246</v>
      </c>
      <c r="E523" s="149" t="s">
        <v>100</v>
      </c>
      <c r="F523" s="750" t="s">
        <v>86</v>
      </c>
      <c r="G523" s="751" t="s">
        <v>110</v>
      </c>
      <c r="H523" s="751" t="s">
        <v>57</v>
      </c>
      <c r="I523" s="752" t="s">
        <v>68</v>
      </c>
      <c r="J523" s="149" t="s">
        <v>70</v>
      </c>
      <c r="K523" s="824">
        <v>2735.5</v>
      </c>
      <c r="L523" s="165">
        <f>M523-K523</f>
        <v>0</v>
      </c>
      <c r="M523" s="165">
        <v>2735.5</v>
      </c>
      <c r="N523" s="165">
        <v>2735.5</v>
      </c>
    </row>
    <row r="524" spans="1:14" s="146" customFormat="1" ht="56.25">
      <c r="A524" s="150"/>
      <c r="B524" s="163" t="s">
        <v>75</v>
      </c>
      <c r="C524" s="429" t="s">
        <v>327</v>
      </c>
      <c r="D524" s="322" t="s">
        <v>246</v>
      </c>
      <c r="E524" s="322" t="s">
        <v>100</v>
      </c>
      <c r="F524" s="750" t="s">
        <v>86</v>
      </c>
      <c r="G524" s="751" t="s">
        <v>110</v>
      </c>
      <c r="H524" s="751" t="s">
        <v>57</v>
      </c>
      <c r="I524" s="752" t="s">
        <v>68</v>
      </c>
      <c r="J524" s="149" t="s">
        <v>76</v>
      </c>
      <c r="K524" s="824">
        <v>244.6</v>
      </c>
      <c r="L524" s="165">
        <f>M524-K524</f>
        <v>0</v>
      </c>
      <c r="M524" s="165">
        <v>244.6</v>
      </c>
      <c r="N524" s="165">
        <v>249.9</v>
      </c>
    </row>
    <row r="525" spans="1:14" s="146" customFormat="1" ht="18.75">
      <c r="A525" s="150"/>
      <c r="B525" s="163" t="s">
        <v>77</v>
      </c>
      <c r="C525" s="429" t="s">
        <v>327</v>
      </c>
      <c r="D525" s="322" t="s">
        <v>246</v>
      </c>
      <c r="E525" s="322" t="s">
        <v>100</v>
      </c>
      <c r="F525" s="750" t="s">
        <v>86</v>
      </c>
      <c r="G525" s="751" t="s">
        <v>110</v>
      </c>
      <c r="H525" s="751" t="s">
        <v>57</v>
      </c>
      <c r="I525" s="752" t="s">
        <v>68</v>
      </c>
      <c r="J525" s="149" t="s">
        <v>78</v>
      </c>
      <c r="K525" s="824">
        <v>1.2</v>
      </c>
      <c r="L525" s="165">
        <f>M525-K525</f>
        <v>0</v>
      </c>
      <c r="M525" s="165">
        <v>1.2</v>
      </c>
      <c r="N525" s="165">
        <v>1.2</v>
      </c>
    </row>
    <row r="526" spans="1:14" s="146" customFormat="1" ht="18.75">
      <c r="A526" s="150"/>
      <c r="B526" s="163"/>
      <c r="C526" s="429"/>
      <c r="D526" s="322"/>
      <c r="E526" s="322"/>
      <c r="F526" s="750"/>
      <c r="G526" s="751"/>
      <c r="H526" s="751"/>
      <c r="I526" s="752"/>
      <c r="J526" s="149"/>
      <c r="K526" s="824"/>
      <c r="L526" s="165"/>
      <c r="M526" s="165"/>
      <c r="N526" s="165"/>
    </row>
    <row r="527" spans="1:14" s="391" customFormat="1" ht="56.25">
      <c r="A527" s="390">
        <v>9</v>
      </c>
      <c r="B527" s="157" t="s">
        <v>28</v>
      </c>
      <c r="C527" s="158" t="s">
        <v>338</v>
      </c>
      <c r="D527" s="159"/>
      <c r="E527" s="159"/>
      <c r="F527" s="160"/>
      <c r="G527" s="161"/>
      <c r="H527" s="161"/>
      <c r="I527" s="162"/>
      <c r="J527" s="159"/>
      <c r="K527" s="823">
        <f>K528+K535</f>
        <v>68121.8</v>
      </c>
      <c r="L527" s="188">
        <f>L528+L535</f>
        <v>0</v>
      </c>
      <c r="M527" s="188">
        <f>M528+M535</f>
        <v>68121.8</v>
      </c>
      <c r="N527" s="188">
        <f>N528+N535</f>
        <v>69504.600000000006</v>
      </c>
    </row>
    <row r="528" spans="1:14" s="146" customFormat="1" ht="18.75">
      <c r="A528" s="150"/>
      <c r="B528" s="169" t="s">
        <v>201</v>
      </c>
      <c r="C528" s="164" t="s">
        <v>338</v>
      </c>
      <c r="D528" s="149" t="s">
        <v>246</v>
      </c>
      <c r="E528" s="149"/>
      <c r="F528" s="750"/>
      <c r="G528" s="751"/>
      <c r="H528" s="751"/>
      <c r="I528" s="752"/>
      <c r="J528" s="149"/>
      <c r="K528" s="824">
        <f t="shared" ref="K528:N533" si="92">K529</f>
        <v>10.1</v>
      </c>
      <c r="L528" s="165">
        <f t="shared" si="92"/>
        <v>0</v>
      </c>
      <c r="M528" s="165">
        <f t="shared" si="92"/>
        <v>10.1</v>
      </c>
      <c r="N528" s="165">
        <f t="shared" si="92"/>
        <v>10.1</v>
      </c>
    </row>
    <row r="529" spans="1:14" s="391" customFormat="1" ht="18.75">
      <c r="A529" s="150"/>
      <c r="B529" s="163" t="s">
        <v>425</v>
      </c>
      <c r="C529" s="164" t="s">
        <v>338</v>
      </c>
      <c r="D529" s="149" t="s">
        <v>246</v>
      </c>
      <c r="E529" s="149" t="s">
        <v>246</v>
      </c>
      <c r="F529" s="750"/>
      <c r="G529" s="751"/>
      <c r="H529" s="751"/>
      <c r="I529" s="752"/>
      <c r="J529" s="149"/>
      <c r="K529" s="824">
        <f t="shared" si="92"/>
        <v>10.1</v>
      </c>
      <c r="L529" s="165">
        <f t="shared" si="92"/>
        <v>0</v>
      </c>
      <c r="M529" s="165">
        <f t="shared" si="92"/>
        <v>10.1</v>
      </c>
      <c r="N529" s="165">
        <f t="shared" si="92"/>
        <v>10.1</v>
      </c>
    </row>
    <row r="530" spans="1:14" s="391" customFormat="1" ht="56.25">
      <c r="A530" s="150"/>
      <c r="B530" s="163" t="s">
        <v>339</v>
      </c>
      <c r="C530" s="164" t="s">
        <v>338</v>
      </c>
      <c r="D530" s="149" t="s">
        <v>246</v>
      </c>
      <c r="E530" s="149" t="s">
        <v>246</v>
      </c>
      <c r="F530" s="750" t="s">
        <v>100</v>
      </c>
      <c r="G530" s="751" t="s">
        <v>62</v>
      </c>
      <c r="H530" s="751" t="s">
        <v>63</v>
      </c>
      <c r="I530" s="752" t="s">
        <v>64</v>
      </c>
      <c r="J530" s="149"/>
      <c r="K530" s="824">
        <f t="shared" si="92"/>
        <v>10.1</v>
      </c>
      <c r="L530" s="165">
        <f t="shared" si="92"/>
        <v>0</v>
      </c>
      <c r="M530" s="165">
        <f t="shared" si="92"/>
        <v>10.1</v>
      </c>
      <c r="N530" s="165">
        <f t="shared" si="92"/>
        <v>10.1</v>
      </c>
    </row>
    <row r="531" spans="1:14" s="391" customFormat="1" ht="37.5">
      <c r="A531" s="150"/>
      <c r="B531" s="163" t="s">
        <v>404</v>
      </c>
      <c r="C531" s="164" t="s">
        <v>338</v>
      </c>
      <c r="D531" s="149" t="s">
        <v>246</v>
      </c>
      <c r="E531" s="149" t="s">
        <v>246</v>
      </c>
      <c r="F531" s="750" t="s">
        <v>100</v>
      </c>
      <c r="G531" s="751" t="s">
        <v>65</v>
      </c>
      <c r="H531" s="751" t="s">
        <v>63</v>
      </c>
      <c r="I531" s="752" t="s">
        <v>64</v>
      </c>
      <c r="J531" s="149"/>
      <c r="K531" s="824">
        <f t="shared" si="92"/>
        <v>10.1</v>
      </c>
      <c r="L531" s="165">
        <f t="shared" si="92"/>
        <v>0</v>
      </c>
      <c r="M531" s="165">
        <f t="shared" si="92"/>
        <v>10.1</v>
      </c>
      <c r="N531" s="165">
        <f t="shared" si="92"/>
        <v>10.1</v>
      </c>
    </row>
    <row r="532" spans="1:14" s="391" customFormat="1" ht="37.5">
      <c r="A532" s="150"/>
      <c r="B532" s="163" t="s">
        <v>325</v>
      </c>
      <c r="C532" s="164" t="s">
        <v>338</v>
      </c>
      <c r="D532" s="149" t="s">
        <v>246</v>
      </c>
      <c r="E532" s="149" t="s">
        <v>246</v>
      </c>
      <c r="F532" s="750" t="s">
        <v>100</v>
      </c>
      <c r="G532" s="751" t="s">
        <v>65</v>
      </c>
      <c r="H532" s="751" t="s">
        <v>57</v>
      </c>
      <c r="I532" s="752" t="s">
        <v>64</v>
      </c>
      <c r="J532" s="149"/>
      <c r="K532" s="824">
        <f t="shared" si="92"/>
        <v>10.1</v>
      </c>
      <c r="L532" s="165">
        <f t="shared" si="92"/>
        <v>0</v>
      </c>
      <c r="M532" s="165">
        <f t="shared" si="92"/>
        <v>10.1</v>
      </c>
      <c r="N532" s="165">
        <f t="shared" si="92"/>
        <v>10.1</v>
      </c>
    </row>
    <row r="533" spans="1:14" s="391" customFormat="1" ht="153.75" customHeight="1">
      <c r="A533" s="150"/>
      <c r="B533" s="431" t="s">
        <v>439</v>
      </c>
      <c r="C533" s="164" t="s">
        <v>338</v>
      </c>
      <c r="D533" s="149" t="s">
        <v>246</v>
      </c>
      <c r="E533" s="149" t="s">
        <v>246</v>
      </c>
      <c r="F533" s="750" t="s">
        <v>100</v>
      </c>
      <c r="G533" s="751" t="s">
        <v>65</v>
      </c>
      <c r="H533" s="751" t="s">
        <v>57</v>
      </c>
      <c r="I533" s="752" t="s">
        <v>340</v>
      </c>
      <c r="J533" s="149"/>
      <c r="K533" s="824">
        <f t="shared" si="92"/>
        <v>10.1</v>
      </c>
      <c r="L533" s="165">
        <f t="shared" si="92"/>
        <v>0</v>
      </c>
      <c r="M533" s="165">
        <f t="shared" si="92"/>
        <v>10.1</v>
      </c>
      <c r="N533" s="165">
        <f t="shared" si="92"/>
        <v>10.1</v>
      </c>
    </row>
    <row r="534" spans="1:14" s="391" customFormat="1" ht="37.5">
      <c r="A534" s="150"/>
      <c r="B534" s="163" t="s">
        <v>141</v>
      </c>
      <c r="C534" s="164" t="s">
        <v>338</v>
      </c>
      <c r="D534" s="149" t="s">
        <v>246</v>
      </c>
      <c r="E534" s="149" t="s">
        <v>246</v>
      </c>
      <c r="F534" s="750" t="s">
        <v>100</v>
      </c>
      <c r="G534" s="751" t="s">
        <v>65</v>
      </c>
      <c r="H534" s="751" t="s">
        <v>57</v>
      </c>
      <c r="I534" s="752" t="s">
        <v>340</v>
      </c>
      <c r="J534" s="149" t="s">
        <v>142</v>
      </c>
      <c r="K534" s="824">
        <v>10.1</v>
      </c>
      <c r="L534" s="165">
        <f>M534-K534</f>
        <v>0</v>
      </c>
      <c r="M534" s="165">
        <v>10.1</v>
      </c>
      <c r="N534" s="165">
        <v>10.1</v>
      </c>
    </row>
    <row r="535" spans="1:14" s="146" customFormat="1" ht="18.75">
      <c r="A535" s="150"/>
      <c r="B535" s="169" t="s">
        <v>140</v>
      </c>
      <c r="C535" s="164" t="s">
        <v>338</v>
      </c>
      <c r="D535" s="149" t="s">
        <v>125</v>
      </c>
      <c r="E535" s="149"/>
      <c r="F535" s="750"/>
      <c r="G535" s="751"/>
      <c r="H535" s="751"/>
      <c r="I535" s="752"/>
      <c r="J535" s="149"/>
      <c r="K535" s="824">
        <f>K536+K552</f>
        <v>68111.7</v>
      </c>
      <c r="L535" s="165">
        <f>L536+L552</f>
        <v>0</v>
      </c>
      <c r="M535" s="165">
        <f>M536+M552</f>
        <v>68111.7</v>
      </c>
      <c r="N535" s="165">
        <f>N536+N552</f>
        <v>69494.5</v>
      </c>
    </row>
    <row r="536" spans="1:14" s="146" customFormat="1" ht="18.75">
      <c r="A536" s="150"/>
      <c r="B536" s="163" t="s">
        <v>215</v>
      </c>
      <c r="C536" s="164" t="s">
        <v>338</v>
      </c>
      <c r="D536" s="149" t="s">
        <v>125</v>
      </c>
      <c r="E536" s="149" t="s">
        <v>72</v>
      </c>
      <c r="F536" s="750"/>
      <c r="G536" s="751"/>
      <c r="H536" s="751"/>
      <c r="I536" s="752"/>
      <c r="J536" s="149"/>
      <c r="K536" s="824">
        <f t="shared" ref="K536:N538" si="93">K537</f>
        <v>60520</v>
      </c>
      <c r="L536" s="165">
        <f t="shared" si="93"/>
        <v>0</v>
      </c>
      <c r="M536" s="165">
        <f t="shared" si="93"/>
        <v>60520</v>
      </c>
      <c r="N536" s="165">
        <f t="shared" si="93"/>
        <v>61902.799999999996</v>
      </c>
    </row>
    <row r="537" spans="1:14" s="146" customFormat="1" ht="56.25">
      <c r="A537" s="150"/>
      <c r="B537" s="167" t="s">
        <v>252</v>
      </c>
      <c r="C537" s="164" t="s">
        <v>338</v>
      </c>
      <c r="D537" s="149" t="s">
        <v>125</v>
      </c>
      <c r="E537" s="149" t="s">
        <v>72</v>
      </c>
      <c r="F537" s="750" t="s">
        <v>100</v>
      </c>
      <c r="G537" s="751" t="s">
        <v>62</v>
      </c>
      <c r="H537" s="751" t="s">
        <v>63</v>
      </c>
      <c r="I537" s="752" t="s">
        <v>64</v>
      </c>
      <c r="J537" s="149"/>
      <c r="K537" s="824">
        <f t="shared" si="93"/>
        <v>60520</v>
      </c>
      <c r="L537" s="165">
        <f t="shared" si="93"/>
        <v>0</v>
      </c>
      <c r="M537" s="165">
        <f t="shared" si="93"/>
        <v>60520</v>
      </c>
      <c r="N537" s="165">
        <f t="shared" si="93"/>
        <v>61902.799999999996</v>
      </c>
    </row>
    <row r="538" spans="1:14" s="146" customFormat="1" ht="37.5">
      <c r="A538" s="150"/>
      <c r="B538" s="163" t="s">
        <v>404</v>
      </c>
      <c r="C538" s="164" t="s">
        <v>338</v>
      </c>
      <c r="D538" s="149" t="s">
        <v>125</v>
      </c>
      <c r="E538" s="149" t="s">
        <v>72</v>
      </c>
      <c r="F538" s="750" t="s">
        <v>100</v>
      </c>
      <c r="G538" s="751" t="s">
        <v>65</v>
      </c>
      <c r="H538" s="751" t="s">
        <v>63</v>
      </c>
      <c r="I538" s="752" t="s">
        <v>64</v>
      </c>
      <c r="J538" s="149"/>
      <c r="K538" s="824">
        <f t="shared" si="93"/>
        <v>60520</v>
      </c>
      <c r="L538" s="165">
        <f t="shared" si="93"/>
        <v>0</v>
      </c>
      <c r="M538" s="165">
        <f t="shared" si="93"/>
        <v>60520</v>
      </c>
      <c r="N538" s="165">
        <f t="shared" si="93"/>
        <v>61902.799999999996</v>
      </c>
    </row>
    <row r="539" spans="1:14" s="391" customFormat="1" ht="37.5">
      <c r="A539" s="150"/>
      <c r="B539" s="163" t="s">
        <v>325</v>
      </c>
      <c r="C539" s="164" t="s">
        <v>338</v>
      </c>
      <c r="D539" s="149" t="s">
        <v>125</v>
      </c>
      <c r="E539" s="149" t="s">
        <v>72</v>
      </c>
      <c r="F539" s="750" t="s">
        <v>100</v>
      </c>
      <c r="G539" s="751" t="s">
        <v>65</v>
      </c>
      <c r="H539" s="751" t="s">
        <v>57</v>
      </c>
      <c r="I539" s="752" t="s">
        <v>64</v>
      </c>
      <c r="J539" s="149"/>
      <c r="K539" s="824">
        <f>K540+K543+K546+K549</f>
        <v>60520</v>
      </c>
      <c r="L539" s="165">
        <f>L540+L543+L546+L549</f>
        <v>0</v>
      </c>
      <c r="M539" s="165">
        <f>M540+M543+M546+M549</f>
        <v>60520</v>
      </c>
      <c r="N539" s="165">
        <f>N540+N543+N546+N549</f>
        <v>61902.799999999996</v>
      </c>
    </row>
    <row r="540" spans="1:14" s="391" customFormat="1" ht="152.25" customHeight="1">
      <c r="A540" s="150"/>
      <c r="B540" s="431" t="s">
        <v>440</v>
      </c>
      <c r="C540" s="164" t="s">
        <v>338</v>
      </c>
      <c r="D540" s="149" t="s">
        <v>125</v>
      </c>
      <c r="E540" s="149" t="s">
        <v>72</v>
      </c>
      <c r="F540" s="750" t="s">
        <v>100</v>
      </c>
      <c r="G540" s="751" t="s">
        <v>65</v>
      </c>
      <c r="H540" s="751" t="s">
        <v>57</v>
      </c>
      <c r="I540" s="752" t="s">
        <v>341</v>
      </c>
      <c r="J540" s="149"/>
      <c r="K540" s="824">
        <f>SUM(K541:K542)</f>
        <v>34301.300000000003</v>
      </c>
      <c r="L540" s="165">
        <f>SUM(L541:L542)</f>
        <v>0</v>
      </c>
      <c r="M540" s="165">
        <f>SUM(M541:M542)</f>
        <v>34301.300000000003</v>
      </c>
      <c r="N540" s="165">
        <f>SUM(N541:N542)</f>
        <v>35673.9</v>
      </c>
    </row>
    <row r="541" spans="1:14" s="391" customFormat="1" ht="56.25">
      <c r="A541" s="150"/>
      <c r="B541" s="163" t="s">
        <v>75</v>
      </c>
      <c r="C541" s="164" t="s">
        <v>338</v>
      </c>
      <c r="D541" s="149" t="s">
        <v>125</v>
      </c>
      <c r="E541" s="149" t="s">
        <v>72</v>
      </c>
      <c r="F541" s="750" t="s">
        <v>100</v>
      </c>
      <c r="G541" s="751" t="s">
        <v>65</v>
      </c>
      <c r="H541" s="751" t="s">
        <v>57</v>
      </c>
      <c r="I541" s="752" t="s">
        <v>341</v>
      </c>
      <c r="J541" s="149" t="s">
        <v>76</v>
      </c>
      <c r="K541" s="824">
        <v>171.5</v>
      </c>
      <c r="L541" s="165">
        <f>M541-K541</f>
        <v>0</v>
      </c>
      <c r="M541" s="165">
        <v>171.5</v>
      </c>
      <c r="N541" s="165">
        <v>178.4</v>
      </c>
    </row>
    <row r="542" spans="1:14" s="391" customFormat="1" ht="37.5">
      <c r="A542" s="150"/>
      <c r="B542" s="163" t="s">
        <v>141</v>
      </c>
      <c r="C542" s="164" t="s">
        <v>338</v>
      </c>
      <c r="D542" s="149" t="s">
        <v>125</v>
      </c>
      <c r="E542" s="149" t="s">
        <v>72</v>
      </c>
      <c r="F542" s="750" t="s">
        <v>100</v>
      </c>
      <c r="G542" s="751" t="s">
        <v>65</v>
      </c>
      <c r="H542" s="751" t="s">
        <v>57</v>
      </c>
      <c r="I542" s="752" t="s">
        <v>341</v>
      </c>
      <c r="J542" s="149" t="s">
        <v>142</v>
      </c>
      <c r="K542" s="824">
        <v>34129.800000000003</v>
      </c>
      <c r="L542" s="165">
        <f>M542-K542</f>
        <v>0</v>
      </c>
      <c r="M542" s="165">
        <v>34129.800000000003</v>
      </c>
      <c r="N542" s="165">
        <v>35495.5</v>
      </c>
    </row>
    <row r="543" spans="1:14" s="391" customFormat="1" ht="93.75" customHeight="1">
      <c r="A543" s="150"/>
      <c r="B543" s="163" t="s">
        <v>441</v>
      </c>
      <c r="C543" s="164" t="s">
        <v>338</v>
      </c>
      <c r="D543" s="149" t="s">
        <v>125</v>
      </c>
      <c r="E543" s="149" t="s">
        <v>72</v>
      </c>
      <c r="F543" s="750" t="s">
        <v>100</v>
      </c>
      <c r="G543" s="751" t="s">
        <v>65</v>
      </c>
      <c r="H543" s="751" t="s">
        <v>57</v>
      </c>
      <c r="I543" s="752" t="s">
        <v>342</v>
      </c>
      <c r="J543" s="149"/>
      <c r="K543" s="824">
        <f>SUM(K544:K545)</f>
        <v>25619.1</v>
      </c>
      <c r="L543" s="165">
        <f>SUM(L544:L545)</f>
        <v>0</v>
      </c>
      <c r="M543" s="165">
        <f>SUM(M544:M545)</f>
        <v>25619.1</v>
      </c>
      <c r="N543" s="165">
        <f>SUM(N544:N545)</f>
        <v>25619.1</v>
      </c>
    </row>
    <row r="544" spans="1:14" s="391" customFormat="1" ht="56.25">
      <c r="A544" s="150"/>
      <c r="B544" s="163" t="s">
        <v>75</v>
      </c>
      <c r="C544" s="164" t="s">
        <v>338</v>
      </c>
      <c r="D544" s="149" t="s">
        <v>125</v>
      </c>
      <c r="E544" s="149" t="s">
        <v>72</v>
      </c>
      <c r="F544" s="750" t="s">
        <v>100</v>
      </c>
      <c r="G544" s="751" t="s">
        <v>65</v>
      </c>
      <c r="H544" s="751" t="s">
        <v>57</v>
      </c>
      <c r="I544" s="752" t="s">
        <v>342</v>
      </c>
      <c r="J544" s="149" t="s">
        <v>76</v>
      </c>
      <c r="K544" s="824">
        <v>128.1</v>
      </c>
      <c r="L544" s="165">
        <f>M544-K544</f>
        <v>0</v>
      </c>
      <c r="M544" s="165">
        <v>128.1</v>
      </c>
      <c r="N544" s="165">
        <v>128.1</v>
      </c>
    </row>
    <row r="545" spans="1:14" s="391" customFormat="1" ht="37.5">
      <c r="A545" s="150"/>
      <c r="B545" s="163" t="s">
        <v>141</v>
      </c>
      <c r="C545" s="164" t="s">
        <v>338</v>
      </c>
      <c r="D545" s="149" t="s">
        <v>125</v>
      </c>
      <c r="E545" s="149" t="s">
        <v>72</v>
      </c>
      <c r="F545" s="750" t="s">
        <v>100</v>
      </c>
      <c r="G545" s="751" t="s">
        <v>65</v>
      </c>
      <c r="H545" s="751" t="s">
        <v>57</v>
      </c>
      <c r="I545" s="752" t="s">
        <v>342</v>
      </c>
      <c r="J545" s="149" t="s">
        <v>142</v>
      </c>
      <c r="K545" s="824">
        <v>25491</v>
      </c>
      <c r="L545" s="165">
        <f>M545-K545</f>
        <v>0</v>
      </c>
      <c r="M545" s="165">
        <v>25491</v>
      </c>
      <c r="N545" s="165">
        <v>25491</v>
      </c>
    </row>
    <row r="546" spans="1:14" s="391" customFormat="1" ht="94.5" customHeight="1">
      <c r="A546" s="150"/>
      <c r="B546" s="163" t="s">
        <v>442</v>
      </c>
      <c r="C546" s="164" t="s">
        <v>338</v>
      </c>
      <c r="D546" s="149" t="s">
        <v>125</v>
      </c>
      <c r="E546" s="149" t="s">
        <v>72</v>
      </c>
      <c r="F546" s="750" t="s">
        <v>100</v>
      </c>
      <c r="G546" s="751" t="s">
        <v>65</v>
      </c>
      <c r="H546" s="751" t="s">
        <v>57</v>
      </c>
      <c r="I546" s="752" t="s">
        <v>343</v>
      </c>
      <c r="J546" s="149"/>
      <c r="K546" s="824">
        <f>SUM(K547:K548)</f>
        <v>252.9</v>
      </c>
      <c r="L546" s="165">
        <f>SUM(L547:L548)</f>
        <v>0</v>
      </c>
      <c r="M546" s="165">
        <f>SUM(M547:M548)</f>
        <v>252.9</v>
      </c>
      <c r="N546" s="165">
        <f>SUM(N547:N548)</f>
        <v>263.10000000000002</v>
      </c>
    </row>
    <row r="547" spans="1:14" s="391" customFormat="1" ht="56.25">
      <c r="A547" s="150"/>
      <c r="B547" s="163" t="s">
        <v>75</v>
      </c>
      <c r="C547" s="164" t="s">
        <v>338</v>
      </c>
      <c r="D547" s="149" t="s">
        <v>125</v>
      </c>
      <c r="E547" s="149" t="s">
        <v>72</v>
      </c>
      <c r="F547" s="750" t="s">
        <v>100</v>
      </c>
      <c r="G547" s="751" t="s">
        <v>65</v>
      </c>
      <c r="H547" s="751" t="s">
        <v>57</v>
      </c>
      <c r="I547" s="752" t="s">
        <v>343</v>
      </c>
      <c r="J547" s="149" t="s">
        <v>76</v>
      </c>
      <c r="K547" s="824">
        <v>1.2</v>
      </c>
      <c r="L547" s="165">
        <f>M547-K547</f>
        <v>0</v>
      </c>
      <c r="M547" s="165">
        <v>1.2</v>
      </c>
      <c r="N547" s="165">
        <v>1.3</v>
      </c>
    </row>
    <row r="548" spans="1:14" s="391" customFormat="1" ht="37.5">
      <c r="A548" s="150"/>
      <c r="B548" s="163" t="s">
        <v>141</v>
      </c>
      <c r="C548" s="164" t="s">
        <v>338</v>
      </c>
      <c r="D548" s="149" t="s">
        <v>125</v>
      </c>
      <c r="E548" s="149" t="s">
        <v>72</v>
      </c>
      <c r="F548" s="750" t="s">
        <v>100</v>
      </c>
      <c r="G548" s="751" t="s">
        <v>65</v>
      </c>
      <c r="H548" s="751" t="s">
        <v>57</v>
      </c>
      <c r="I548" s="752" t="s">
        <v>343</v>
      </c>
      <c r="J548" s="149" t="s">
        <v>142</v>
      </c>
      <c r="K548" s="824">
        <v>251.70000000000002</v>
      </c>
      <c r="L548" s="165">
        <f>M548-K548</f>
        <v>0</v>
      </c>
      <c r="M548" s="165">
        <v>251.70000000000002</v>
      </c>
      <c r="N548" s="165">
        <v>261.8</v>
      </c>
    </row>
    <row r="549" spans="1:14" s="391" customFormat="1" ht="116.25" customHeight="1">
      <c r="A549" s="150"/>
      <c r="B549" s="163" t="s">
        <v>448</v>
      </c>
      <c r="C549" s="164" t="s">
        <v>338</v>
      </c>
      <c r="D549" s="149" t="s">
        <v>125</v>
      </c>
      <c r="E549" s="149" t="s">
        <v>72</v>
      </c>
      <c r="F549" s="750" t="s">
        <v>100</v>
      </c>
      <c r="G549" s="751" t="s">
        <v>65</v>
      </c>
      <c r="H549" s="751" t="s">
        <v>57</v>
      </c>
      <c r="I549" s="752" t="s">
        <v>344</v>
      </c>
      <c r="J549" s="149"/>
      <c r="K549" s="824">
        <f>SUM(K550:K551)</f>
        <v>346.7</v>
      </c>
      <c r="L549" s="165">
        <f>SUM(L550:L551)</f>
        <v>0</v>
      </c>
      <c r="M549" s="165">
        <f>SUM(M550:M551)</f>
        <v>346.7</v>
      </c>
      <c r="N549" s="165">
        <f>SUM(N550:N551)</f>
        <v>346.7</v>
      </c>
    </row>
    <row r="550" spans="1:14" s="391" customFormat="1" ht="56.25">
      <c r="A550" s="150"/>
      <c r="B550" s="163" t="s">
        <v>75</v>
      </c>
      <c r="C550" s="164" t="s">
        <v>338</v>
      </c>
      <c r="D550" s="149" t="s">
        <v>125</v>
      </c>
      <c r="E550" s="149" t="s">
        <v>72</v>
      </c>
      <c r="F550" s="750" t="s">
        <v>100</v>
      </c>
      <c r="G550" s="751" t="s">
        <v>65</v>
      </c>
      <c r="H550" s="751" t="s">
        <v>57</v>
      </c>
      <c r="I550" s="752" t="s">
        <v>344</v>
      </c>
      <c r="J550" s="149" t="s">
        <v>76</v>
      </c>
      <c r="K550" s="824">
        <v>1.7</v>
      </c>
      <c r="L550" s="165">
        <f>M550-K550</f>
        <v>0</v>
      </c>
      <c r="M550" s="165">
        <v>1.7</v>
      </c>
      <c r="N550" s="165">
        <v>1.7</v>
      </c>
    </row>
    <row r="551" spans="1:14" s="391" customFormat="1" ht="37.5">
      <c r="A551" s="150"/>
      <c r="B551" s="163" t="s">
        <v>141</v>
      </c>
      <c r="C551" s="164" t="s">
        <v>338</v>
      </c>
      <c r="D551" s="149" t="s">
        <v>125</v>
      </c>
      <c r="E551" s="149" t="s">
        <v>72</v>
      </c>
      <c r="F551" s="750" t="s">
        <v>100</v>
      </c>
      <c r="G551" s="751" t="s">
        <v>65</v>
      </c>
      <c r="H551" s="751" t="s">
        <v>57</v>
      </c>
      <c r="I551" s="752" t="s">
        <v>344</v>
      </c>
      <c r="J551" s="149" t="s">
        <v>142</v>
      </c>
      <c r="K551" s="824">
        <v>345</v>
      </c>
      <c r="L551" s="165">
        <f>M551-K551</f>
        <v>0</v>
      </c>
      <c r="M551" s="165">
        <v>345</v>
      </c>
      <c r="N551" s="165">
        <v>345</v>
      </c>
    </row>
    <row r="552" spans="1:14" s="146" customFormat="1" ht="37.5">
      <c r="A552" s="150"/>
      <c r="B552" s="163" t="s">
        <v>345</v>
      </c>
      <c r="C552" s="164" t="s">
        <v>338</v>
      </c>
      <c r="D552" s="149" t="s">
        <v>125</v>
      </c>
      <c r="E552" s="149" t="s">
        <v>102</v>
      </c>
      <c r="F552" s="750"/>
      <c r="G552" s="751"/>
      <c r="H552" s="751"/>
      <c r="I552" s="752"/>
      <c r="J552" s="149"/>
      <c r="K552" s="824">
        <f t="shared" ref="K552:N554" si="94">K553</f>
        <v>7591.7</v>
      </c>
      <c r="L552" s="165">
        <f t="shared" si="94"/>
        <v>0</v>
      </c>
      <c r="M552" s="165">
        <f t="shared" si="94"/>
        <v>7591.7</v>
      </c>
      <c r="N552" s="165">
        <f t="shared" si="94"/>
        <v>7591.7</v>
      </c>
    </row>
    <row r="553" spans="1:14" s="146" customFormat="1" ht="56.25">
      <c r="A553" s="150"/>
      <c r="B553" s="167" t="s">
        <v>252</v>
      </c>
      <c r="C553" s="164" t="s">
        <v>338</v>
      </c>
      <c r="D553" s="149" t="s">
        <v>125</v>
      </c>
      <c r="E553" s="149" t="s">
        <v>102</v>
      </c>
      <c r="F553" s="750" t="s">
        <v>100</v>
      </c>
      <c r="G553" s="751" t="s">
        <v>62</v>
      </c>
      <c r="H553" s="751" t="s">
        <v>63</v>
      </c>
      <c r="I553" s="752" t="s">
        <v>64</v>
      </c>
      <c r="J553" s="149"/>
      <c r="K553" s="824">
        <f t="shared" si="94"/>
        <v>7591.7</v>
      </c>
      <c r="L553" s="165">
        <f t="shared" si="94"/>
        <v>0</v>
      </c>
      <c r="M553" s="165">
        <f t="shared" si="94"/>
        <v>7591.7</v>
      </c>
      <c r="N553" s="165">
        <f t="shared" si="94"/>
        <v>7591.7</v>
      </c>
    </row>
    <row r="554" spans="1:14" s="146" customFormat="1" ht="37.5">
      <c r="A554" s="150"/>
      <c r="B554" s="163" t="s">
        <v>404</v>
      </c>
      <c r="C554" s="164" t="s">
        <v>338</v>
      </c>
      <c r="D554" s="149" t="s">
        <v>125</v>
      </c>
      <c r="E554" s="149" t="s">
        <v>102</v>
      </c>
      <c r="F554" s="750" t="s">
        <v>100</v>
      </c>
      <c r="G554" s="751" t="s">
        <v>65</v>
      </c>
      <c r="H554" s="751" t="s">
        <v>63</v>
      </c>
      <c r="I554" s="752" t="s">
        <v>64</v>
      </c>
      <c r="J554" s="149"/>
      <c r="K554" s="824">
        <f t="shared" si="94"/>
        <v>7591.7</v>
      </c>
      <c r="L554" s="165">
        <f t="shared" si="94"/>
        <v>0</v>
      </c>
      <c r="M554" s="165">
        <f t="shared" si="94"/>
        <v>7591.7</v>
      </c>
      <c r="N554" s="165">
        <f t="shared" si="94"/>
        <v>7591.7</v>
      </c>
    </row>
    <row r="555" spans="1:14" s="391" customFormat="1" ht="37.5">
      <c r="A555" s="150"/>
      <c r="B555" s="163" t="s">
        <v>251</v>
      </c>
      <c r="C555" s="164" t="s">
        <v>338</v>
      </c>
      <c r="D555" s="149" t="s">
        <v>125</v>
      </c>
      <c r="E555" s="149" t="s">
        <v>102</v>
      </c>
      <c r="F555" s="750" t="s">
        <v>100</v>
      </c>
      <c r="G555" s="751" t="s">
        <v>65</v>
      </c>
      <c r="H555" s="751" t="s">
        <v>84</v>
      </c>
      <c r="I555" s="752" t="s">
        <v>64</v>
      </c>
      <c r="J555" s="149"/>
      <c r="K555" s="824">
        <f>K556+K559+K562</f>
        <v>7591.7</v>
      </c>
      <c r="L555" s="165">
        <f>L556+L559+L562</f>
        <v>0</v>
      </c>
      <c r="M555" s="165">
        <f>M556+M559+M562</f>
        <v>7591.7</v>
      </c>
      <c r="N555" s="165">
        <f>N556+N559+N562</f>
        <v>7591.7</v>
      </c>
    </row>
    <row r="556" spans="1:14" s="391" customFormat="1" ht="75.75" customHeight="1">
      <c r="A556" s="150"/>
      <c r="B556" s="163" t="s">
        <v>253</v>
      </c>
      <c r="C556" s="164" t="s">
        <v>338</v>
      </c>
      <c r="D556" s="149" t="s">
        <v>125</v>
      </c>
      <c r="E556" s="149" t="s">
        <v>102</v>
      </c>
      <c r="F556" s="750" t="s">
        <v>100</v>
      </c>
      <c r="G556" s="751" t="s">
        <v>65</v>
      </c>
      <c r="H556" s="751" t="s">
        <v>84</v>
      </c>
      <c r="I556" s="752" t="s">
        <v>346</v>
      </c>
      <c r="J556" s="149"/>
      <c r="K556" s="824">
        <f>K557+K558</f>
        <v>6084</v>
      </c>
      <c r="L556" s="165">
        <f>L557+L558</f>
        <v>0</v>
      </c>
      <c r="M556" s="165">
        <f>M557+M558</f>
        <v>6084</v>
      </c>
      <c r="N556" s="165">
        <f>N557+N558</f>
        <v>6084</v>
      </c>
    </row>
    <row r="557" spans="1:14" s="391" customFormat="1" ht="112.5">
      <c r="A557" s="150"/>
      <c r="B557" s="163" t="s">
        <v>69</v>
      </c>
      <c r="C557" s="164" t="s">
        <v>338</v>
      </c>
      <c r="D557" s="149" t="s">
        <v>125</v>
      </c>
      <c r="E557" s="149" t="s">
        <v>102</v>
      </c>
      <c r="F557" s="750" t="s">
        <v>100</v>
      </c>
      <c r="G557" s="751" t="s">
        <v>65</v>
      </c>
      <c r="H557" s="751" t="s">
        <v>84</v>
      </c>
      <c r="I557" s="752" t="s">
        <v>346</v>
      </c>
      <c r="J557" s="149" t="s">
        <v>70</v>
      </c>
      <c r="K557" s="824">
        <v>5725.5</v>
      </c>
      <c r="L557" s="165">
        <f>M557-K557</f>
        <v>0</v>
      </c>
      <c r="M557" s="165">
        <v>5725.5</v>
      </c>
      <c r="N557" s="165">
        <v>5725.5</v>
      </c>
    </row>
    <row r="558" spans="1:14" s="391" customFormat="1" ht="56.25">
      <c r="A558" s="150"/>
      <c r="B558" s="163" t="s">
        <v>75</v>
      </c>
      <c r="C558" s="164" t="s">
        <v>338</v>
      </c>
      <c r="D558" s="149" t="s">
        <v>125</v>
      </c>
      <c r="E558" s="149" t="s">
        <v>102</v>
      </c>
      <c r="F558" s="364" t="s">
        <v>100</v>
      </c>
      <c r="G558" s="365" t="s">
        <v>65</v>
      </c>
      <c r="H558" s="365" t="s">
        <v>84</v>
      </c>
      <c r="I558" s="366" t="s">
        <v>346</v>
      </c>
      <c r="J558" s="149" t="s">
        <v>76</v>
      </c>
      <c r="K558" s="824">
        <v>358.5</v>
      </c>
      <c r="L558" s="165">
        <f>M558-K558</f>
        <v>0</v>
      </c>
      <c r="M558" s="165">
        <v>358.5</v>
      </c>
      <c r="N558" s="165">
        <v>358.5</v>
      </c>
    </row>
    <row r="559" spans="1:14" s="391" customFormat="1" ht="110.25" customHeight="1">
      <c r="A559" s="150"/>
      <c r="B559" s="163" t="s">
        <v>789</v>
      </c>
      <c r="C559" s="164" t="s">
        <v>338</v>
      </c>
      <c r="D559" s="149" t="s">
        <v>125</v>
      </c>
      <c r="E559" s="149" t="s">
        <v>102</v>
      </c>
      <c r="F559" s="750" t="s">
        <v>100</v>
      </c>
      <c r="G559" s="751" t="s">
        <v>65</v>
      </c>
      <c r="H559" s="751" t="s">
        <v>84</v>
      </c>
      <c r="I559" s="752" t="s">
        <v>347</v>
      </c>
      <c r="J559" s="149"/>
      <c r="K559" s="824">
        <f>K560+K561</f>
        <v>636.69999999999993</v>
      </c>
      <c r="L559" s="165">
        <f>L560+L561</f>
        <v>0</v>
      </c>
      <c r="M559" s="165">
        <f>M560+M561</f>
        <v>636.69999999999993</v>
      </c>
      <c r="N559" s="165">
        <f>N560+N561</f>
        <v>636.69999999999993</v>
      </c>
    </row>
    <row r="560" spans="1:14" s="391" customFormat="1" ht="112.5">
      <c r="A560" s="150"/>
      <c r="B560" s="163" t="s">
        <v>69</v>
      </c>
      <c r="C560" s="164" t="s">
        <v>338</v>
      </c>
      <c r="D560" s="149" t="s">
        <v>125</v>
      </c>
      <c r="E560" s="149" t="s">
        <v>102</v>
      </c>
      <c r="F560" s="750" t="s">
        <v>100</v>
      </c>
      <c r="G560" s="751" t="s">
        <v>65</v>
      </c>
      <c r="H560" s="751" t="s">
        <v>84</v>
      </c>
      <c r="I560" s="752" t="s">
        <v>347</v>
      </c>
      <c r="J560" s="149" t="s">
        <v>70</v>
      </c>
      <c r="K560" s="824">
        <v>607.29999999999995</v>
      </c>
      <c r="L560" s="165">
        <f>M560-K560</f>
        <v>0</v>
      </c>
      <c r="M560" s="165">
        <v>607.29999999999995</v>
      </c>
      <c r="N560" s="165">
        <v>607.29999999999995</v>
      </c>
    </row>
    <row r="561" spans="1:14" s="391" customFormat="1" ht="56.25">
      <c r="A561" s="150"/>
      <c r="B561" s="163" t="s">
        <v>75</v>
      </c>
      <c r="C561" s="164" t="s">
        <v>338</v>
      </c>
      <c r="D561" s="149" t="s">
        <v>125</v>
      </c>
      <c r="E561" s="149" t="s">
        <v>102</v>
      </c>
      <c r="F561" s="750" t="s">
        <v>100</v>
      </c>
      <c r="G561" s="751" t="s">
        <v>65</v>
      </c>
      <c r="H561" s="751" t="s">
        <v>84</v>
      </c>
      <c r="I561" s="752" t="s">
        <v>347</v>
      </c>
      <c r="J561" s="149" t="s">
        <v>76</v>
      </c>
      <c r="K561" s="824">
        <v>29.4</v>
      </c>
      <c r="L561" s="165">
        <f>M561-K561</f>
        <v>0</v>
      </c>
      <c r="M561" s="165">
        <v>29.4</v>
      </c>
      <c r="N561" s="165">
        <v>29.4</v>
      </c>
    </row>
    <row r="562" spans="1:14" s="391" customFormat="1" ht="261.75" customHeight="1">
      <c r="A562" s="150"/>
      <c r="B562" s="311" t="s">
        <v>254</v>
      </c>
      <c r="C562" s="164" t="s">
        <v>338</v>
      </c>
      <c r="D562" s="149" t="s">
        <v>125</v>
      </c>
      <c r="E562" s="149" t="s">
        <v>102</v>
      </c>
      <c r="F562" s="750" t="s">
        <v>100</v>
      </c>
      <c r="G562" s="751" t="s">
        <v>65</v>
      </c>
      <c r="H562" s="751" t="s">
        <v>84</v>
      </c>
      <c r="I562" s="752" t="s">
        <v>348</v>
      </c>
      <c r="J562" s="149"/>
      <c r="K562" s="824">
        <f>K563+K564</f>
        <v>871</v>
      </c>
      <c r="L562" s="165">
        <f>L563+L564</f>
        <v>0</v>
      </c>
      <c r="M562" s="165">
        <f>M563+M564</f>
        <v>871</v>
      </c>
      <c r="N562" s="165">
        <f>N563+N564</f>
        <v>871</v>
      </c>
    </row>
    <row r="563" spans="1:14" s="391" customFormat="1" ht="112.5">
      <c r="A563" s="150"/>
      <c r="B563" s="163" t="s">
        <v>69</v>
      </c>
      <c r="C563" s="164" t="s">
        <v>338</v>
      </c>
      <c r="D563" s="149" t="s">
        <v>125</v>
      </c>
      <c r="E563" s="149" t="s">
        <v>102</v>
      </c>
      <c r="F563" s="750" t="s">
        <v>100</v>
      </c>
      <c r="G563" s="751" t="s">
        <v>65</v>
      </c>
      <c r="H563" s="751" t="s">
        <v>84</v>
      </c>
      <c r="I563" s="752" t="s">
        <v>348</v>
      </c>
      <c r="J563" s="149" t="s">
        <v>70</v>
      </c>
      <c r="K563" s="824">
        <v>808.2</v>
      </c>
      <c r="L563" s="165">
        <f>M563-K563</f>
        <v>0</v>
      </c>
      <c r="M563" s="165">
        <v>808.2</v>
      </c>
      <c r="N563" s="165">
        <v>808.2</v>
      </c>
    </row>
    <row r="564" spans="1:14" s="391" customFormat="1" ht="56.25">
      <c r="A564" s="150"/>
      <c r="B564" s="163" t="s">
        <v>75</v>
      </c>
      <c r="C564" s="164" t="s">
        <v>338</v>
      </c>
      <c r="D564" s="149" t="s">
        <v>125</v>
      </c>
      <c r="E564" s="149" t="s">
        <v>102</v>
      </c>
      <c r="F564" s="750" t="s">
        <v>100</v>
      </c>
      <c r="G564" s="751" t="s">
        <v>65</v>
      </c>
      <c r="H564" s="751" t="s">
        <v>84</v>
      </c>
      <c r="I564" s="752" t="s">
        <v>348</v>
      </c>
      <c r="J564" s="149" t="s">
        <v>76</v>
      </c>
      <c r="K564" s="824">
        <v>62.8</v>
      </c>
      <c r="L564" s="165">
        <f>M564-K564</f>
        <v>0</v>
      </c>
      <c r="M564" s="165">
        <v>62.8</v>
      </c>
      <c r="N564" s="165">
        <v>62.8</v>
      </c>
    </row>
    <row r="565" spans="1:14" s="391" customFormat="1" ht="18.75">
      <c r="A565" s="390">
        <v>10</v>
      </c>
      <c r="B565" s="442" t="s">
        <v>445</v>
      </c>
      <c r="C565" s="164"/>
      <c r="D565" s="149"/>
      <c r="E565" s="149"/>
      <c r="F565" s="751"/>
      <c r="G565" s="751"/>
      <c r="H565" s="751"/>
      <c r="I565" s="752"/>
      <c r="J565" s="149"/>
      <c r="K565" s="823">
        <f>K566</f>
        <v>30290.2</v>
      </c>
      <c r="L565" s="188">
        <f>L566</f>
        <v>-3242.4000000000015</v>
      </c>
      <c r="M565" s="188">
        <f>M566</f>
        <v>27047.8</v>
      </c>
      <c r="N565" s="188">
        <f>N566</f>
        <v>60960.7</v>
      </c>
    </row>
    <row r="566" spans="1:14" s="391" customFormat="1" ht="18.75">
      <c r="A566" s="150"/>
      <c r="B566" s="316" t="s">
        <v>445</v>
      </c>
      <c r="C566" s="164"/>
      <c r="D566" s="149"/>
      <c r="E566" s="149"/>
      <c r="F566" s="751"/>
      <c r="G566" s="751"/>
      <c r="H566" s="751"/>
      <c r="I566" s="752"/>
      <c r="J566" s="149"/>
      <c r="K566" s="824">
        <v>30290.2</v>
      </c>
      <c r="L566" s="165">
        <f>M566-K566</f>
        <v>-3242.4000000000015</v>
      </c>
      <c r="M566" s="165">
        <f>30290.2-197.2-3045.2</f>
        <v>27047.8</v>
      </c>
      <c r="N566" s="165">
        <v>60960.7</v>
      </c>
    </row>
    <row r="567" spans="1:14">
      <c r="M567" s="182"/>
      <c r="N567" s="182"/>
    </row>
    <row r="568" spans="1:14">
      <c r="M568" s="182"/>
      <c r="N568" s="182"/>
    </row>
    <row r="569" spans="1:14" s="279" customFormat="1" ht="18.75">
      <c r="A569" s="374" t="s">
        <v>467</v>
      </c>
      <c r="B569" s="282"/>
      <c r="C569" s="283"/>
      <c r="D569" s="283"/>
      <c r="E569" s="283"/>
      <c r="F569" s="206"/>
      <c r="G569" s="373"/>
      <c r="H569" s="434"/>
    </row>
    <row r="570" spans="1:14" s="279" customFormat="1" ht="18.75">
      <c r="A570" s="374" t="s">
        <v>468</v>
      </c>
      <c r="B570" s="282"/>
      <c r="C570" s="283"/>
      <c r="D570" s="283"/>
      <c r="E570" s="283"/>
      <c r="F570" s="206"/>
      <c r="G570" s="373"/>
      <c r="H570" s="434"/>
    </row>
    <row r="571" spans="1:14" s="279" customFormat="1" ht="18.75">
      <c r="A571" s="375" t="s">
        <v>469</v>
      </c>
      <c r="B571" s="282"/>
      <c r="D571" s="283"/>
      <c r="E571" s="283"/>
      <c r="F571" s="206"/>
      <c r="N571" s="376" t="s">
        <v>494</v>
      </c>
    </row>
    <row r="573" spans="1:14" s="435" customFormat="1" ht="15.75">
      <c r="B573" s="435" t="s">
        <v>446</v>
      </c>
      <c r="M573" s="436" t="e">
        <f>M566/('прил13(ведом 22-23)'!#REF!-('прил.5 (пост.безв.22-23)'!C13-'прил.5 (пост.безв.22-23)'!C17))*100</f>
        <v>#REF!</v>
      </c>
      <c r="N573" s="436" t="e">
        <f>N566/('прил13(ведом 22-23)'!#REF!-('прил.5 (пост.безв.22-23)'!D13-'прил.5 (пост.безв.22-23)'!D17))*100</f>
        <v>#REF!</v>
      </c>
    </row>
    <row r="575" spans="1:14" ht="18.75">
      <c r="D575" s="180" t="s">
        <v>57</v>
      </c>
      <c r="E575" s="180" t="s">
        <v>59</v>
      </c>
      <c r="F575" s="181"/>
      <c r="G575" s="181"/>
      <c r="H575" s="181"/>
      <c r="I575" s="181"/>
      <c r="J575" s="181"/>
      <c r="K575" s="181"/>
      <c r="L575" s="181"/>
      <c r="M575" s="437">
        <f>M19</f>
        <v>2128.5</v>
      </c>
      <c r="N575" s="437">
        <f>N19</f>
        <v>2128.5</v>
      </c>
    </row>
    <row r="576" spans="1:14" ht="18.75">
      <c r="D576" s="180" t="s">
        <v>57</v>
      </c>
      <c r="E576" s="180" t="s">
        <v>72</v>
      </c>
      <c r="F576" s="181"/>
      <c r="G576" s="181"/>
      <c r="H576" s="181"/>
      <c r="I576" s="181"/>
      <c r="J576" s="181"/>
      <c r="K576" s="181"/>
      <c r="L576" s="181"/>
      <c r="M576" s="437">
        <f>M25</f>
        <v>72075.899999999994</v>
      </c>
      <c r="N576" s="437">
        <f>N25</f>
        <v>72150.2</v>
      </c>
    </row>
    <row r="577" spans="4:14" ht="18.75">
      <c r="D577" s="180" t="s">
        <v>57</v>
      </c>
      <c r="E577" s="180" t="s">
        <v>86</v>
      </c>
      <c r="F577" s="181"/>
      <c r="G577" s="181"/>
      <c r="H577" s="181"/>
      <c r="I577" s="181"/>
      <c r="J577" s="181"/>
      <c r="K577" s="181"/>
      <c r="L577" s="181"/>
      <c r="M577" s="437">
        <f>M48</f>
        <v>98.4</v>
      </c>
      <c r="N577" s="437">
        <f>N48</f>
        <v>5.7</v>
      </c>
    </row>
    <row r="578" spans="4:14" ht="18.75">
      <c r="D578" s="180" t="s">
        <v>57</v>
      </c>
      <c r="E578" s="180" t="s">
        <v>102</v>
      </c>
      <c r="F578" s="181"/>
      <c r="G578" s="181"/>
      <c r="H578" s="181"/>
      <c r="I578" s="181"/>
      <c r="J578" s="181"/>
      <c r="K578" s="181"/>
      <c r="L578" s="181"/>
      <c r="M578" s="437">
        <f>M179+M206</f>
        <v>29332.200000000004</v>
      </c>
      <c r="N578" s="437">
        <f>N179+N206</f>
        <v>29333</v>
      </c>
    </row>
    <row r="579" spans="4:14" ht="18.75">
      <c r="D579" s="180" t="s">
        <v>57</v>
      </c>
      <c r="E579" s="180" t="s">
        <v>88</v>
      </c>
      <c r="F579" s="181"/>
      <c r="G579" s="181"/>
      <c r="H579" s="181"/>
      <c r="I579" s="181"/>
      <c r="J579" s="181"/>
      <c r="K579" s="181"/>
      <c r="L579" s="181"/>
      <c r="M579" s="437">
        <f>M54</f>
        <v>5000</v>
      </c>
      <c r="N579" s="437">
        <f>N54</f>
        <v>5000</v>
      </c>
    </row>
    <row r="580" spans="4:14" ht="18.75">
      <c r="D580" s="180" t="s">
        <v>57</v>
      </c>
      <c r="E580" s="180" t="s">
        <v>92</v>
      </c>
      <c r="F580" s="181"/>
      <c r="G580" s="181"/>
      <c r="H580" s="181"/>
      <c r="I580" s="181"/>
      <c r="J580" s="181"/>
      <c r="K580" s="181"/>
      <c r="L580" s="181"/>
      <c r="M580" s="437">
        <f>M216+M187+M497+M59+M402+M457+M281</f>
        <v>32189.9</v>
      </c>
      <c r="N580" s="437">
        <f>N216+N187+N497+N59+N402+N457+N281</f>
        <v>32197.200000000004</v>
      </c>
    </row>
    <row r="581" spans="4:14" ht="18.75">
      <c r="D581" s="438" t="s">
        <v>57</v>
      </c>
      <c r="E581" s="438" t="s">
        <v>63</v>
      </c>
      <c r="F581" s="181"/>
      <c r="G581" s="181"/>
      <c r="H581" s="181"/>
      <c r="I581" s="181"/>
      <c r="J581" s="181"/>
      <c r="K581" s="181"/>
      <c r="L581" s="181"/>
      <c r="M581" s="439">
        <f>SUBTOTAL(9,M575:M580)</f>
        <v>140824.9</v>
      </c>
      <c r="N581" s="439">
        <f>SUBTOTAL(9,N575:N580)</f>
        <v>140814.6</v>
      </c>
    </row>
    <row r="582" spans="4:14" ht="18.75">
      <c r="D582" s="180"/>
      <c r="E582" s="180"/>
      <c r="F582" s="181"/>
      <c r="G582" s="181"/>
      <c r="H582" s="181"/>
      <c r="I582" s="181"/>
      <c r="J582" s="181"/>
      <c r="K582" s="181"/>
      <c r="L582" s="181"/>
      <c r="M582" s="437"/>
      <c r="N582" s="437"/>
    </row>
    <row r="583" spans="4:14" ht="18.75">
      <c r="D583" s="180" t="s">
        <v>84</v>
      </c>
      <c r="E583" s="180" t="s">
        <v>100</v>
      </c>
      <c r="F583" s="181"/>
      <c r="G583" s="181"/>
      <c r="H583" s="181"/>
      <c r="I583" s="181"/>
      <c r="J583" s="181"/>
      <c r="K583" s="181"/>
      <c r="L583" s="181"/>
      <c r="M583" s="437">
        <f>M83</f>
        <v>3437.6000000000004</v>
      </c>
      <c r="N583" s="437">
        <f>N83</f>
        <v>3437.6000000000004</v>
      </c>
    </row>
    <row r="584" spans="4:14" ht="18.75">
      <c r="D584" s="180" t="s">
        <v>84</v>
      </c>
      <c r="E584" s="180" t="s">
        <v>109</v>
      </c>
      <c r="F584" s="181"/>
      <c r="G584" s="181"/>
      <c r="H584" s="181"/>
      <c r="I584" s="181"/>
      <c r="J584" s="181"/>
      <c r="K584" s="181"/>
      <c r="L584" s="181"/>
      <c r="M584" s="437">
        <f>M93</f>
        <v>9110.4</v>
      </c>
      <c r="N584" s="437">
        <f>N93</f>
        <v>9110.7999999999993</v>
      </c>
    </row>
    <row r="585" spans="4:14" ht="18.75">
      <c r="D585" s="438" t="s">
        <v>84</v>
      </c>
      <c r="E585" s="438" t="s">
        <v>63</v>
      </c>
      <c r="F585" s="181"/>
      <c r="G585" s="181"/>
      <c r="H585" s="181"/>
      <c r="I585" s="181"/>
      <c r="J585" s="181"/>
      <c r="K585" s="181"/>
      <c r="L585" s="181"/>
      <c r="M585" s="439">
        <f>SUBTOTAL(9,M583:M584)</f>
        <v>12548</v>
      </c>
      <c r="N585" s="439">
        <f>SUBTOTAL(9,N583:N584)</f>
        <v>12548.4</v>
      </c>
    </row>
    <row r="586" spans="4:14" ht="18.75">
      <c r="D586" s="180"/>
      <c r="E586" s="180"/>
      <c r="F586" s="181"/>
      <c r="G586" s="181"/>
      <c r="H586" s="181"/>
      <c r="I586" s="181"/>
      <c r="J586" s="181"/>
      <c r="K586" s="181"/>
      <c r="L586" s="181"/>
      <c r="M586" s="437"/>
      <c r="N586" s="437"/>
    </row>
    <row r="587" spans="4:14" ht="18.75">
      <c r="D587" s="180" t="s">
        <v>72</v>
      </c>
      <c r="E587" s="180" t="s">
        <v>86</v>
      </c>
      <c r="F587" s="181"/>
      <c r="G587" s="181"/>
      <c r="H587" s="181"/>
      <c r="I587" s="181"/>
      <c r="J587" s="181"/>
      <c r="K587" s="181"/>
      <c r="L587" s="181"/>
      <c r="M587" s="437">
        <f>M109</f>
        <v>11258.5</v>
      </c>
      <c r="N587" s="437">
        <f>N109</f>
        <v>11258.5</v>
      </c>
    </row>
    <row r="588" spans="4:14" ht="18.75">
      <c r="D588" s="180" t="s">
        <v>72</v>
      </c>
      <c r="E588" s="180" t="s">
        <v>100</v>
      </c>
      <c r="F588" s="181"/>
      <c r="G588" s="181"/>
      <c r="H588" s="181"/>
      <c r="I588" s="181"/>
      <c r="J588" s="181"/>
      <c r="K588" s="181"/>
      <c r="L588" s="181"/>
      <c r="M588" s="437">
        <f>M118</f>
        <v>5907.9</v>
      </c>
      <c r="N588" s="437">
        <f>N118</f>
        <v>6835.1</v>
      </c>
    </row>
    <row r="589" spans="4:14" ht="18.75">
      <c r="D589" s="180" t="s">
        <v>72</v>
      </c>
      <c r="E589" s="180" t="s">
        <v>121</v>
      </c>
      <c r="F589" s="181"/>
      <c r="G589" s="181"/>
      <c r="H589" s="181"/>
      <c r="I589" s="181"/>
      <c r="J589" s="181"/>
      <c r="K589" s="181"/>
      <c r="L589" s="181"/>
      <c r="M589" s="437">
        <f>M124</f>
        <v>6650.5</v>
      </c>
      <c r="N589" s="437">
        <f>N124</f>
        <v>6650.5</v>
      </c>
    </row>
    <row r="590" spans="4:14" ht="18.75">
      <c r="D590" s="438" t="s">
        <v>72</v>
      </c>
      <c r="E590" s="438" t="s">
        <v>63</v>
      </c>
      <c r="F590" s="181"/>
      <c r="G590" s="181"/>
      <c r="H590" s="181"/>
      <c r="I590" s="181"/>
      <c r="J590" s="181"/>
      <c r="K590" s="181"/>
      <c r="L590" s="181"/>
      <c r="M590" s="439">
        <f>SUBTOTAL(9,M587:M589)</f>
        <v>23816.9</v>
      </c>
      <c r="N590" s="439">
        <f>SUBTOTAL(9,N587:N589)</f>
        <v>24744.1</v>
      </c>
    </row>
    <row r="591" spans="4:14" ht="18.75">
      <c r="D591" s="180"/>
      <c r="E591" s="180"/>
      <c r="F591" s="181"/>
      <c r="G591" s="181"/>
      <c r="H591" s="181"/>
      <c r="I591" s="181"/>
      <c r="J591" s="181"/>
      <c r="K591" s="181"/>
      <c r="L591" s="181"/>
      <c r="M591" s="437"/>
      <c r="N591" s="437"/>
    </row>
    <row r="592" spans="4:14" ht="18.75">
      <c r="D592" s="180" t="s">
        <v>86</v>
      </c>
      <c r="E592" s="180" t="s">
        <v>57</v>
      </c>
      <c r="F592" s="181"/>
      <c r="G592" s="181"/>
      <c r="H592" s="181"/>
      <c r="I592" s="181"/>
      <c r="J592" s="181"/>
      <c r="K592" s="181"/>
      <c r="L592" s="181"/>
      <c r="M592" s="437">
        <f>M148</f>
        <v>0</v>
      </c>
      <c r="N592" s="437">
        <f>N148</f>
        <v>25766.9</v>
      </c>
    </row>
    <row r="593" spans="4:14" ht="18.75">
      <c r="D593" s="180" t="s">
        <v>86</v>
      </c>
      <c r="E593" s="180" t="s">
        <v>59</v>
      </c>
      <c r="F593" s="181"/>
      <c r="G593" s="181"/>
      <c r="H593" s="181"/>
      <c r="I593" s="181"/>
      <c r="J593" s="181"/>
      <c r="K593" s="181"/>
      <c r="L593" s="181"/>
      <c r="M593" s="437">
        <f>M250</f>
        <v>12354.9</v>
      </c>
      <c r="N593" s="437">
        <f>N250</f>
        <v>0</v>
      </c>
    </row>
    <row r="594" spans="4:14" ht="18.75">
      <c r="D594" s="180" t="s">
        <v>86</v>
      </c>
      <c r="E594" s="180" t="s">
        <v>86</v>
      </c>
      <c r="F594" s="181"/>
      <c r="G594" s="181"/>
      <c r="H594" s="181"/>
      <c r="I594" s="181"/>
      <c r="J594" s="181"/>
      <c r="K594" s="181"/>
      <c r="L594" s="181"/>
      <c r="M594" s="437"/>
      <c r="N594" s="437"/>
    </row>
    <row r="595" spans="4:14" ht="18.75">
      <c r="D595" s="438" t="s">
        <v>86</v>
      </c>
      <c r="E595" s="438" t="s">
        <v>63</v>
      </c>
      <c r="F595" s="181"/>
      <c r="G595" s="181"/>
      <c r="H595" s="181"/>
      <c r="I595" s="181"/>
      <c r="J595" s="181"/>
      <c r="K595" s="181"/>
      <c r="L595" s="181"/>
      <c r="M595" s="439">
        <f>SUBTOTAL(9,M592:M594)</f>
        <v>12354.9</v>
      </c>
      <c r="N595" s="439">
        <f>SUBTOTAL(9,N592:N594)</f>
        <v>25766.9</v>
      </c>
    </row>
    <row r="596" spans="4:14" ht="18.75">
      <c r="D596" s="180"/>
      <c r="E596" s="180"/>
      <c r="F596" s="181"/>
      <c r="G596" s="181"/>
      <c r="H596" s="181"/>
      <c r="I596" s="181"/>
      <c r="J596" s="181"/>
      <c r="K596" s="181"/>
      <c r="L596" s="181"/>
      <c r="M596" s="437"/>
      <c r="N596" s="437"/>
    </row>
    <row r="597" spans="4:14" ht="18.75">
      <c r="D597" s="180" t="s">
        <v>246</v>
      </c>
      <c r="E597" s="180" t="s">
        <v>57</v>
      </c>
      <c r="F597" s="181"/>
      <c r="G597" s="181"/>
      <c r="H597" s="181"/>
      <c r="I597" s="181"/>
      <c r="J597" s="181"/>
      <c r="K597" s="181"/>
      <c r="L597" s="181"/>
      <c r="M597" s="437">
        <f>M294+M257</f>
        <v>409819.9</v>
      </c>
      <c r="N597" s="437">
        <f>N294+N257</f>
        <v>310578.99999999994</v>
      </c>
    </row>
    <row r="598" spans="4:14" ht="18.75">
      <c r="D598" s="180" t="s">
        <v>246</v>
      </c>
      <c r="E598" s="180" t="s">
        <v>59</v>
      </c>
      <c r="F598" s="181"/>
      <c r="G598" s="181"/>
      <c r="H598" s="181"/>
      <c r="I598" s="181"/>
      <c r="J598" s="181"/>
      <c r="K598" s="181"/>
      <c r="L598" s="181"/>
      <c r="M598" s="437">
        <f>M309+M263</f>
        <v>577605.49999999988</v>
      </c>
      <c r="N598" s="437">
        <f>N309+N263</f>
        <v>563979.39999999991</v>
      </c>
    </row>
    <row r="599" spans="4:14" ht="18.75">
      <c r="D599" s="180" t="s">
        <v>246</v>
      </c>
      <c r="E599" s="180" t="s">
        <v>84</v>
      </c>
      <c r="F599" s="181"/>
      <c r="G599" s="181"/>
      <c r="H599" s="181"/>
      <c r="I599" s="181"/>
      <c r="J599" s="181"/>
      <c r="K599" s="181"/>
      <c r="L599" s="181"/>
      <c r="M599" s="437">
        <f>+M349+M408</f>
        <v>113704.3</v>
      </c>
      <c r="N599" s="437">
        <f>+N349+N408</f>
        <v>114364.6</v>
      </c>
    </row>
    <row r="600" spans="4:14" ht="18.75">
      <c r="D600" s="180" t="s">
        <v>246</v>
      </c>
      <c r="E600" s="180" t="s">
        <v>86</v>
      </c>
      <c r="F600" s="181"/>
      <c r="G600" s="181"/>
      <c r="H600" s="181"/>
      <c r="I600" s="181"/>
      <c r="J600" s="181"/>
      <c r="K600" s="181"/>
      <c r="L600" s="181"/>
      <c r="M600" s="437"/>
      <c r="N600" s="437"/>
    </row>
    <row r="601" spans="4:14" ht="18.75">
      <c r="D601" s="180" t="s">
        <v>246</v>
      </c>
      <c r="E601" s="180" t="s">
        <v>246</v>
      </c>
      <c r="F601" s="181"/>
      <c r="G601" s="181"/>
      <c r="H601" s="181"/>
      <c r="I601" s="181"/>
      <c r="J601" s="181"/>
      <c r="K601" s="181"/>
      <c r="L601" s="181"/>
      <c r="M601" s="437">
        <f>M510+M529+M369+M416</f>
        <v>10086.099999999999</v>
      </c>
      <c r="N601" s="437">
        <f>N510+N529+N369+N416</f>
        <v>10086.099999999999</v>
      </c>
    </row>
    <row r="602" spans="4:14" ht="18.75">
      <c r="D602" s="180" t="s">
        <v>246</v>
      </c>
      <c r="E602" s="180" t="s">
        <v>100</v>
      </c>
      <c r="F602" s="181"/>
      <c r="G602" s="181"/>
      <c r="H602" s="181"/>
      <c r="I602" s="181"/>
      <c r="J602" s="181"/>
      <c r="K602" s="181"/>
      <c r="L602" s="181"/>
      <c r="M602" s="437">
        <f>M375+M518</f>
        <v>65031.5</v>
      </c>
      <c r="N602" s="437">
        <f>N375+N518</f>
        <v>65070.8</v>
      </c>
    </row>
    <row r="603" spans="4:14" ht="18.75">
      <c r="D603" s="438" t="s">
        <v>246</v>
      </c>
      <c r="E603" s="438" t="s">
        <v>63</v>
      </c>
      <c r="F603" s="181"/>
      <c r="G603" s="181"/>
      <c r="H603" s="181"/>
      <c r="I603" s="181"/>
      <c r="J603" s="181"/>
      <c r="K603" s="181"/>
      <c r="L603" s="181"/>
      <c r="M603" s="439">
        <f>SUBTOTAL(9,M597:M602)</f>
        <v>1176247.3</v>
      </c>
      <c r="N603" s="439">
        <f>SUBTOTAL(9,N597:N602)</f>
        <v>1064079.8999999999</v>
      </c>
    </row>
    <row r="604" spans="4:14" ht="18.75">
      <c r="D604" s="180"/>
      <c r="E604" s="180"/>
      <c r="F604" s="181"/>
      <c r="G604" s="181"/>
      <c r="H604" s="181"/>
      <c r="I604" s="181"/>
      <c r="J604" s="181"/>
      <c r="K604" s="181"/>
      <c r="L604" s="181"/>
      <c r="M604" s="437"/>
      <c r="N604" s="437"/>
    </row>
    <row r="605" spans="4:14" ht="18.75">
      <c r="D605" s="180" t="s">
        <v>248</v>
      </c>
      <c r="E605" s="180" t="s">
        <v>57</v>
      </c>
      <c r="F605" s="181"/>
      <c r="G605" s="181"/>
      <c r="H605" s="181"/>
      <c r="I605" s="181"/>
      <c r="J605" s="181"/>
      <c r="K605" s="181"/>
      <c r="L605" s="181"/>
      <c r="M605" s="437">
        <f>M423</f>
        <v>24640.7</v>
      </c>
      <c r="N605" s="437">
        <f>N423</f>
        <v>24674.7</v>
      </c>
    </row>
    <row r="606" spans="4:14" ht="18.75">
      <c r="D606" s="180" t="s">
        <v>248</v>
      </c>
      <c r="E606" s="180" t="s">
        <v>72</v>
      </c>
      <c r="F606" s="181"/>
      <c r="G606" s="181"/>
      <c r="H606" s="181"/>
      <c r="I606" s="181"/>
      <c r="J606" s="181"/>
      <c r="K606" s="181"/>
      <c r="L606" s="181"/>
      <c r="M606" s="437">
        <f>M442</f>
        <v>9246.1</v>
      </c>
      <c r="N606" s="437">
        <f>N442</f>
        <v>9303.9000000000015</v>
      </c>
    </row>
    <row r="607" spans="4:14" ht="18.75">
      <c r="D607" s="438" t="s">
        <v>248</v>
      </c>
      <c r="E607" s="438" t="s">
        <v>63</v>
      </c>
      <c r="F607" s="181"/>
      <c r="G607" s="181"/>
      <c r="H607" s="181"/>
      <c r="I607" s="181"/>
      <c r="J607" s="181"/>
      <c r="K607" s="181"/>
      <c r="L607" s="181"/>
      <c r="M607" s="439">
        <f>SUBTOTAL(9,M605:M606)</f>
        <v>33886.800000000003</v>
      </c>
      <c r="N607" s="439">
        <f>SUBTOTAL(9,N605:N606)</f>
        <v>33978.600000000006</v>
      </c>
    </row>
    <row r="608" spans="4:14" ht="18.75">
      <c r="D608" s="180"/>
      <c r="E608" s="180"/>
      <c r="F608" s="181"/>
      <c r="G608" s="181"/>
      <c r="H608" s="181"/>
      <c r="I608" s="181"/>
      <c r="J608" s="181"/>
      <c r="K608" s="181"/>
      <c r="L608" s="181"/>
      <c r="M608" s="437"/>
      <c r="N608" s="437"/>
    </row>
    <row r="609" spans="4:14" ht="18.75">
      <c r="D609" s="180" t="s">
        <v>125</v>
      </c>
      <c r="E609" s="180" t="s">
        <v>57</v>
      </c>
      <c r="F609" s="181"/>
      <c r="G609" s="181"/>
      <c r="H609" s="181"/>
      <c r="I609" s="181"/>
      <c r="J609" s="181"/>
      <c r="K609" s="181"/>
      <c r="L609" s="181"/>
      <c r="M609" s="437">
        <f>M157</f>
        <v>552</v>
      </c>
      <c r="N609" s="437">
        <f>N157</f>
        <v>552</v>
      </c>
    </row>
    <row r="610" spans="4:14" ht="18.75">
      <c r="D610" s="180" t="s">
        <v>125</v>
      </c>
      <c r="E610" s="180" t="s">
        <v>72</v>
      </c>
      <c r="F610" s="181"/>
      <c r="G610" s="181"/>
      <c r="H610" s="181"/>
      <c r="I610" s="181"/>
      <c r="J610" s="181"/>
      <c r="K610" s="181"/>
      <c r="L610" s="181"/>
      <c r="M610" s="437">
        <f>M270+M392+M536</f>
        <v>108756.9</v>
      </c>
      <c r="N610" s="437">
        <f>N270+N392+N536</f>
        <v>110139.7</v>
      </c>
    </row>
    <row r="611" spans="4:14" ht="18.75">
      <c r="D611" s="180" t="s">
        <v>125</v>
      </c>
      <c r="E611" s="180" t="s">
        <v>102</v>
      </c>
      <c r="F611" s="181"/>
      <c r="G611" s="181"/>
      <c r="H611" s="181"/>
      <c r="I611" s="181"/>
      <c r="J611" s="181"/>
      <c r="K611" s="181"/>
      <c r="L611" s="181"/>
      <c r="M611" s="437">
        <f>M552+M163</f>
        <v>8520.4</v>
      </c>
      <c r="N611" s="437">
        <f>N552+N163</f>
        <v>8520.4</v>
      </c>
    </row>
    <row r="612" spans="4:14" ht="18.75">
      <c r="D612" s="438" t="s">
        <v>125</v>
      </c>
      <c r="E612" s="438" t="s">
        <v>63</v>
      </c>
      <c r="F612" s="181"/>
      <c r="G612" s="181"/>
      <c r="H612" s="181"/>
      <c r="I612" s="181"/>
      <c r="J612" s="181"/>
      <c r="K612" s="181"/>
      <c r="L612" s="181"/>
      <c r="M612" s="439">
        <f>SUBTOTAL(9,M609:M611)</f>
        <v>117829.29999999999</v>
      </c>
      <c r="N612" s="439">
        <f>SUBTOTAL(9,N609:N611)</f>
        <v>119212.09999999999</v>
      </c>
    </row>
    <row r="613" spans="4:14" ht="18.75">
      <c r="D613" s="180"/>
      <c r="E613" s="180"/>
      <c r="F613" s="181"/>
      <c r="G613" s="181"/>
      <c r="H613" s="181"/>
      <c r="I613" s="181"/>
      <c r="J613" s="181"/>
      <c r="K613" s="181"/>
      <c r="L613" s="181"/>
      <c r="M613" s="437"/>
      <c r="N613" s="437"/>
    </row>
    <row r="614" spans="4:14" ht="18.75">
      <c r="D614" s="180" t="s">
        <v>88</v>
      </c>
      <c r="E614" s="180" t="s">
        <v>57</v>
      </c>
      <c r="F614" s="181"/>
      <c r="G614" s="181"/>
      <c r="H614" s="181"/>
      <c r="I614" s="181"/>
      <c r="J614" s="181"/>
      <c r="K614" s="181"/>
      <c r="L614" s="181"/>
      <c r="M614" s="437">
        <f>M464</f>
        <v>19316.600000000002</v>
      </c>
      <c r="N614" s="437">
        <f>N464</f>
        <v>18463.7</v>
      </c>
    </row>
    <row r="615" spans="4:14" ht="18.75">
      <c r="D615" s="180" t="s">
        <v>88</v>
      </c>
      <c r="E615" s="180" t="s">
        <v>59</v>
      </c>
      <c r="F615" s="181"/>
      <c r="G615" s="181"/>
      <c r="H615" s="181"/>
      <c r="I615" s="181"/>
      <c r="J615" s="181"/>
      <c r="K615" s="181"/>
      <c r="L615" s="181"/>
      <c r="M615" s="437">
        <f>M480</f>
        <v>0</v>
      </c>
      <c r="N615" s="437">
        <f>N480</f>
        <v>3689.7999999999997</v>
      </c>
    </row>
    <row r="616" spans="4:14" ht="18.75">
      <c r="D616" s="180" t="s">
        <v>88</v>
      </c>
      <c r="E616" s="180" t="s">
        <v>86</v>
      </c>
      <c r="F616" s="181"/>
      <c r="G616" s="181"/>
      <c r="H616" s="181"/>
      <c r="I616" s="181"/>
      <c r="J616" s="181"/>
      <c r="K616" s="181"/>
      <c r="L616" s="181"/>
      <c r="M616" s="437">
        <f>M486</f>
        <v>2485.4</v>
      </c>
      <c r="N616" s="437">
        <f>N486</f>
        <v>2375.7000000000003</v>
      </c>
    </row>
    <row r="617" spans="4:14" ht="18.75">
      <c r="D617" s="438" t="s">
        <v>88</v>
      </c>
      <c r="E617" s="438" t="s">
        <v>63</v>
      </c>
      <c r="F617" s="181"/>
      <c r="G617" s="181"/>
      <c r="H617" s="181"/>
      <c r="I617" s="181"/>
      <c r="J617" s="181"/>
      <c r="K617" s="181"/>
      <c r="L617" s="181"/>
      <c r="M617" s="439">
        <f>SUBTOTAL(9,M614:M616)</f>
        <v>21802.000000000004</v>
      </c>
      <c r="N617" s="439">
        <f>SUBTOTAL(9,N614:N616)</f>
        <v>24529.200000000001</v>
      </c>
    </row>
    <row r="618" spans="4:14" ht="18.75">
      <c r="D618" s="180"/>
      <c r="E618" s="180"/>
      <c r="F618" s="181"/>
      <c r="G618" s="181"/>
      <c r="H618" s="181"/>
      <c r="I618" s="181"/>
      <c r="J618" s="181"/>
      <c r="K618" s="181"/>
      <c r="L618" s="181"/>
      <c r="M618" s="437"/>
      <c r="N618" s="437"/>
    </row>
    <row r="619" spans="4:14" ht="18.75">
      <c r="D619" s="180" t="s">
        <v>92</v>
      </c>
      <c r="E619" s="180" t="s">
        <v>57</v>
      </c>
      <c r="F619" s="181"/>
      <c r="G619" s="181"/>
      <c r="H619" s="181"/>
      <c r="I619" s="181"/>
      <c r="J619" s="181"/>
      <c r="K619" s="181"/>
      <c r="L619" s="181"/>
      <c r="M619" s="437">
        <f>M170</f>
        <v>9.4</v>
      </c>
      <c r="N619" s="437">
        <f>N170</f>
        <v>0</v>
      </c>
    </row>
    <row r="620" spans="4:14" ht="18.75">
      <c r="D620" s="438" t="s">
        <v>92</v>
      </c>
      <c r="E620" s="438" t="s">
        <v>63</v>
      </c>
      <c r="F620" s="181"/>
      <c r="G620" s="181"/>
      <c r="H620" s="181"/>
      <c r="I620" s="181"/>
      <c r="J620" s="181"/>
      <c r="K620" s="181"/>
      <c r="L620" s="181"/>
      <c r="M620" s="439">
        <f>M619</f>
        <v>9.4</v>
      </c>
      <c r="N620" s="439">
        <f>N619</f>
        <v>0</v>
      </c>
    </row>
    <row r="621" spans="4:14" ht="18.75">
      <c r="D621" s="180"/>
      <c r="E621" s="180"/>
      <c r="F621" s="181"/>
      <c r="G621" s="181"/>
      <c r="H621" s="181"/>
      <c r="I621" s="181"/>
      <c r="J621" s="181"/>
      <c r="K621" s="181"/>
      <c r="L621" s="181"/>
      <c r="M621" s="437"/>
      <c r="N621" s="437"/>
    </row>
    <row r="622" spans="4:14" ht="18.75">
      <c r="D622" s="180" t="s">
        <v>109</v>
      </c>
      <c r="E622" s="180" t="s">
        <v>57</v>
      </c>
      <c r="F622" s="181"/>
      <c r="G622" s="181"/>
      <c r="H622" s="181"/>
      <c r="I622" s="181"/>
      <c r="J622" s="181"/>
      <c r="K622" s="181"/>
      <c r="L622" s="181"/>
      <c r="M622" s="437">
        <f>M197</f>
        <v>5500</v>
      </c>
      <c r="N622" s="437">
        <f>N197</f>
        <v>5500</v>
      </c>
    </row>
    <row r="623" spans="4:14" ht="18.75">
      <c r="D623" s="438" t="s">
        <v>109</v>
      </c>
      <c r="E623" s="438" t="s">
        <v>63</v>
      </c>
      <c r="F623" s="181"/>
      <c r="G623" s="181"/>
      <c r="H623" s="181"/>
      <c r="I623" s="181"/>
      <c r="J623" s="181"/>
      <c r="K623" s="181"/>
      <c r="L623" s="181"/>
      <c r="M623" s="439">
        <f>SUBTOTAL(9,M622:M622)</f>
        <v>5500</v>
      </c>
      <c r="N623" s="439">
        <f>SUBTOTAL(9,N622:N622)</f>
        <v>5500</v>
      </c>
    </row>
    <row r="624" spans="4:14" ht="18.75">
      <c r="D624" s="180"/>
      <c r="E624" s="180"/>
      <c r="F624" s="181"/>
      <c r="G624" s="181"/>
      <c r="H624" s="181"/>
      <c r="I624" s="181"/>
      <c r="J624" s="181"/>
      <c r="K624" s="181"/>
      <c r="L624" s="181"/>
      <c r="M624" s="437"/>
      <c r="N624" s="437"/>
    </row>
    <row r="625" spans="2:14" ht="18.75">
      <c r="D625" s="440" t="s">
        <v>447</v>
      </c>
      <c r="E625" s="180"/>
      <c r="F625" s="181"/>
      <c r="G625" s="181"/>
      <c r="H625" s="181"/>
      <c r="I625" s="181"/>
      <c r="J625" s="181"/>
      <c r="K625" s="181"/>
      <c r="L625" s="181"/>
      <c r="M625" s="437">
        <f>M565</f>
        <v>27047.8</v>
      </c>
      <c r="N625" s="437">
        <f>N565</f>
        <v>60960.7</v>
      </c>
    </row>
    <row r="626" spans="2:14" ht="18.75">
      <c r="D626" s="180"/>
      <c r="E626" s="180"/>
      <c r="F626" s="181"/>
      <c r="G626" s="181"/>
      <c r="H626" s="181"/>
      <c r="I626" s="181"/>
      <c r="J626" s="181"/>
      <c r="K626" s="181"/>
      <c r="L626" s="181"/>
      <c r="M626" s="437"/>
      <c r="N626" s="437"/>
    </row>
    <row r="627" spans="2:14" ht="18.75">
      <c r="D627" s="180"/>
      <c r="E627" s="180"/>
      <c r="F627" s="181"/>
      <c r="G627" s="181"/>
      <c r="H627" s="181"/>
      <c r="I627" s="181"/>
      <c r="J627" s="181"/>
      <c r="K627" s="181"/>
      <c r="L627" s="181"/>
      <c r="M627" s="439"/>
      <c r="N627" s="439"/>
    </row>
    <row r="628" spans="2:14" ht="18.75">
      <c r="D628" s="180"/>
      <c r="E628" s="180"/>
      <c r="F628" s="181"/>
      <c r="G628" s="181"/>
      <c r="H628" s="181"/>
      <c r="I628" s="181"/>
      <c r="J628" s="181"/>
      <c r="K628" s="181"/>
      <c r="L628" s="181"/>
      <c r="M628" s="437"/>
      <c r="N628" s="437"/>
    </row>
    <row r="629" spans="2:14" ht="18.75">
      <c r="B629" s="140" t="s">
        <v>452</v>
      </c>
      <c r="D629" s="180"/>
      <c r="E629" s="180"/>
      <c r="F629" s="181"/>
      <c r="G629" s="181"/>
      <c r="H629" s="181"/>
      <c r="I629" s="181"/>
      <c r="J629" s="181"/>
      <c r="K629" s="181"/>
      <c r="L629" s="181"/>
      <c r="M629" s="437"/>
      <c r="N629" s="437"/>
    </row>
    <row r="630" spans="2:14" ht="18.75">
      <c r="B630" s="140" t="s">
        <v>451</v>
      </c>
      <c r="D630" s="180"/>
      <c r="E630" s="180"/>
      <c r="F630" s="181"/>
      <c r="G630" s="181"/>
      <c r="H630" s="181"/>
      <c r="I630" s="181"/>
      <c r="J630" s="181"/>
      <c r="K630" s="181"/>
      <c r="L630" s="181"/>
      <c r="M630" s="437"/>
      <c r="N630" s="437"/>
    </row>
    <row r="631" spans="2:14" ht="18.75">
      <c r="D631" s="180"/>
      <c r="E631" s="180"/>
      <c r="F631" s="181"/>
      <c r="G631" s="181"/>
      <c r="H631" s="181"/>
      <c r="I631" s="181"/>
      <c r="J631" s="181"/>
      <c r="K631" s="181"/>
      <c r="L631" s="181"/>
      <c r="M631" s="441"/>
      <c r="N631" s="441"/>
    </row>
    <row r="632" spans="2:14" ht="18.75">
      <c r="D632" s="180"/>
      <c r="E632" s="180"/>
      <c r="F632" s="181"/>
      <c r="G632" s="181"/>
      <c r="H632" s="181"/>
      <c r="I632" s="181"/>
      <c r="J632" s="181"/>
      <c r="K632" s="181"/>
      <c r="L632" s="181"/>
      <c r="M632" s="441"/>
      <c r="N632" s="441"/>
    </row>
    <row r="634" spans="2:14">
      <c r="M634" s="182"/>
      <c r="N634" s="182"/>
    </row>
  </sheetData>
  <autoFilter ref="A4:P634"/>
  <mergeCells count="12">
    <mergeCell ref="F14:I14"/>
    <mergeCell ref="A8:N8"/>
    <mergeCell ref="A12:A13"/>
    <mergeCell ref="B12:B13"/>
    <mergeCell ref="C12:C13"/>
    <mergeCell ref="D12:D13"/>
    <mergeCell ref="E12:E13"/>
    <mergeCell ref="F12:I13"/>
    <mergeCell ref="J12:J13"/>
    <mergeCell ref="N12:N13"/>
    <mergeCell ref="L12:M12"/>
    <mergeCell ref="K12:K1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1" fitToHeight="0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H31"/>
  <sheetViews>
    <sheetView workbookViewId="0">
      <selection activeCell="C2" sqref="C2"/>
    </sheetView>
  </sheetViews>
  <sheetFormatPr defaultColWidth="9.140625" defaultRowHeight="12.75"/>
  <cols>
    <col min="1" max="1" width="33.28515625" style="604" customWidth="1"/>
    <col min="2" max="2" width="66.42578125" style="604" customWidth="1"/>
    <col min="3" max="3" width="20" style="604" customWidth="1"/>
    <col min="4" max="4" width="9.140625" style="30"/>
    <col min="5" max="5" width="17.7109375" style="30" customWidth="1"/>
    <col min="6" max="6" width="19.85546875" style="30" customWidth="1"/>
    <col min="7" max="7" width="10.85546875" style="30" bestFit="1" customWidth="1"/>
    <col min="8" max="16384" width="9.140625" style="30"/>
  </cols>
  <sheetData>
    <row r="1" spans="1:6" s="193" customFormat="1" ht="18.75">
      <c r="C1" s="200" t="s">
        <v>570</v>
      </c>
    </row>
    <row r="2" spans="1:6" s="193" customFormat="1" ht="18.75">
      <c r="C2" s="200" t="s">
        <v>1029</v>
      </c>
    </row>
    <row r="4" spans="1:6" ht="18.75">
      <c r="C4" s="200" t="s">
        <v>571</v>
      </c>
    </row>
    <row r="5" spans="1:6" ht="18.75">
      <c r="C5" s="495" t="s">
        <v>917</v>
      </c>
    </row>
    <row r="6" spans="1:6" ht="17.45" customHeight="1">
      <c r="A6" s="632"/>
      <c r="B6" s="632"/>
      <c r="C6" s="632"/>
    </row>
    <row r="7" spans="1:6" s="74" customFormat="1" ht="18" customHeight="1">
      <c r="A7" s="193"/>
      <c r="B7" s="193"/>
      <c r="C7" s="200"/>
    </row>
    <row r="8" spans="1:6" s="74" customFormat="1" ht="36" customHeight="1">
      <c r="A8" s="997" t="s">
        <v>1013</v>
      </c>
      <c r="B8" s="998"/>
      <c r="C8" s="998"/>
    </row>
    <row r="9" spans="1:6" ht="18.75">
      <c r="A9" s="632"/>
      <c r="B9" s="632"/>
      <c r="C9" s="632"/>
      <c r="E9" s="106"/>
      <c r="F9" s="60"/>
    </row>
    <row r="10" spans="1:6" ht="18.75">
      <c r="A10" s="632"/>
      <c r="B10" s="632"/>
      <c r="C10" s="667" t="s">
        <v>261</v>
      </c>
    </row>
    <row r="11" spans="1:6" ht="58.9" customHeight="1">
      <c r="A11" s="634" t="s">
        <v>31</v>
      </c>
      <c r="B11" s="668" t="s">
        <v>883</v>
      </c>
      <c r="C11" s="668" t="s">
        <v>33</v>
      </c>
      <c r="E11" s="61"/>
      <c r="F11" s="61"/>
    </row>
    <row r="12" spans="1:6" ht="18" customHeight="1">
      <c r="A12" s="643">
        <v>1</v>
      </c>
      <c r="B12" s="669">
        <v>2</v>
      </c>
      <c r="C12" s="670">
        <v>3</v>
      </c>
      <c r="E12" s="61"/>
      <c r="F12" s="61"/>
    </row>
    <row r="13" spans="1:6" ht="37.15" customHeight="1">
      <c r="A13" s="671" t="s">
        <v>262</v>
      </c>
      <c r="B13" s="672" t="s">
        <v>263</v>
      </c>
      <c r="C13" s="673">
        <f>C18+C14</f>
        <v>41680.003000000259</v>
      </c>
      <c r="E13" s="87"/>
      <c r="F13" s="34"/>
    </row>
    <row r="14" spans="1:6" ht="50.25" customHeight="1">
      <c r="A14" s="674" t="s">
        <v>480</v>
      </c>
      <c r="B14" s="675" t="s">
        <v>867</v>
      </c>
      <c r="C14" s="676">
        <f>C15</f>
        <v>-6816</v>
      </c>
      <c r="E14" s="87"/>
      <c r="F14" s="34"/>
    </row>
    <row r="15" spans="1:6" ht="57" customHeight="1">
      <c r="A15" s="677" t="s">
        <v>481</v>
      </c>
      <c r="B15" s="678" t="s">
        <v>864</v>
      </c>
      <c r="C15" s="679">
        <f>-C16</f>
        <v>-6816</v>
      </c>
      <c r="E15" s="87"/>
      <c r="F15" s="34"/>
    </row>
    <row r="16" spans="1:6" ht="63" customHeight="1">
      <c r="A16" s="677" t="s">
        <v>482</v>
      </c>
      <c r="B16" s="678" t="s">
        <v>865</v>
      </c>
      <c r="C16" s="679">
        <f>C17</f>
        <v>6816</v>
      </c>
      <c r="E16" s="87"/>
      <c r="F16" s="34"/>
    </row>
    <row r="17" spans="1:8" ht="75.75" customHeight="1">
      <c r="A17" s="677" t="s">
        <v>483</v>
      </c>
      <c r="B17" s="678" t="s">
        <v>866</v>
      </c>
      <c r="C17" s="679">
        <v>6816</v>
      </c>
      <c r="E17" s="87"/>
      <c r="F17" s="34"/>
    </row>
    <row r="18" spans="1:8" s="35" customFormat="1" ht="34.9" customHeight="1">
      <c r="A18" s="674" t="s">
        <v>264</v>
      </c>
      <c r="B18" s="680" t="s">
        <v>265</v>
      </c>
      <c r="C18" s="676">
        <f>C23-C19</f>
        <v>48496.003000000259</v>
      </c>
      <c r="F18" s="36"/>
      <c r="G18" s="37"/>
    </row>
    <row r="19" spans="1:8" s="31" customFormat="1" ht="18.75">
      <c r="A19" s="677" t="s">
        <v>266</v>
      </c>
      <c r="B19" s="681" t="s">
        <v>267</v>
      </c>
      <c r="C19" s="682">
        <f>C20</f>
        <v>1597950.0869999998</v>
      </c>
    </row>
    <row r="20" spans="1:8" s="31" customFormat="1" ht="18.75">
      <c r="A20" s="677" t="s">
        <v>268</v>
      </c>
      <c r="B20" s="681" t="s">
        <v>269</v>
      </c>
      <c r="C20" s="682">
        <f>C21</f>
        <v>1597950.0869999998</v>
      </c>
    </row>
    <row r="21" spans="1:8" s="31" customFormat="1" ht="20.25" customHeight="1">
      <c r="A21" s="677" t="s">
        <v>389</v>
      </c>
      <c r="B21" s="683" t="s">
        <v>270</v>
      </c>
      <c r="C21" s="560">
        <f>C22</f>
        <v>1597950.0869999998</v>
      </c>
    </row>
    <row r="22" spans="1:8" s="31" customFormat="1" ht="37.5" customHeight="1">
      <c r="A22" s="677" t="s">
        <v>271</v>
      </c>
      <c r="B22" s="683" t="s">
        <v>13</v>
      </c>
      <c r="C22" s="560">
        <f>'прил. 2 (поступл.21)'!C40</f>
        <v>1597950.0869999998</v>
      </c>
    </row>
    <row r="23" spans="1:8" s="31" customFormat="1" ht="18.75">
      <c r="A23" s="677" t="s">
        <v>272</v>
      </c>
      <c r="B23" s="683" t="s">
        <v>273</v>
      </c>
      <c r="C23" s="560">
        <f>C24</f>
        <v>1646446.09</v>
      </c>
    </row>
    <row r="24" spans="1:8" s="31" customFormat="1" ht="18.75">
      <c r="A24" s="677" t="s">
        <v>274</v>
      </c>
      <c r="B24" s="683" t="s">
        <v>275</v>
      </c>
      <c r="C24" s="560">
        <f>C25</f>
        <v>1646446.09</v>
      </c>
    </row>
    <row r="25" spans="1:8" s="31" customFormat="1" ht="22.15" customHeight="1">
      <c r="A25" s="677" t="s">
        <v>276</v>
      </c>
      <c r="B25" s="683" t="s">
        <v>277</v>
      </c>
      <c r="C25" s="560">
        <f>C26</f>
        <v>1646446.09</v>
      </c>
    </row>
    <row r="26" spans="1:8" s="31" customFormat="1" ht="37.5">
      <c r="A26" s="684" t="s">
        <v>278</v>
      </c>
      <c r="B26" s="685" t="s">
        <v>15</v>
      </c>
      <c r="C26" s="561">
        <f>'прил12(ведом 21)'!M14+C17</f>
        <v>1646446.09</v>
      </c>
    </row>
    <row r="27" spans="1:8" s="31" customFormat="1" ht="18.75">
      <c r="A27" s="686"/>
      <c r="B27" s="687"/>
      <c r="C27" s="688"/>
    </row>
    <row r="28" spans="1:8" s="31" customFormat="1" ht="18.75">
      <c r="A28" s="686"/>
      <c r="B28" s="687"/>
      <c r="C28" s="688"/>
    </row>
    <row r="29" spans="1:8" s="24" customFormat="1" ht="18.75">
      <c r="A29" s="374" t="s">
        <v>467</v>
      </c>
      <c r="B29" s="282"/>
      <c r="C29" s="283"/>
      <c r="D29" s="27"/>
      <c r="E29" s="27"/>
      <c r="F29" s="28"/>
      <c r="G29" s="29"/>
      <c r="H29" s="25"/>
    </row>
    <row r="30" spans="1:8" s="24" customFormat="1" ht="18.75">
      <c r="A30" s="374" t="s">
        <v>468</v>
      </c>
      <c r="B30" s="282"/>
      <c r="C30" s="283"/>
      <c r="D30" s="27"/>
      <c r="E30" s="27"/>
      <c r="F30" s="28"/>
      <c r="G30" s="29"/>
      <c r="H30" s="25"/>
    </row>
    <row r="31" spans="1:8" s="24" customFormat="1" ht="18.75">
      <c r="A31" s="375" t="s">
        <v>469</v>
      </c>
      <c r="B31" s="282"/>
      <c r="C31" s="376" t="s">
        <v>494</v>
      </c>
      <c r="D31" s="27"/>
      <c r="E31" s="27"/>
      <c r="F31" s="28"/>
    </row>
  </sheetData>
  <mergeCells count="1">
    <mergeCell ref="A8:C8"/>
  </mergeCells>
  <printOptions horizontalCentered="1"/>
  <pageMargins left="1.1811023622047245" right="0.39370078740157483" top="0.62992125984251968" bottom="0.19685039370078741" header="0" footer="0"/>
  <pageSetup paperSize="9" scale="7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G31"/>
  <sheetViews>
    <sheetView tabSelected="1" workbookViewId="0">
      <selection activeCell="D2" sqref="D2"/>
    </sheetView>
  </sheetViews>
  <sheetFormatPr defaultColWidth="9.140625" defaultRowHeight="12.75"/>
  <cols>
    <col min="1" max="1" width="33.28515625" style="30" customWidth="1"/>
    <col min="2" max="2" width="52.140625" style="30" customWidth="1"/>
    <col min="3" max="3" width="14.140625" style="30" customWidth="1"/>
    <col min="4" max="4" width="14.42578125" style="30" customWidth="1"/>
    <col min="5" max="5" width="17.7109375" style="30" customWidth="1"/>
    <col min="6" max="6" width="19.85546875" style="30" customWidth="1"/>
    <col min="7" max="7" width="10.85546875" style="30" bestFit="1" customWidth="1"/>
    <col min="8" max="16384" width="9.140625" style="30"/>
  </cols>
  <sheetData>
    <row r="1" spans="1:6" ht="18.75">
      <c r="D1" s="1" t="s">
        <v>493</v>
      </c>
    </row>
    <row r="2" spans="1:6" ht="18.75">
      <c r="D2" s="1" t="s">
        <v>1035</v>
      </c>
    </row>
    <row r="4" spans="1:6" ht="18.75">
      <c r="D4" s="1" t="s">
        <v>572</v>
      </c>
    </row>
    <row r="5" spans="1:6" ht="18.75">
      <c r="D5" s="495" t="s">
        <v>917</v>
      </c>
    </row>
    <row r="6" spans="1:6" ht="17.45" customHeight="1">
      <c r="A6" s="19"/>
      <c r="B6" s="19"/>
      <c r="C6" s="19"/>
    </row>
    <row r="7" spans="1:6" s="74" customFormat="1" ht="45" customHeight="1">
      <c r="A7" s="1002" t="s">
        <v>1014</v>
      </c>
      <c r="B7" s="1002"/>
      <c r="C7" s="1002"/>
      <c r="D7" s="1002"/>
    </row>
    <row r="8" spans="1:6" ht="18" customHeight="1">
      <c r="A8" s="19"/>
      <c r="B8" s="19"/>
      <c r="C8" s="19"/>
      <c r="E8" s="106"/>
      <c r="F8" s="60"/>
    </row>
    <row r="9" spans="1:6" ht="18.75">
      <c r="A9" s="19"/>
      <c r="B9" s="19"/>
      <c r="D9" s="32" t="s">
        <v>261</v>
      </c>
    </row>
    <row r="10" spans="1:6" ht="16.149999999999999" customHeight="1">
      <c r="A10" s="1001" t="s">
        <v>31</v>
      </c>
      <c r="B10" s="1001" t="s">
        <v>883</v>
      </c>
      <c r="C10" s="999" t="s">
        <v>33</v>
      </c>
      <c r="D10" s="1000"/>
    </row>
    <row r="11" spans="1:6" ht="55.5" customHeight="1">
      <c r="A11" s="1001"/>
      <c r="B11" s="1001"/>
      <c r="C11" s="43" t="s">
        <v>580</v>
      </c>
      <c r="D11" s="43" t="s">
        <v>773</v>
      </c>
      <c r="E11" s="61"/>
      <c r="F11" s="61"/>
    </row>
    <row r="12" spans="1:6" ht="18" customHeight="1">
      <c r="A12" s="68">
        <v>1</v>
      </c>
      <c r="B12" s="69">
        <v>2</v>
      </c>
      <c r="C12" s="70">
        <v>3</v>
      </c>
      <c r="D12" s="70">
        <v>4</v>
      </c>
      <c r="E12" s="61"/>
      <c r="F12" s="61"/>
    </row>
    <row r="13" spans="1:6" ht="56.25">
      <c r="A13" s="76" t="s">
        <v>262</v>
      </c>
      <c r="B13" s="88" t="s">
        <v>263</v>
      </c>
      <c r="C13" s="67">
        <f>C18+C14</f>
        <v>-10224</v>
      </c>
      <c r="D13" s="67">
        <f>D18+D14</f>
        <v>0</v>
      </c>
      <c r="E13" s="33"/>
      <c r="F13" s="34"/>
    </row>
    <row r="14" spans="1:6" ht="56.25">
      <c r="A14" s="77" t="s">
        <v>480</v>
      </c>
      <c r="B14" s="134" t="s">
        <v>867</v>
      </c>
      <c r="C14" s="67">
        <f>C15</f>
        <v>-10224</v>
      </c>
      <c r="D14" s="67">
        <f>D15</f>
        <v>0</v>
      </c>
      <c r="E14" s="33"/>
      <c r="F14" s="34"/>
    </row>
    <row r="15" spans="1:6" ht="59.25" customHeight="1">
      <c r="A15" s="78" t="s">
        <v>481</v>
      </c>
      <c r="B15" s="135" t="s">
        <v>864</v>
      </c>
      <c r="C15" s="136">
        <f>-C16</f>
        <v>-10224</v>
      </c>
      <c r="D15" s="136">
        <f>-D16</f>
        <v>0</v>
      </c>
      <c r="E15" s="33"/>
      <c r="F15" s="34"/>
    </row>
    <row r="16" spans="1:6" ht="77.25" customHeight="1">
      <c r="A16" s="78" t="s">
        <v>482</v>
      </c>
      <c r="B16" s="135" t="s">
        <v>865</v>
      </c>
      <c r="C16" s="107">
        <f>C17</f>
        <v>10224</v>
      </c>
      <c r="D16" s="107">
        <f>D17</f>
        <v>0</v>
      </c>
      <c r="E16" s="33"/>
      <c r="F16" s="34"/>
    </row>
    <row r="17" spans="1:7" ht="75" customHeight="1">
      <c r="A17" s="78" t="s">
        <v>483</v>
      </c>
      <c r="B17" s="135" t="s">
        <v>866</v>
      </c>
      <c r="C17" s="107">
        <v>10224</v>
      </c>
      <c r="D17" s="107">
        <v>0</v>
      </c>
      <c r="E17" s="33"/>
      <c r="F17" s="34"/>
    </row>
    <row r="18" spans="1:7" s="35" customFormat="1" ht="37.5">
      <c r="A18" s="77" t="s">
        <v>264</v>
      </c>
      <c r="B18" s="89" t="s">
        <v>265</v>
      </c>
      <c r="C18" s="67">
        <f>C23-C19</f>
        <v>0</v>
      </c>
      <c r="D18" s="86">
        <f>D23-D19</f>
        <v>0</v>
      </c>
      <c r="F18" s="36"/>
      <c r="G18" s="37"/>
    </row>
    <row r="19" spans="1:7" s="31" customFormat="1" ht="18.75">
      <c r="A19" s="78" t="s">
        <v>266</v>
      </c>
      <c r="B19" s="135" t="s">
        <v>267</v>
      </c>
      <c r="C19" s="562">
        <f t="shared" ref="C19:D21" si="0">C20</f>
        <v>1582091.3000000003</v>
      </c>
      <c r="D19" s="559">
        <f t="shared" si="0"/>
        <v>1512134.5</v>
      </c>
    </row>
    <row r="20" spans="1:7" s="31" customFormat="1" ht="21.75" customHeight="1">
      <c r="A20" s="78" t="s">
        <v>268</v>
      </c>
      <c r="B20" s="135" t="s">
        <v>269</v>
      </c>
      <c r="C20" s="562">
        <f t="shared" si="0"/>
        <v>1582091.3000000003</v>
      </c>
      <c r="D20" s="559">
        <f t="shared" si="0"/>
        <v>1512134.5</v>
      </c>
    </row>
    <row r="21" spans="1:7" s="31" customFormat="1" ht="37.5" customHeight="1">
      <c r="A21" s="78" t="s">
        <v>389</v>
      </c>
      <c r="B21" s="135" t="s">
        <v>270</v>
      </c>
      <c r="C21" s="562">
        <f t="shared" si="0"/>
        <v>1582091.3000000003</v>
      </c>
      <c r="D21" s="559">
        <f t="shared" si="0"/>
        <v>1512134.5</v>
      </c>
    </row>
    <row r="22" spans="1:7" s="31" customFormat="1" ht="39.75" customHeight="1">
      <c r="A22" s="78" t="s">
        <v>271</v>
      </c>
      <c r="B22" s="135" t="s">
        <v>13</v>
      </c>
      <c r="C22" s="562">
        <f>'прил. 3 (поступл. 22-23)'!C40</f>
        <v>1582091.3000000003</v>
      </c>
      <c r="D22" s="559">
        <f>'прил. 3 (поступл. 22-23)'!D40</f>
        <v>1512134.5</v>
      </c>
    </row>
    <row r="23" spans="1:7" s="31" customFormat="1" ht="18.75">
      <c r="A23" s="78" t="s">
        <v>272</v>
      </c>
      <c r="B23" s="135" t="s">
        <v>273</v>
      </c>
      <c r="C23" s="562">
        <f t="shared" ref="C23:D25" si="1">C24</f>
        <v>1582091.3</v>
      </c>
      <c r="D23" s="562">
        <f t="shared" si="1"/>
        <v>1512134.5</v>
      </c>
    </row>
    <row r="24" spans="1:7" s="31" customFormat="1" ht="37.5">
      <c r="A24" s="78" t="s">
        <v>274</v>
      </c>
      <c r="B24" s="135" t="s">
        <v>275</v>
      </c>
      <c r="C24" s="562">
        <f t="shared" si="1"/>
        <v>1582091.3</v>
      </c>
      <c r="D24" s="559">
        <f t="shared" si="1"/>
        <v>1512134.5</v>
      </c>
    </row>
    <row r="25" spans="1:7" s="31" customFormat="1" ht="37.5">
      <c r="A25" s="78" t="s">
        <v>276</v>
      </c>
      <c r="B25" s="135" t="s">
        <v>277</v>
      </c>
      <c r="C25" s="562">
        <f t="shared" si="1"/>
        <v>1582091.3</v>
      </c>
      <c r="D25" s="559">
        <f t="shared" si="1"/>
        <v>1512134.5</v>
      </c>
    </row>
    <row r="26" spans="1:7" s="31" customFormat="1" ht="39" customHeight="1">
      <c r="A26" s="82" t="s">
        <v>278</v>
      </c>
      <c r="B26" s="563" t="s">
        <v>15</v>
      </c>
      <c r="C26" s="564">
        <f>'прил13(ведом 22-23)'!M15+'прил.15 (Источники 22-23)'!C17</f>
        <v>1582091.3</v>
      </c>
      <c r="D26" s="564">
        <f>'прил13(ведом 22-23)'!N15+'прил.15 (Источники 22-23)'!D17</f>
        <v>1512134.5</v>
      </c>
    </row>
    <row r="27" spans="1:7" s="31" customFormat="1" ht="18.75">
      <c r="A27" s="83"/>
      <c r="B27" s="85"/>
      <c r="C27" s="108"/>
      <c r="D27" s="108"/>
    </row>
    <row r="28" spans="1:7" ht="18.75">
      <c r="A28" s="19"/>
      <c r="B28" s="19"/>
      <c r="C28" s="19"/>
    </row>
    <row r="29" spans="1:7" s="64" customFormat="1" ht="18.75">
      <c r="A29" s="90" t="s">
        <v>467</v>
      </c>
      <c r="B29" s="26"/>
      <c r="C29" s="27"/>
    </row>
    <row r="30" spans="1:7" s="64" customFormat="1" ht="18.75">
      <c r="A30" s="90" t="s">
        <v>468</v>
      </c>
      <c r="B30" s="26"/>
      <c r="C30" s="27"/>
    </row>
    <row r="31" spans="1:7" s="64" customFormat="1" ht="18.75">
      <c r="A31" s="91" t="s">
        <v>469</v>
      </c>
      <c r="B31" s="26"/>
      <c r="D31" s="23" t="s">
        <v>494</v>
      </c>
    </row>
  </sheetData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78740157480314965" bottom="0.59055118110236227" header="0" footer="0"/>
  <pageSetup paperSize="9" scale="74" fitToHeight="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H20"/>
  <sheetViews>
    <sheetView workbookViewId="0">
      <selection activeCell="B2" sqref="B2"/>
    </sheetView>
  </sheetViews>
  <sheetFormatPr defaultColWidth="8.85546875" defaultRowHeight="18.75"/>
  <cols>
    <col min="1" max="1" width="73.7109375" style="192" customWidth="1"/>
    <col min="2" max="2" width="17.28515625" style="192" customWidth="1"/>
    <col min="3" max="16384" width="8.85546875" style="192"/>
  </cols>
  <sheetData>
    <row r="1" spans="1:3">
      <c r="B1" s="200" t="s">
        <v>571</v>
      </c>
    </row>
    <row r="2" spans="1:3">
      <c r="B2" s="200" t="s">
        <v>981</v>
      </c>
    </row>
    <row r="4" spans="1:3">
      <c r="B4" s="200" t="s">
        <v>573</v>
      </c>
    </row>
    <row r="5" spans="1:3">
      <c r="B5" s="495" t="s">
        <v>917</v>
      </c>
    </row>
    <row r="8" spans="1:3" ht="57" customHeight="1">
      <c r="A8" s="1003" t="s">
        <v>782</v>
      </c>
      <c r="B8" s="1003"/>
      <c r="C8" s="755"/>
    </row>
    <row r="9" spans="1:3" ht="16.899999999999999" customHeight="1">
      <c r="A9" s="742"/>
      <c r="B9" s="742"/>
      <c r="C9" s="755"/>
    </row>
    <row r="10" spans="1:3">
      <c r="B10" s="200" t="s">
        <v>42</v>
      </c>
    </row>
    <row r="11" spans="1:3" ht="31.9" customHeight="1">
      <c r="A11" s="500" t="s">
        <v>297</v>
      </c>
      <c r="B11" s="500" t="s">
        <v>33</v>
      </c>
    </row>
    <row r="12" spans="1:3">
      <c r="A12" s="216">
        <v>1</v>
      </c>
      <c r="B12" s="216">
        <v>2</v>
      </c>
    </row>
    <row r="13" spans="1:3" ht="22.9" customHeight="1">
      <c r="A13" s="756" t="s">
        <v>369</v>
      </c>
      <c r="B13" s="757">
        <f>SUM(B14:B15)</f>
        <v>23209.678</v>
      </c>
    </row>
    <row r="14" spans="1:3">
      <c r="A14" s="181" t="s">
        <v>298</v>
      </c>
      <c r="B14" s="705">
        <f>'прил12(ведом 21)'!M257</f>
        <v>5500</v>
      </c>
    </row>
    <row r="15" spans="1:3" ht="37.5">
      <c r="A15" s="758" t="s">
        <v>688</v>
      </c>
      <c r="B15" s="705">
        <f>'прил12(ведом 21)'!M99+'прил12(ведом 21)'!M101++'прил12(ведом 21)'!M109+'прил12(ведом 21)'!M209+'прил12(ведом 21)'!M212+'прил12(ведом 21)'!M263+'прил12(ведом 21)'!M215+'прил12(ведом 21)'!M218+'прил12(ведом 21)'!M221+'прил12(ведом 21)'!M224+'прил12(ведом 21)'!M227</f>
        <v>17709.678</v>
      </c>
    </row>
    <row r="18" spans="1:8" s="279" customFormat="1">
      <c r="A18" s="374" t="s">
        <v>467</v>
      </c>
      <c r="B18" s="282"/>
      <c r="C18" s="283"/>
      <c r="D18" s="283"/>
      <c r="E18" s="283"/>
      <c r="F18" s="206"/>
      <c r="G18" s="373"/>
      <c r="H18" s="434"/>
    </row>
    <row r="19" spans="1:8" s="279" customFormat="1">
      <c r="A19" s="374" t="s">
        <v>468</v>
      </c>
      <c r="B19" s="282"/>
      <c r="C19" s="283"/>
      <c r="D19" s="283"/>
      <c r="E19" s="283"/>
      <c r="F19" s="206"/>
      <c r="G19" s="373"/>
      <c r="H19" s="434"/>
    </row>
    <row r="20" spans="1:8" s="279" customFormat="1">
      <c r="A20" s="375" t="s">
        <v>469</v>
      </c>
      <c r="B20" s="376" t="s">
        <v>494</v>
      </c>
      <c r="D20" s="283"/>
      <c r="E20" s="283"/>
      <c r="F20" s="206"/>
    </row>
  </sheetData>
  <mergeCells count="1">
    <mergeCell ref="A8:B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93" fitToHeight="0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21"/>
  <sheetViews>
    <sheetView workbookViewId="0">
      <selection activeCell="C15" sqref="C15"/>
    </sheetView>
  </sheetViews>
  <sheetFormatPr defaultColWidth="8.85546875" defaultRowHeight="18.75"/>
  <cols>
    <col min="1" max="1" width="73.7109375" style="46" customWidth="1"/>
    <col min="2" max="2" width="14.85546875" style="46" customWidth="1"/>
    <col min="3" max="3" width="14.28515625" style="46" customWidth="1"/>
    <col min="4" max="16384" width="8.85546875" style="46"/>
  </cols>
  <sheetData>
    <row r="1" spans="1:3">
      <c r="C1" s="39" t="s">
        <v>426</v>
      </c>
    </row>
    <row r="2" spans="1:3">
      <c r="C2" s="200" t="s">
        <v>981</v>
      </c>
    </row>
    <row r="4" spans="1:3">
      <c r="C4" s="39" t="s">
        <v>426</v>
      </c>
    </row>
    <row r="5" spans="1:3">
      <c r="C5" s="495" t="s">
        <v>917</v>
      </c>
    </row>
    <row r="8" spans="1:3" ht="42.6" customHeight="1">
      <c r="A8" s="1004" t="s">
        <v>783</v>
      </c>
      <c r="B8" s="1004"/>
      <c r="C8" s="1004"/>
    </row>
    <row r="9" spans="1:3" ht="16.899999999999999" customHeight="1">
      <c r="A9" s="92"/>
      <c r="B9" s="92"/>
      <c r="C9" s="102"/>
    </row>
    <row r="10" spans="1:3">
      <c r="C10" s="1" t="s">
        <v>42</v>
      </c>
    </row>
    <row r="11" spans="1:3">
      <c r="A11" s="1006" t="s">
        <v>297</v>
      </c>
      <c r="B11" s="1005" t="s">
        <v>33</v>
      </c>
      <c r="C11" s="1005"/>
    </row>
    <row r="12" spans="1:3" ht="23.45" customHeight="1">
      <c r="A12" s="1007"/>
      <c r="B12" s="43" t="s">
        <v>580</v>
      </c>
      <c r="C12" s="43" t="s">
        <v>773</v>
      </c>
    </row>
    <row r="13" spans="1:3">
      <c r="A13" s="73">
        <v>1</v>
      </c>
      <c r="B13" s="73">
        <v>2</v>
      </c>
      <c r="C13" s="73">
        <v>3</v>
      </c>
    </row>
    <row r="14" spans="1:3" ht="18" customHeight="1">
      <c r="A14" s="103" t="s">
        <v>369</v>
      </c>
      <c r="B14" s="104">
        <f>SUM(B15:B16)</f>
        <v>8575.2999999999993</v>
      </c>
      <c r="C14" s="104">
        <f>SUM(C15:C16)</f>
        <v>8575.2999999999993</v>
      </c>
    </row>
    <row r="15" spans="1:3">
      <c r="A15" s="45" t="s">
        <v>298</v>
      </c>
      <c r="B15" s="105">
        <f>'прил13(ведом 22-23)'!M202</f>
        <v>5500</v>
      </c>
      <c r="C15" s="105">
        <f>'прил13(ведом 22-23)'!N202</f>
        <v>5500</v>
      </c>
    </row>
    <row r="16" spans="1:3" ht="37.5">
      <c r="A16" s="47" t="s">
        <v>688</v>
      </c>
      <c r="B16" s="105">
        <f>'прил13(ведом 22-23)'!M92</f>
        <v>3075.3</v>
      </c>
      <c r="C16" s="105">
        <f>'прил13(ведом 22-23)'!N92</f>
        <v>3075.3</v>
      </c>
    </row>
    <row r="17" spans="1:8">
      <c r="A17" s="4"/>
      <c r="B17" s="194"/>
    </row>
    <row r="19" spans="1:8" s="24" customFormat="1">
      <c r="A19" s="90" t="s">
        <v>467</v>
      </c>
      <c r="B19" s="26"/>
      <c r="C19" s="27"/>
      <c r="D19" s="27"/>
      <c r="E19" s="27"/>
      <c r="F19" s="28"/>
      <c r="G19" s="29"/>
      <c r="H19" s="25"/>
    </row>
    <row r="20" spans="1:8" s="24" customFormat="1">
      <c r="A20" s="90" t="s">
        <v>468</v>
      </c>
      <c r="B20" s="26"/>
      <c r="C20" s="27"/>
      <c r="D20" s="27"/>
      <c r="E20" s="27"/>
      <c r="F20" s="28"/>
      <c r="G20" s="29"/>
      <c r="H20" s="25"/>
    </row>
    <row r="21" spans="1:8" s="24" customFormat="1">
      <c r="A21" s="91" t="s">
        <v>469</v>
      </c>
      <c r="C21" s="23" t="s">
        <v>494</v>
      </c>
      <c r="D21" s="27"/>
      <c r="E21" s="27"/>
      <c r="F21" s="28"/>
    </row>
  </sheetData>
  <mergeCells count="3">
    <mergeCell ref="A8:C8"/>
    <mergeCell ref="B11:C11"/>
    <mergeCell ref="A11:A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J34"/>
  <sheetViews>
    <sheetView topLeftCell="A4" workbookViewId="0">
      <selection sqref="A1:XFD3"/>
    </sheetView>
  </sheetViews>
  <sheetFormatPr defaultColWidth="8.85546875" defaultRowHeight="12.75"/>
  <cols>
    <col min="1" max="1" width="7.42578125" style="101" customWidth="1"/>
    <col min="2" max="3" width="8.85546875" style="101"/>
    <col min="4" max="4" width="6.5703125" style="101" customWidth="1"/>
    <col min="5" max="5" width="37.42578125" style="101" customWidth="1"/>
    <col min="6" max="6" width="15.28515625" style="101" customWidth="1"/>
    <col min="7" max="7" width="9.5703125" style="101" bestFit="1" customWidth="1"/>
    <col min="8" max="8" width="9.85546875" style="101" customWidth="1"/>
    <col min="9" max="9" width="8.85546875" style="101"/>
    <col min="10" max="10" width="11.85546875" style="101" bestFit="1" customWidth="1"/>
    <col min="11" max="16384" width="8.85546875" style="101"/>
  </cols>
  <sheetData>
    <row r="1" spans="1:10" ht="18" customHeight="1">
      <c r="F1" s="5" t="s">
        <v>427</v>
      </c>
    </row>
    <row r="2" spans="1:10" ht="16.149999999999999" customHeight="1">
      <c r="F2" s="495" t="s">
        <v>917</v>
      </c>
    </row>
    <row r="3" spans="1:10" ht="18" customHeight="1"/>
    <row r="4" spans="1:10" s="11" customFormat="1" ht="18.75">
      <c r="F4" s="13"/>
    </row>
    <row r="5" spans="1:10" s="11" customFormat="1" ht="61.5" customHeight="1">
      <c r="A5" s="1008" t="s">
        <v>879</v>
      </c>
      <c r="B5" s="1008"/>
      <c r="C5" s="1008"/>
      <c r="D5" s="1008"/>
      <c r="E5" s="1008"/>
      <c r="F5" s="1008"/>
    </row>
    <row r="6" spans="1:10" s="11" customFormat="1" ht="18.75"/>
    <row r="7" spans="1:10" s="11" customFormat="1" ht="18.75">
      <c r="F7" s="38" t="s">
        <v>261</v>
      </c>
    </row>
    <row r="8" spans="1:10" s="11" customFormat="1" ht="43.5" customHeight="1">
      <c r="A8" s="97" t="s">
        <v>182</v>
      </c>
      <c r="B8" s="1009" t="s">
        <v>149</v>
      </c>
      <c r="C8" s="1010"/>
      <c r="D8" s="1010"/>
      <c r="E8" s="1011"/>
      <c r="F8" s="51" t="s">
        <v>33</v>
      </c>
      <c r="G8" s="52"/>
      <c r="H8" s="52"/>
      <c r="I8" s="52"/>
      <c r="J8" s="53"/>
    </row>
    <row r="9" spans="1:10" s="11" customFormat="1" ht="16.899999999999999" customHeight="1">
      <c r="A9" s="97">
        <v>1</v>
      </c>
      <c r="B9" s="1009">
        <v>2</v>
      </c>
      <c r="C9" s="1015"/>
      <c r="D9" s="1015"/>
      <c r="E9" s="1016"/>
      <c r="F9" s="51">
        <v>3</v>
      </c>
      <c r="G9" s="52"/>
      <c r="H9" s="52"/>
      <c r="I9" s="52"/>
      <c r="J9" s="53"/>
    </row>
    <row r="10" spans="1:10" s="11" customFormat="1" ht="18.75">
      <c r="A10" s="16">
        <v>1</v>
      </c>
      <c r="B10" s="54" t="s">
        <v>610</v>
      </c>
      <c r="C10" s="54"/>
      <c r="D10" s="54"/>
      <c r="E10" s="54"/>
      <c r="F10" s="55">
        <v>1131.5</v>
      </c>
      <c r="G10" s="52"/>
      <c r="H10" s="52"/>
      <c r="I10" s="52"/>
      <c r="J10" s="56"/>
    </row>
    <row r="11" spans="1:10" s="11" customFormat="1" ht="18.75">
      <c r="A11" s="16">
        <v>2</v>
      </c>
      <c r="B11" s="54" t="s">
        <v>282</v>
      </c>
      <c r="C11" s="54"/>
      <c r="D11" s="54"/>
      <c r="E11" s="54"/>
      <c r="F11" s="55">
        <v>827.5</v>
      </c>
      <c r="G11" s="52"/>
      <c r="H11" s="52"/>
      <c r="I11" s="52"/>
      <c r="J11" s="56"/>
    </row>
    <row r="12" spans="1:10" s="11" customFormat="1" ht="18.75">
      <c r="A12" s="16">
        <v>3</v>
      </c>
      <c r="B12" s="54" t="s">
        <v>283</v>
      </c>
      <c r="C12" s="54"/>
      <c r="D12" s="54"/>
      <c r="E12" s="54"/>
      <c r="F12" s="55">
        <v>159.80000000000001</v>
      </c>
      <c r="G12" s="52"/>
      <c r="H12" s="52"/>
      <c r="I12" s="52"/>
      <c r="J12" s="56"/>
    </row>
    <row r="13" spans="1:10" s="11" customFormat="1" ht="18.75">
      <c r="A13" s="16">
        <v>4</v>
      </c>
      <c r="B13" s="54" t="s">
        <v>284</v>
      </c>
      <c r="C13" s="54"/>
      <c r="D13" s="54"/>
      <c r="E13" s="54"/>
      <c r="F13" s="55">
        <v>556.1</v>
      </c>
      <c r="G13" s="52"/>
      <c r="H13" s="52"/>
      <c r="I13" s="52"/>
      <c r="J13" s="56"/>
    </row>
    <row r="14" spans="1:10" s="11" customFormat="1" ht="18.75">
      <c r="A14" s="16">
        <v>5</v>
      </c>
      <c r="B14" s="54" t="s">
        <v>375</v>
      </c>
      <c r="C14" s="54"/>
      <c r="D14" s="54"/>
      <c r="E14" s="54"/>
      <c r="F14" s="55">
        <v>462</v>
      </c>
      <c r="G14" s="52"/>
      <c r="H14" s="52"/>
      <c r="I14" s="52"/>
      <c r="J14" s="56"/>
    </row>
    <row r="15" spans="1:10" s="11" customFormat="1" ht="18.75">
      <c r="A15" s="16">
        <v>6</v>
      </c>
      <c r="B15" s="54" t="s">
        <v>285</v>
      </c>
      <c r="C15" s="54"/>
      <c r="D15" s="54"/>
      <c r="E15" s="54"/>
      <c r="F15" s="55">
        <v>196.2</v>
      </c>
      <c r="G15" s="52"/>
      <c r="H15" s="52"/>
      <c r="I15" s="52"/>
      <c r="J15" s="56"/>
    </row>
    <row r="16" spans="1:10" s="11" customFormat="1" ht="18.75">
      <c r="A16" s="16">
        <v>7</v>
      </c>
      <c r="B16" s="54" t="s">
        <v>286</v>
      </c>
      <c r="C16" s="54"/>
      <c r="D16" s="54"/>
      <c r="E16" s="54"/>
      <c r="F16" s="55">
        <v>487.5</v>
      </c>
      <c r="G16" s="52"/>
      <c r="H16" s="52"/>
      <c r="I16" s="52"/>
      <c r="J16" s="56"/>
    </row>
    <row r="17" spans="1:10" s="11" customFormat="1" ht="18.75">
      <c r="A17" s="16">
        <v>8</v>
      </c>
      <c r="B17" s="54" t="s">
        <v>287</v>
      </c>
      <c r="C17" s="54"/>
      <c r="D17" s="54"/>
      <c r="E17" s="54"/>
      <c r="F17" s="55">
        <v>420.4</v>
      </c>
      <c r="G17" s="52"/>
      <c r="H17" s="52"/>
      <c r="I17" s="52"/>
      <c r="J17" s="56"/>
    </row>
    <row r="18" spans="1:10" s="11" customFormat="1" ht="18.75">
      <c r="A18" s="16">
        <v>9</v>
      </c>
      <c r="B18" s="54" t="s">
        <v>288</v>
      </c>
      <c r="C18" s="54"/>
      <c r="D18" s="54"/>
      <c r="E18" s="54"/>
      <c r="F18" s="55">
        <v>895.9</v>
      </c>
      <c r="G18" s="52"/>
      <c r="H18" s="52"/>
      <c r="I18" s="52"/>
      <c r="J18" s="56"/>
    </row>
    <row r="19" spans="1:10" s="11" customFormat="1" ht="18.75">
      <c r="A19" s="16">
        <v>10</v>
      </c>
      <c r="B19" s="54" t="s">
        <v>289</v>
      </c>
      <c r="C19" s="54"/>
      <c r="D19" s="54"/>
      <c r="E19" s="54"/>
      <c r="F19" s="55">
        <v>363.1</v>
      </c>
      <c r="G19" s="52"/>
      <c r="H19" s="52"/>
      <c r="I19" s="52"/>
      <c r="J19" s="56"/>
    </row>
    <row r="20" spans="1:10" s="11" customFormat="1" ht="26.45" customHeight="1">
      <c r="A20" s="54"/>
      <c r="B20" s="1012" t="s">
        <v>369</v>
      </c>
      <c r="C20" s="1013"/>
      <c r="D20" s="1013"/>
      <c r="E20" s="1014"/>
      <c r="F20" s="57">
        <f>SUM(F10:F19)</f>
        <v>5500</v>
      </c>
      <c r="G20" s="52"/>
      <c r="H20" s="52"/>
      <c r="I20" s="52"/>
      <c r="J20" s="58"/>
    </row>
    <row r="21" spans="1:10" s="11" customFormat="1" ht="18.75">
      <c r="F21" s="13"/>
    </row>
    <row r="22" spans="1:10" s="11" customFormat="1" ht="18.75">
      <c r="F22" s="13"/>
    </row>
    <row r="23" spans="1:10" s="24" customFormat="1" ht="18.75">
      <c r="A23" s="90" t="s">
        <v>467</v>
      </c>
      <c r="B23" s="26"/>
      <c r="C23" s="27"/>
      <c r="D23" s="27"/>
      <c r="E23" s="27"/>
      <c r="F23" s="28"/>
      <c r="G23" s="29"/>
      <c r="H23" s="25"/>
    </row>
    <row r="24" spans="1:10" s="24" customFormat="1" ht="18.75">
      <c r="A24" s="90" t="s">
        <v>468</v>
      </c>
      <c r="B24" s="26"/>
      <c r="C24" s="27"/>
      <c r="D24" s="27"/>
      <c r="E24" s="27"/>
      <c r="F24" s="28"/>
      <c r="G24" s="29"/>
      <c r="H24" s="25"/>
    </row>
    <row r="25" spans="1:10" s="24" customFormat="1" ht="18.75">
      <c r="A25" s="91" t="s">
        <v>469</v>
      </c>
      <c r="D25" s="27"/>
      <c r="E25" s="27"/>
      <c r="F25" s="23" t="s">
        <v>494</v>
      </c>
    </row>
    <row r="26" spans="1:10" s="11" customFormat="1" ht="18.75">
      <c r="F26" s="13"/>
    </row>
    <row r="27" spans="1:10" s="11" customFormat="1" ht="18.75">
      <c r="F27" s="13"/>
    </row>
    <row r="28" spans="1:10" s="11" customFormat="1" ht="18.75">
      <c r="F28" s="13"/>
    </row>
    <row r="29" spans="1:10" s="11" customFormat="1" ht="18.75">
      <c r="F29" s="13"/>
    </row>
    <row r="30" spans="1:10" s="11" customFormat="1" ht="18.75">
      <c r="F30" s="59"/>
    </row>
    <row r="31" spans="1:10" s="11" customFormat="1" ht="18.75">
      <c r="F31" s="13"/>
    </row>
    <row r="32" spans="1:10" s="11" customFormat="1" ht="18.75">
      <c r="F32" s="13"/>
    </row>
    <row r="33" spans="1:6" s="11" customFormat="1" ht="18.75">
      <c r="A33" s="9"/>
      <c r="B33" s="9"/>
      <c r="C33" s="9"/>
      <c r="D33" s="9"/>
      <c r="F33" s="13"/>
    </row>
    <row r="34" spans="1:6" s="11" customFormat="1" ht="18.75">
      <c r="A34" s="9"/>
      <c r="B34" s="9"/>
      <c r="C34" s="9"/>
      <c r="D34" s="9"/>
      <c r="F34" s="38"/>
    </row>
  </sheetData>
  <mergeCells count="4">
    <mergeCell ref="A5:F5"/>
    <mergeCell ref="B8:E8"/>
    <mergeCell ref="B20:E20"/>
    <mergeCell ref="B9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J35"/>
  <sheetViews>
    <sheetView workbookViewId="0">
      <selection activeCell="E1" sqref="E1"/>
    </sheetView>
  </sheetViews>
  <sheetFormatPr defaultColWidth="8.85546875" defaultRowHeight="12.75"/>
  <cols>
    <col min="1" max="1" width="7.42578125" style="101" customWidth="1"/>
    <col min="2" max="3" width="8.85546875" style="101"/>
    <col min="4" max="4" width="6.5703125" style="101" customWidth="1"/>
    <col min="5" max="5" width="24.7109375" style="101" customWidth="1"/>
    <col min="6" max="6" width="14.28515625" style="101" customWidth="1"/>
    <col min="7" max="7" width="13.5703125" style="101" customWidth="1"/>
    <col min="8" max="8" width="9.85546875" style="101" customWidth="1"/>
    <col min="9" max="9" width="8.85546875" style="101"/>
    <col min="10" max="10" width="11.85546875" style="101" bestFit="1" customWidth="1"/>
    <col min="11" max="16384" width="8.85546875" style="101"/>
  </cols>
  <sheetData>
    <row r="1" spans="1:10" ht="18" customHeight="1">
      <c r="G1" s="5" t="s">
        <v>574</v>
      </c>
    </row>
    <row r="2" spans="1:10" ht="16.149999999999999" customHeight="1">
      <c r="G2" s="495" t="s">
        <v>917</v>
      </c>
    </row>
    <row r="3" spans="1:10" ht="18" customHeight="1"/>
    <row r="4" spans="1:10" s="11" customFormat="1" ht="18.75">
      <c r="F4" s="13"/>
    </row>
    <row r="5" spans="1:10" s="11" customFormat="1" ht="59.25" customHeight="1">
      <c r="A5" s="1008" t="s">
        <v>878</v>
      </c>
      <c r="B5" s="1008"/>
      <c r="C5" s="1008"/>
      <c r="D5" s="1008"/>
      <c r="E5" s="1008"/>
      <c r="F5" s="1008"/>
      <c r="G5" s="1008"/>
    </row>
    <row r="6" spans="1:10" s="11" customFormat="1" ht="18.75"/>
    <row r="7" spans="1:10" s="11" customFormat="1" ht="18.75">
      <c r="G7" s="38" t="s">
        <v>261</v>
      </c>
    </row>
    <row r="8" spans="1:10" s="11" customFormat="1" ht="18.75">
      <c r="A8" s="1017" t="s">
        <v>182</v>
      </c>
      <c r="B8" s="1017" t="s">
        <v>149</v>
      </c>
      <c r="C8" s="1017"/>
      <c r="D8" s="1017"/>
      <c r="E8" s="1017"/>
      <c r="F8" s="1005" t="s">
        <v>33</v>
      </c>
      <c r="G8" s="1005"/>
    </row>
    <row r="9" spans="1:10" s="11" customFormat="1" ht="27.6" customHeight="1">
      <c r="A9" s="1017"/>
      <c r="B9" s="1017"/>
      <c r="C9" s="1017"/>
      <c r="D9" s="1017"/>
      <c r="E9" s="1017"/>
      <c r="F9" s="43" t="s">
        <v>580</v>
      </c>
      <c r="G9" s="43" t="s">
        <v>773</v>
      </c>
      <c r="H9" s="52"/>
      <c r="I9" s="52"/>
      <c r="J9" s="53"/>
    </row>
    <row r="10" spans="1:10" s="11" customFormat="1" ht="16.899999999999999" customHeight="1">
      <c r="A10" s="97">
        <v>1</v>
      </c>
      <c r="B10" s="1009">
        <v>2</v>
      </c>
      <c r="C10" s="1015"/>
      <c r="D10" s="1015"/>
      <c r="E10" s="1016"/>
      <c r="F10" s="51">
        <v>3</v>
      </c>
      <c r="G10" s="51">
        <v>4</v>
      </c>
      <c r="H10" s="52"/>
      <c r="I10" s="52"/>
      <c r="J10" s="53"/>
    </row>
    <row r="11" spans="1:10" s="11" customFormat="1" ht="18.75">
      <c r="A11" s="16">
        <v>1</v>
      </c>
      <c r="B11" s="54" t="s">
        <v>610</v>
      </c>
      <c r="C11" s="54"/>
      <c r="D11" s="54"/>
      <c r="E11" s="54"/>
      <c r="F11" s="55">
        <v>821.4</v>
      </c>
      <c r="G11" s="55">
        <v>835.9</v>
      </c>
      <c r="H11" s="52"/>
      <c r="I11" s="52"/>
      <c r="J11" s="56"/>
    </row>
    <row r="12" spans="1:10" s="11" customFormat="1" ht="18.75">
      <c r="A12" s="16">
        <v>2</v>
      </c>
      <c r="B12" s="54" t="s">
        <v>282</v>
      </c>
      <c r="C12" s="54"/>
      <c r="D12" s="54"/>
      <c r="E12" s="54"/>
      <c r="F12" s="55">
        <v>953</v>
      </c>
      <c r="G12" s="55">
        <v>910.2</v>
      </c>
      <c r="H12" s="52"/>
      <c r="I12" s="52"/>
      <c r="J12" s="56"/>
    </row>
    <row r="13" spans="1:10" s="11" customFormat="1" ht="18.75">
      <c r="A13" s="16">
        <v>3</v>
      </c>
      <c r="B13" s="54" t="s">
        <v>283</v>
      </c>
      <c r="C13" s="54"/>
      <c r="D13" s="54"/>
      <c r="E13" s="54"/>
      <c r="F13" s="55">
        <v>273.8</v>
      </c>
      <c r="G13" s="55">
        <v>290</v>
      </c>
      <c r="H13" s="52"/>
      <c r="I13" s="52"/>
      <c r="J13" s="56"/>
    </row>
    <row r="14" spans="1:10" s="11" customFormat="1" ht="18.75">
      <c r="A14" s="16">
        <v>4</v>
      </c>
      <c r="B14" s="54" t="s">
        <v>284</v>
      </c>
      <c r="C14" s="54"/>
      <c r="D14" s="54"/>
      <c r="E14" s="54"/>
      <c r="F14" s="55">
        <v>507.6</v>
      </c>
      <c r="G14" s="55">
        <v>558.9</v>
      </c>
      <c r="H14" s="52"/>
      <c r="I14" s="52"/>
      <c r="J14" s="56"/>
    </row>
    <row r="15" spans="1:10" s="11" customFormat="1" ht="18.75">
      <c r="A15" s="16">
        <v>5</v>
      </c>
      <c r="B15" s="54" t="s">
        <v>375</v>
      </c>
      <c r="C15" s="54"/>
      <c r="D15" s="54"/>
      <c r="E15" s="54"/>
      <c r="F15" s="55">
        <v>296</v>
      </c>
      <c r="G15" s="55">
        <v>366.2</v>
      </c>
      <c r="H15" s="52"/>
      <c r="I15" s="52"/>
      <c r="J15" s="56"/>
    </row>
    <row r="16" spans="1:10" s="11" customFormat="1" ht="18.75">
      <c r="A16" s="16">
        <v>6</v>
      </c>
      <c r="B16" s="54" t="s">
        <v>285</v>
      </c>
      <c r="C16" s="54"/>
      <c r="D16" s="54"/>
      <c r="E16" s="54"/>
      <c r="F16" s="55">
        <v>117.8</v>
      </c>
      <c r="G16" s="55">
        <v>315.89999999999998</v>
      </c>
      <c r="H16" s="52"/>
      <c r="I16" s="52"/>
      <c r="J16" s="56"/>
    </row>
    <row r="17" spans="1:10" s="11" customFormat="1" ht="18.75">
      <c r="A17" s="16">
        <v>7</v>
      </c>
      <c r="B17" s="54" t="s">
        <v>286</v>
      </c>
      <c r="C17" s="54"/>
      <c r="D17" s="54"/>
      <c r="E17" s="54"/>
      <c r="F17" s="55">
        <v>634.20000000000005</v>
      </c>
      <c r="G17" s="55">
        <v>494.1</v>
      </c>
      <c r="H17" s="52"/>
      <c r="I17" s="52"/>
      <c r="J17" s="56"/>
    </row>
    <row r="18" spans="1:10" s="11" customFormat="1" ht="18.75">
      <c r="A18" s="16">
        <v>8</v>
      </c>
      <c r="B18" s="54" t="s">
        <v>287</v>
      </c>
      <c r="C18" s="54"/>
      <c r="D18" s="54"/>
      <c r="E18" s="54"/>
      <c r="F18" s="55">
        <v>365.3</v>
      </c>
      <c r="G18" s="55">
        <v>413.1</v>
      </c>
      <c r="H18" s="52"/>
      <c r="I18" s="52"/>
      <c r="J18" s="56"/>
    </row>
    <row r="19" spans="1:10" s="11" customFormat="1" ht="18.75">
      <c r="A19" s="16">
        <v>9</v>
      </c>
      <c r="B19" s="54" t="s">
        <v>288</v>
      </c>
      <c r="C19" s="54"/>
      <c r="D19" s="54"/>
      <c r="E19" s="54"/>
      <c r="F19" s="55">
        <v>1027.3</v>
      </c>
      <c r="G19" s="55">
        <v>897.5</v>
      </c>
      <c r="H19" s="52"/>
      <c r="I19" s="52"/>
      <c r="J19" s="56"/>
    </row>
    <row r="20" spans="1:10" s="11" customFormat="1" ht="18.75">
      <c r="A20" s="16">
        <v>10</v>
      </c>
      <c r="B20" s="54" t="s">
        <v>289</v>
      </c>
      <c r="C20" s="54"/>
      <c r="D20" s="54"/>
      <c r="E20" s="54"/>
      <c r="F20" s="55">
        <v>503.6</v>
      </c>
      <c r="G20" s="55">
        <v>418.2</v>
      </c>
      <c r="H20" s="52"/>
      <c r="I20" s="52"/>
      <c r="J20" s="56"/>
    </row>
    <row r="21" spans="1:10" s="11" customFormat="1" ht="26.45" customHeight="1">
      <c r="A21" s="54"/>
      <c r="B21" s="1012" t="s">
        <v>369</v>
      </c>
      <c r="C21" s="1013"/>
      <c r="D21" s="1013"/>
      <c r="E21" s="1014"/>
      <c r="F21" s="57">
        <f>SUM(F11:F20)</f>
        <v>5500.0000000000009</v>
      </c>
      <c r="G21" s="57">
        <f>SUM(G11:G20)</f>
        <v>5500</v>
      </c>
      <c r="H21" s="52"/>
      <c r="I21" s="52"/>
      <c r="J21" s="58"/>
    </row>
    <row r="22" spans="1:10" s="11" customFormat="1" ht="18.75">
      <c r="F22" s="13"/>
    </row>
    <row r="23" spans="1:10" s="11" customFormat="1" ht="18.75">
      <c r="F23" s="13"/>
    </row>
    <row r="24" spans="1:10" s="24" customFormat="1" ht="18.75">
      <c r="A24" s="90" t="s">
        <v>467</v>
      </c>
      <c r="B24" s="26"/>
      <c r="C24" s="27"/>
      <c r="D24" s="27"/>
      <c r="E24" s="27"/>
      <c r="F24" s="28"/>
      <c r="G24" s="29"/>
      <c r="H24" s="25"/>
    </row>
    <row r="25" spans="1:10" s="24" customFormat="1" ht="18.75">
      <c r="A25" s="90" t="s">
        <v>468</v>
      </c>
      <c r="B25" s="26"/>
      <c r="C25" s="27"/>
      <c r="D25" s="27"/>
      <c r="E25" s="27"/>
      <c r="F25" s="28"/>
      <c r="G25" s="29"/>
      <c r="H25" s="25"/>
    </row>
    <row r="26" spans="1:10" s="24" customFormat="1" ht="18.75">
      <c r="A26" s="91" t="s">
        <v>469</v>
      </c>
      <c r="D26" s="27"/>
      <c r="E26" s="27"/>
      <c r="G26" s="23" t="s">
        <v>494</v>
      </c>
    </row>
    <row r="27" spans="1:10" s="11" customFormat="1" ht="18.75">
      <c r="F27" s="13"/>
    </row>
    <row r="28" spans="1:10" s="11" customFormat="1" ht="18.75">
      <c r="F28" s="13"/>
    </row>
    <row r="29" spans="1:10" s="11" customFormat="1" ht="18.75">
      <c r="F29" s="13"/>
    </row>
    <row r="30" spans="1:10" s="11" customFormat="1" ht="18.75">
      <c r="F30" s="13"/>
    </row>
    <row r="31" spans="1:10" s="11" customFormat="1" ht="18.75">
      <c r="F31" s="59"/>
    </row>
    <row r="32" spans="1:10" s="11" customFormat="1" ht="18.75">
      <c r="F32" s="13"/>
    </row>
    <row r="33" spans="1:6" s="11" customFormat="1" ht="18.75">
      <c r="F33" s="13"/>
    </row>
    <row r="34" spans="1:6" s="11" customFormat="1" ht="18.75">
      <c r="A34" s="9"/>
      <c r="B34" s="9"/>
      <c r="C34" s="9"/>
      <c r="D34" s="9"/>
      <c r="F34" s="13"/>
    </row>
    <row r="35" spans="1:6" s="11" customFormat="1" ht="18.75">
      <c r="A35" s="9"/>
      <c r="B35" s="9"/>
      <c r="C35" s="9"/>
      <c r="D35" s="9"/>
      <c r="F35" s="38"/>
    </row>
  </sheetData>
  <mergeCells count="6">
    <mergeCell ref="B10:E10"/>
    <mergeCell ref="B21:E21"/>
    <mergeCell ref="A5:G5"/>
    <mergeCell ref="F8:G8"/>
    <mergeCell ref="A8:A9"/>
    <mergeCell ref="B8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H133"/>
  <sheetViews>
    <sheetView zoomScale="80" zoomScaleNormal="80" zoomScaleSheetLayoutView="50" workbookViewId="0">
      <selection activeCell="C2" sqref="C2"/>
    </sheetView>
  </sheetViews>
  <sheetFormatPr defaultColWidth="9.140625" defaultRowHeight="18.75"/>
  <cols>
    <col min="1" max="1" width="29.5703125" style="516" customWidth="1"/>
    <col min="2" max="2" width="60.140625" style="722" customWidth="1"/>
    <col min="3" max="3" width="15.5703125" style="514" customWidth="1"/>
    <col min="4" max="16384" width="9.140625" style="516"/>
  </cols>
  <sheetData>
    <row r="1" spans="1:5">
      <c r="C1" s="200" t="s">
        <v>376</v>
      </c>
    </row>
    <row r="2" spans="1:5">
      <c r="C2" s="444" t="s">
        <v>1029</v>
      </c>
    </row>
    <row r="4" spans="1:5">
      <c r="C4" s="200" t="s">
        <v>376</v>
      </c>
    </row>
    <row r="5" spans="1:5">
      <c r="C5" s="495" t="s">
        <v>917</v>
      </c>
    </row>
    <row r="6" spans="1:5" ht="12.75" customHeight="1"/>
    <row r="7" spans="1:5" ht="11.25" customHeight="1"/>
    <row r="8" spans="1:5" ht="36" customHeight="1">
      <c r="A8" s="934" t="s">
        <v>776</v>
      </c>
      <c r="B8" s="934"/>
      <c r="C8" s="934"/>
    </row>
    <row r="10" spans="1:5">
      <c r="C10" s="508" t="s">
        <v>42</v>
      </c>
    </row>
    <row r="11" spans="1:5" ht="20.45" customHeight="1">
      <c r="A11" s="723" t="s">
        <v>31</v>
      </c>
      <c r="B11" s="724" t="s">
        <v>32</v>
      </c>
      <c r="C11" s="509" t="s">
        <v>33</v>
      </c>
    </row>
    <row r="12" spans="1:5">
      <c r="A12" s="723">
        <v>1</v>
      </c>
      <c r="B12" s="724">
        <v>2</v>
      </c>
      <c r="C12" s="510">
        <v>3</v>
      </c>
    </row>
    <row r="13" spans="1:5">
      <c r="A13" s="249" t="s">
        <v>156</v>
      </c>
      <c r="B13" s="250" t="s">
        <v>157</v>
      </c>
      <c r="C13" s="251">
        <f>SUM(C14:C32)-C23</f>
        <v>453235</v>
      </c>
      <c r="E13" s="725"/>
    </row>
    <row r="14" spans="1:5">
      <c r="A14" s="199" t="s">
        <v>158</v>
      </c>
      <c r="B14" s="229" t="s">
        <v>159</v>
      </c>
      <c r="C14" s="252">
        <v>5000</v>
      </c>
      <c r="E14" s="558"/>
    </row>
    <row r="15" spans="1:5">
      <c r="A15" s="216" t="s">
        <v>160</v>
      </c>
      <c r="B15" s="253" t="s">
        <v>161</v>
      </c>
      <c r="C15" s="252">
        <v>336422.5</v>
      </c>
      <c r="E15" s="558"/>
    </row>
    <row r="16" spans="1:5" ht="173.25" customHeight="1">
      <c r="A16" s="196" t="s">
        <v>162</v>
      </c>
      <c r="B16" s="261" t="s">
        <v>825</v>
      </c>
      <c r="C16" s="252">
        <v>5728.2</v>
      </c>
      <c r="E16" s="558"/>
    </row>
    <row r="17" spans="1:5" ht="37.5">
      <c r="A17" s="199" t="s">
        <v>365</v>
      </c>
      <c r="B17" s="230" t="s">
        <v>366</v>
      </c>
      <c r="C17" s="252">
        <v>57050</v>
      </c>
      <c r="E17" s="558"/>
    </row>
    <row r="18" spans="1:5" ht="37.5">
      <c r="A18" s="199" t="s">
        <v>163</v>
      </c>
      <c r="B18" s="230" t="s">
        <v>392</v>
      </c>
      <c r="C18" s="252">
        <v>3800</v>
      </c>
      <c r="E18" s="558"/>
    </row>
    <row r="19" spans="1:5">
      <c r="A19" s="199" t="s">
        <v>164</v>
      </c>
      <c r="B19" s="253" t="s">
        <v>165</v>
      </c>
      <c r="C19" s="252">
        <v>105</v>
      </c>
      <c r="E19" s="558"/>
    </row>
    <row r="20" spans="1:5" ht="37.5">
      <c r="A20" s="199" t="s">
        <v>166</v>
      </c>
      <c r="B20" s="230" t="s">
        <v>167</v>
      </c>
      <c r="C20" s="252">
        <v>200</v>
      </c>
      <c r="E20" s="558"/>
    </row>
    <row r="21" spans="1:5">
      <c r="A21" s="199" t="s">
        <v>678</v>
      </c>
      <c r="B21" s="230" t="s">
        <v>679</v>
      </c>
      <c r="C21" s="252">
        <v>3600</v>
      </c>
      <c r="E21" s="558"/>
    </row>
    <row r="22" spans="1:5">
      <c r="A22" s="199" t="s">
        <v>168</v>
      </c>
      <c r="B22" s="253" t="s">
        <v>169</v>
      </c>
      <c r="C22" s="252">
        <v>9240</v>
      </c>
      <c r="E22" s="558"/>
    </row>
    <row r="23" spans="1:5" ht="62.25" customHeight="1">
      <c r="A23" s="199" t="s">
        <v>909</v>
      </c>
      <c r="B23" s="230" t="s">
        <v>910</v>
      </c>
      <c r="C23" s="252">
        <f>C24+C25+C26+C27+C28</f>
        <v>24445</v>
      </c>
      <c r="E23" s="558"/>
    </row>
    <row r="24" spans="1:5" ht="78" customHeight="1">
      <c r="A24" s="199" t="s">
        <v>170</v>
      </c>
      <c r="B24" s="254" t="s">
        <v>911</v>
      </c>
      <c r="C24" s="252">
        <v>31</v>
      </c>
      <c r="E24" s="558"/>
    </row>
    <row r="25" spans="1:5" ht="99" customHeight="1">
      <c r="A25" s="199" t="s">
        <v>171</v>
      </c>
      <c r="B25" s="230" t="s">
        <v>912</v>
      </c>
      <c r="C25" s="252">
        <v>23124</v>
      </c>
      <c r="E25" s="558"/>
    </row>
    <row r="26" spans="1:5" ht="63" customHeight="1">
      <c r="A26" s="199" t="s">
        <v>362</v>
      </c>
      <c r="B26" s="230" t="s">
        <v>913</v>
      </c>
      <c r="C26" s="252">
        <v>1156</v>
      </c>
      <c r="E26" s="558"/>
    </row>
    <row r="27" spans="1:5" ht="87.6" customHeight="1">
      <c r="A27" s="199" t="s">
        <v>172</v>
      </c>
      <c r="B27" s="230" t="s">
        <v>914</v>
      </c>
      <c r="C27" s="252">
        <v>10</v>
      </c>
      <c r="E27" s="558"/>
    </row>
    <row r="28" spans="1:5" ht="122.25" customHeight="1">
      <c r="A28" s="199" t="s">
        <v>421</v>
      </c>
      <c r="B28" s="230" t="s">
        <v>915</v>
      </c>
      <c r="C28" s="252">
        <v>124</v>
      </c>
      <c r="E28" s="558"/>
    </row>
    <row r="29" spans="1:5" ht="37.5">
      <c r="A29" s="199" t="s">
        <v>173</v>
      </c>
      <c r="B29" s="230" t="s">
        <v>174</v>
      </c>
      <c r="C29" s="252">
        <v>276</v>
      </c>
      <c r="E29" s="558"/>
    </row>
    <row r="30" spans="1:5" ht="37.5">
      <c r="A30" s="199" t="s">
        <v>492</v>
      </c>
      <c r="B30" s="574" t="s">
        <v>565</v>
      </c>
      <c r="C30" s="252">
        <v>1458.3</v>
      </c>
      <c r="E30" s="558"/>
    </row>
    <row r="31" spans="1:5" ht="37.5">
      <c r="A31" s="199" t="s">
        <v>175</v>
      </c>
      <c r="B31" s="230" t="s">
        <v>176</v>
      </c>
      <c r="C31" s="252">
        <v>5735</v>
      </c>
      <c r="E31" s="558"/>
    </row>
    <row r="32" spans="1:5" ht="22.5" customHeight="1">
      <c r="A32" s="196" t="s">
        <v>177</v>
      </c>
      <c r="B32" s="230" t="s">
        <v>178</v>
      </c>
      <c r="C32" s="252">
        <v>175</v>
      </c>
      <c r="E32" s="558"/>
    </row>
    <row r="33" spans="1:8">
      <c r="A33" s="313" t="s">
        <v>34</v>
      </c>
      <c r="B33" s="620" t="s">
        <v>367</v>
      </c>
      <c r="C33" s="511">
        <f>C34+C39</f>
        <v>1144715.0869999998</v>
      </c>
    </row>
    <row r="34" spans="1:8" ht="40.5" customHeight="1">
      <c r="A34" s="290" t="s">
        <v>35</v>
      </c>
      <c r="B34" s="622" t="s">
        <v>36</v>
      </c>
      <c r="C34" s="512">
        <f>C35+C36+C37+C38</f>
        <v>1144688.0999999999</v>
      </c>
    </row>
    <row r="35" spans="1:8" s="624" customFormat="1" ht="37.5">
      <c r="A35" s="290" t="s">
        <v>554</v>
      </c>
      <c r="B35" s="623" t="s">
        <v>413</v>
      </c>
      <c r="C35" s="512">
        <f>'прил.4 (пост.безв.21)'!C15</f>
        <v>206489.1</v>
      </c>
    </row>
    <row r="36" spans="1:8" s="624" customFormat="1" ht="45.75" customHeight="1">
      <c r="A36" s="150" t="s">
        <v>556</v>
      </c>
      <c r="B36" s="575" t="s">
        <v>359</v>
      </c>
      <c r="C36" s="512">
        <f>'прил.4 (пост.безв.21)'!C18</f>
        <v>101140</v>
      </c>
    </row>
    <row r="37" spans="1:8" ht="37.5">
      <c r="A37" s="726" t="s">
        <v>558</v>
      </c>
      <c r="B37" s="623" t="s">
        <v>412</v>
      </c>
      <c r="C37" s="512">
        <f>'прил.4 (пост.безв.21)'!C33</f>
        <v>790351.2</v>
      </c>
    </row>
    <row r="38" spans="1:8">
      <c r="A38" s="290" t="s">
        <v>579</v>
      </c>
      <c r="B38" s="622" t="s">
        <v>179</v>
      </c>
      <c r="C38" s="512">
        <f>'прил.6 (безв.от пос.21) (2)'!C13+'прил.4 (пост.безв.21)'!C69</f>
        <v>46707.799999999996</v>
      </c>
    </row>
    <row r="39" spans="1:8" ht="93.75">
      <c r="A39" s="753" t="s">
        <v>594</v>
      </c>
      <c r="B39" s="198" t="s">
        <v>456</v>
      </c>
      <c r="C39" s="512">
        <v>26.986999999999998</v>
      </c>
    </row>
    <row r="40" spans="1:8">
      <c r="A40" s="727"/>
      <c r="B40" s="620" t="s">
        <v>180</v>
      </c>
      <c r="C40" s="513">
        <f>C33+C13</f>
        <v>1597950.0869999998</v>
      </c>
    </row>
    <row r="41" spans="1:8" ht="60.6" customHeight="1">
      <c r="A41" s="935" t="s">
        <v>368</v>
      </c>
      <c r="B41" s="935"/>
      <c r="C41" s="935"/>
    </row>
    <row r="42" spans="1:8">
      <c r="A42" s="728"/>
    </row>
    <row r="43" spans="1:8">
      <c r="A43" s="728"/>
    </row>
    <row r="44" spans="1:8" s="279" customFormat="1">
      <c r="A44" s="374" t="s">
        <v>467</v>
      </c>
      <c r="B44" s="282"/>
      <c r="C44" s="283"/>
      <c r="D44" s="283"/>
      <c r="E44" s="283"/>
      <c r="F44" s="206"/>
      <c r="G44" s="373"/>
      <c r="H44" s="434"/>
    </row>
    <row r="45" spans="1:8" s="279" customFormat="1">
      <c r="A45" s="374" t="s">
        <v>468</v>
      </c>
      <c r="B45" s="282"/>
      <c r="C45" s="283"/>
      <c r="D45" s="283"/>
      <c r="E45" s="283"/>
      <c r="F45" s="206"/>
      <c r="G45" s="373"/>
      <c r="H45" s="434"/>
    </row>
    <row r="46" spans="1:8" s="279" customFormat="1">
      <c r="A46" s="375" t="s">
        <v>469</v>
      </c>
      <c r="B46" s="282"/>
      <c r="C46" s="376" t="s">
        <v>494</v>
      </c>
      <c r="D46" s="283"/>
      <c r="E46" s="283"/>
      <c r="F46" s="206"/>
    </row>
    <row r="48" spans="1:8">
      <c r="B48" s="729"/>
      <c r="C48" s="515"/>
    </row>
    <row r="49" spans="2:3">
      <c r="B49" s="729"/>
      <c r="C49" s="515"/>
    </row>
    <row r="56" spans="2:3">
      <c r="B56" s="516"/>
      <c r="C56" s="516"/>
    </row>
    <row r="57" spans="2:3">
      <c r="B57" s="516"/>
      <c r="C57" s="516"/>
    </row>
    <row r="58" spans="2:3">
      <c r="B58" s="516"/>
      <c r="C58" s="516"/>
    </row>
    <row r="59" spans="2:3">
      <c r="B59" s="516"/>
      <c r="C59" s="516"/>
    </row>
    <row r="60" spans="2:3">
      <c r="B60" s="516"/>
      <c r="C60" s="516"/>
    </row>
    <row r="61" spans="2:3">
      <c r="B61" s="516"/>
      <c r="C61" s="516"/>
    </row>
    <row r="62" spans="2:3">
      <c r="B62" s="516"/>
      <c r="C62" s="516"/>
    </row>
    <row r="63" spans="2:3">
      <c r="B63" s="516"/>
      <c r="C63" s="516"/>
    </row>
    <row r="64" spans="2:3">
      <c r="B64" s="516"/>
      <c r="C64" s="516"/>
    </row>
    <row r="65" spans="2:3">
      <c r="B65" s="516"/>
      <c r="C65" s="516"/>
    </row>
    <row r="66" spans="2:3">
      <c r="B66" s="516"/>
      <c r="C66" s="516"/>
    </row>
    <row r="67" spans="2:3">
      <c r="B67" s="516"/>
      <c r="C67" s="516"/>
    </row>
    <row r="68" spans="2:3">
      <c r="B68" s="516"/>
      <c r="C68" s="516"/>
    </row>
    <row r="69" spans="2:3">
      <c r="B69" s="516"/>
      <c r="C69" s="516"/>
    </row>
    <row r="70" spans="2:3">
      <c r="B70" s="516"/>
      <c r="C70" s="516"/>
    </row>
    <row r="71" spans="2:3">
      <c r="B71" s="516"/>
      <c r="C71" s="516"/>
    </row>
    <row r="72" spans="2:3">
      <c r="B72" s="516"/>
      <c r="C72" s="516"/>
    </row>
    <row r="73" spans="2:3">
      <c r="B73" s="516"/>
      <c r="C73" s="516"/>
    </row>
    <row r="74" spans="2:3">
      <c r="B74" s="516"/>
      <c r="C74" s="516"/>
    </row>
    <row r="75" spans="2:3">
      <c r="B75" s="516"/>
      <c r="C75" s="516"/>
    </row>
    <row r="76" spans="2:3">
      <c r="B76" s="516"/>
      <c r="C76" s="516"/>
    </row>
    <row r="77" spans="2:3">
      <c r="B77" s="516"/>
      <c r="C77" s="516"/>
    </row>
    <row r="78" spans="2:3">
      <c r="B78" s="516"/>
      <c r="C78" s="516"/>
    </row>
    <row r="79" spans="2:3">
      <c r="B79" s="516"/>
      <c r="C79" s="516"/>
    </row>
    <row r="80" spans="2:3">
      <c r="B80" s="516"/>
      <c r="C80" s="516"/>
    </row>
    <row r="81" spans="2:3">
      <c r="B81" s="516"/>
      <c r="C81" s="516"/>
    </row>
    <row r="82" spans="2:3">
      <c r="B82" s="516"/>
      <c r="C82" s="516"/>
    </row>
    <row r="83" spans="2:3">
      <c r="B83" s="516"/>
      <c r="C83" s="516"/>
    </row>
    <row r="84" spans="2:3">
      <c r="B84" s="516"/>
      <c r="C84" s="516"/>
    </row>
    <row r="85" spans="2:3">
      <c r="B85" s="516"/>
      <c r="C85" s="516"/>
    </row>
    <row r="86" spans="2:3">
      <c r="B86" s="516"/>
      <c r="C86" s="516"/>
    </row>
    <row r="87" spans="2:3">
      <c r="B87" s="516"/>
      <c r="C87" s="516"/>
    </row>
    <row r="88" spans="2:3">
      <c r="B88" s="516"/>
      <c r="C88" s="516"/>
    </row>
    <row r="89" spans="2:3">
      <c r="B89" s="516"/>
      <c r="C89" s="516"/>
    </row>
    <row r="90" spans="2:3">
      <c r="B90" s="516"/>
      <c r="C90" s="516"/>
    </row>
    <row r="91" spans="2:3">
      <c r="B91" s="516"/>
      <c r="C91" s="516"/>
    </row>
    <row r="92" spans="2:3">
      <c r="B92" s="516"/>
      <c r="C92" s="516"/>
    </row>
    <row r="93" spans="2:3">
      <c r="B93" s="516"/>
      <c r="C93" s="516"/>
    </row>
    <row r="94" spans="2:3">
      <c r="B94" s="516"/>
      <c r="C94" s="516"/>
    </row>
    <row r="95" spans="2:3">
      <c r="B95" s="516"/>
      <c r="C95" s="516"/>
    </row>
    <row r="96" spans="2:3">
      <c r="B96" s="516"/>
      <c r="C96" s="516"/>
    </row>
    <row r="97" spans="2:3">
      <c r="B97" s="516"/>
      <c r="C97" s="516"/>
    </row>
    <row r="98" spans="2:3">
      <c r="B98" s="516"/>
      <c r="C98" s="516"/>
    </row>
    <row r="99" spans="2:3">
      <c r="B99" s="516"/>
      <c r="C99" s="516"/>
    </row>
    <row r="100" spans="2:3">
      <c r="B100" s="516"/>
      <c r="C100" s="516"/>
    </row>
    <row r="101" spans="2:3">
      <c r="B101" s="516"/>
      <c r="C101" s="516"/>
    </row>
    <row r="102" spans="2:3">
      <c r="B102" s="516"/>
      <c r="C102" s="516"/>
    </row>
    <row r="103" spans="2:3">
      <c r="B103" s="516"/>
      <c r="C103" s="516"/>
    </row>
    <row r="104" spans="2:3">
      <c r="B104" s="516"/>
      <c r="C104" s="516"/>
    </row>
    <row r="105" spans="2:3">
      <c r="B105" s="516"/>
      <c r="C105" s="516"/>
    </row>
    <row r="106" spans="2:3">
      <c r="B106" s="516"/>
      <c r="C106" s="516"/>
    </row>
    <row r="107" spans="2:3">
      <c r="B107" s="516"/>
      <c r="C107" s="516"/>
    </row>
    <row r="108" spans="2:3">
      <c r="B108" s="516"/>
      <c r="C108" s="516"/>
    </row>
    <row r="109" spans="2:3">
      <c r="B109" s="516"/>
      <c r="C109" s="516"/>
    </row>
    <row r="110" spans="2:3">
      <c r="B110" s="516"/>
      <c r="C110" s="516"/>
    </row>
    <row r="111" spans="2:3">
      <c r="B111" s="516"/>
      <c r="C111" s="516"/>
    </row>
    <row r="112" spans="2:3">
      <c r="B112" s="516"/>
      <c r="C112" s="516"/>
    </row>
    <row r="113" spans="2:3">
      <c r="B113" s="516"/>
      <c r="C113" s="516"/>
    </row>
    <row r="114" spans="2:3">
      <c r="B114" s="516"/>
      <c r="C114" s="516"/>
    </row>
    <row r="115" spans="2:3">
      <c r="B115" s="516"/>
      <c r="C115" s="516"/>
    </row>
    <row r="116" spans="2:3">
      <c r="B116" s="516"/>
      <c r="C116" s="516"/>
    </row>
    <row r="117" spans="2:3">
      <c r="B117" s="516"/>
      <c r="C117" s="516"/>
    </row>
    <row r="118" spans="2:3">
      <c r="B118" s="516"/>
      <c r="C118" s="516"/>
    </row>
    <row r="119" spans="2:3">
      <c r="B119" s="516"/>
      <c r="C119" s="516"/>
    </row>
    <row r="120" spans="2:3">
      <c r="B120" s="516"/>
      <c r="C120" s="516"/>
    </row>
    <row r="121" spans="2:3">
      <c r="B121" s="516"/>
      <c r="C121" s="516"/>
    </row>
    <row r="122" spans="2:3">
      <c r="B122" s="516"/>
      <c r="C122" s="516"/>
    </row>
    <row r="123" spans="2:3">
      <c r="B123" s="516"/>
      <c r="C123" s="516"/>
    </row>
    <row r="124" spans="2:3">
      <c r="B124" s="516"/>
      <c r="C124" s="516"/>
    </row>
    <row r="125" spans="2:3">
      <c r="B125" s="516"/>
      <c r="C125" s="516"/>
    </row>
    <row r="126" spans="2:3">
      <c r="B126" s="516"/>
      <c r="C126" s="516"/>
    </row>
    <row r="127" spans="2:3">
      <c r="B127" s="516"/>
      <c r="C127" s="516"/>
    </row>
    <row r="128" spans="2:3">
      <c r="B128" s="516"/>
      <c r="C128" s="516"/>
    </row>
    <row r="129" spans="2:3">
      <c r="B129" s="516"/>
      <c r="C129" s="516"/>
    </row>
    <row r="130" spans="2:3">
      <c r="B130" s="516"/>
      <c r="C130" s="516"/>
    </row>
    <row r="131" spans="2:3">
      <c r="B131" s="516"/>
      <c r="C131" s="516"/>
    </row>
    <row r="132" spans="2:3">
      <c r="B132" s="516"/>
      <c r="C132" s="516"/>
    </row>
    <row r="133" spans="2:3">
      <c r="B133" s="516"/>
      <c r="C133" s="516"/>
    </row>
  </sheetData>
  <mergeCells count="2">
    <mergeCell ref="A8:C8"/>
    <mergeCell ref="A41:C41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1" fitToHeight="0" orientation="portrait" blackAndWhite="1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H35"/>
  <sheetViews>
    <sheetView zoomScale="90" zoomScaleNormal="90" zoomScaleSheetLayoutView="75" workbookViewId="0">
      <selection activeCell="F9" sqref="F9"/>
    </sheetView>
  </sheetViews>
  <sheetFormatPr defaultColWidth="9.140625" defaultRowHeight="18.75"/>
  <cols>
    <col min="1" max="1" width="4.85546875" style="19" customWidth="1"/>
    <col min="2" max="2" width="76" style="50" customWidth="1"/>
    <col min="3" max="3" width="12" style="50" customWidth="1"/>
    <col min="4" max="4" width="12.5703125" style="19" customWidth="1"/>
    <col min="5" max="16384" width="9.140625" style="19"/>
  </cols>
  <sheetData>
    <row r="1" spans="1:8" s="604" customFormat="1">
      <c r="D1" s="200" t="s">
        <v>575</v>
      </c>
    </row>
    <row r="2" spans="1:8" s="604" customFormat="1">
      <c r="D2" s="200" t="s">
        <v>981</v>
      </c>
    </row>
    <row r="4" spans="1:8">
      <c r="D4" s="1" t="s">
        <v>575</v>
      </c>
    </row>
    <row r="5" spans="1:8">
      <c r="D5" s="495" t="s">
        <v>917</v>
      </c>
    </row>
    <row r="6" spans="1:8" s="30" customFormat="1" ht="17.45" customHeight="1">
      <c r="A6" s="19"/>
      <c r="B6" s="19"/>
      <c r="C6" s="19"/>
    </row>
    <row r="8" spans="1:8" s="110" customFormat="1">
      <c r="A8" s="1020" t="s">
        <v>680</v>
      </c>
      <c r="B8" s="1021"/>
      <c r="C8" s="1021"/>
      <c r="D8" s="1021"/>
    </row>
    <row r="9" spans="1:8" s="110" customFormat="1" ht="20.45" customHeight="1">
      <c r="A9" s="1022" t="s">
        <v>834</v>
      </c>
      <c r="B9" s="1023"/>
      <c r="C9" s="1023"/>
      <c r="D9" s="1023"/>
    </row>
    <row r="10" spans="1:8" s="110" customFormat="1">
      <c r="A10" s="111"/>
      <c r="B10" s="112"/>
      <c r="C10" s="112"/>
    </row>
    <row r="11" spans="1:8" s="110" customFormat="1" ht="36" customHeight="1">
      <c r="A11" s="1024" t="s">
        <v>785</v>
      </c>
      <c r="B11" s="1025"/>
      <c r="C11" s="1025"/>
      <c r="D11" s="1025"/>
    </row>
    <row r="12" spans="1:8" s="110" customFormat="1">
      <c r="A12" s="111"/>
      <c r="B12" s="112"/>
      <c r="C12" s="112"/>
    </row>
    <row r="13" spans="1:8" s="110" customFormat="1">
      <c r="A13" s="111"/>
      <c r="B13" s="112"/>
      <c r="C13" s="112"/>
      <c r="D13" s="113" t="s">
        <v>279</v>
      </c>
    </row>
    <row r="14" spans="1:8" s="110" customFormat="1" ht="37.5">
      <c r="A14" s="114" t="s">
        <v>280</v>
      </c>
      <c r="B14" s="115" t="s">
        <v>449</v>
      </c>
      <c r="C14" s="116"/>
      <c r="D14" s="116" t="s">
        <v>290</v>
      </c>
    </row>
    <row r="15" spans="1:8" s="110" customFormat="1">
      <c r="A15" s="114">
        <v>1</v>
      </c>
      <c r="B15" s="114">
        <v>2</v>
      </c>
      <c r="C15" s="117"/>
      <c r="D15" s="116">
        <v>3</v>
      </c>
    </row>
    <row r="16" spans="1:8" s="110" customFormat="1" ht="56.25">
      <c r="A16" s="1026" t="s">
        <v>281</v>
      </c>
      <c r="B16" s="118" t="s">
        <v>826</v>
      </c>
      <c r="C16" s="119"/>
      <c r="D16" s="137">
        <f>D18-D19</f>
        <v>-6816</v>
      </c>
      <c r="F16" s="120"/>
      <c r="G16" s="120"/>
      <c r="H16" s="120"/>
    </row>
    <row r="17" spans="1:8" s="110" customFormat="1">
      <c r="A17" s="1027"/>
      <c r="B17" s="121" t="s">
        <v>184</v>
      </c>
      <c r="C17" s="122"/>
      <c r="D17" s="138"/>
      <c r="F17" s="120"/>
      <c r="G17" s="120"/>
      <c r="H17" s="120"/>
    </row>
    <row r="18" spans="1:8" s="110" customFormat="1">
      <c r="A18" s="1027"/>
      <c r="B18" s="121" t="s">
        <v>827</v>
      </c>
      <c r="C18" s="122"/>
      <c r="D18" s="138">
        <v>0</v>
      </c>
      <c r="F18" s="123"/>
      <c r="G18" s="123"/>
      <c r="H18" s="120"/>
    </row>
    <row r="19" spans="1:8" s="110" customFormat="1">
      <c r="A19" s="1027"/>
      <c r="B19" s="124" t="s">
        <v>291</v>
      </c>
      <c r="C19" s="125"/>
      <c r="D19" s="264">
        <v>6816</v>
      </c>
    </row>
    <row r="20" spans="1:8" s="110" customFormat="1">
      <c r="B20" s="189"/>
      <c r="C20" s="189"/>
      <c r="D20" s="126"/>
    </row>
    <row r="21" spans="1:8" s="110" customFormat="1" ht="42" customHeight="1">
      <c r="A21" s="1028" t="s">
        <v>784</v>
      </c>
      <c r="B21" s="1029"/>
      <c r="C21" s="1029"/>
      <c r="D21" s="1029"/>
    </row>
    <row r="22" spans="1:8" s="110" customFormat="1">
      <c r="A22" s="111"/>
      <c r="B22" s="112"/>
      <c r="C22" s="112"/>
    </row>
    <row r="23" spans="1:8" s="110" customFormat="1">
      <c r="A23" s="111"/>
      <c r="B23" s="112"/>
      <c r="C23" s="112"/>
      <c r="D23" s="113" t="s">
        <v>279</v>
      </c>
    </row>
    <row r="24" spans="1:8" s="110" customFormat="1" ht="21.6" customHeight="1">
      <c r="A24" s="1030" t="s">
        <v>280</v>
      </c>
      <c r="B24" s="1030" t="s">
        <v>449</v>
      </c>
      <c r="C24" s="1018" t="s">
        <v>290</v>
      </c>
      <c r="D24" s="1018"/>
    </row>
    <row r="25" spans="1:8" s="110" customFormat="1" ht="25.15" customHeight="1">
      <c r="A25" s="1030"/>
      <c r="B25" s="1030"/>
      <c r="C25" s="190" t="s">
        <v>580</v>
      </c>
      <c r="D25" s="190" t="s">
        <v>773</v>
      </c>
    </row>
    <row r="26" spans="1:8" s="110" customFormat="1">
      <c r="A26" s="190">
        <v>1</v>
      </c>
      <c r="B26" s="190">
        <v>2</v>
      </c>
      <c r="C26" s="190">
        <v>3</v>
      </c>
      <c r="D26" s="190">
        <v>4</v>
      </c>
    </row>
    <row r="27" spans="1:8" s="110" customFormat="1" ht="56.25" customHeight="1">
      <c r="A27" s="1019" t="s">
        <v>281</v>
      </c>
      <c r="B27" s="127" t="s">
        <v>826</v>
      </c>
      <c r="C27" s="137">
        <f>C29-C30</f>
        <v>-10224</v>
      </c>
      <c r="D27" s="265">
        <f>D29-D30</f>
        <v>0</v>
      </c>
    </row>
    <row r="28" spans="1:8" s="110" customFormat="1" ht="17.100000000000001" customHeight="1">
      <c r="A28" s="1019"/>
      <c r="B28" s="128" t="s">
        <v>184</v>
      </c>
      <c r="C28" s="138"/>
      <c r="D28" s="266"/>
    </row>
    <row r="29" spans="1:8" s="110" customFormat="1" ht="17.100000000000001" customHeight="1">
      <c r="A29" s="1019"/>
      <c r="B29" s="128" t="s">
        <v>827</v>
      </c>
      <c r="C29" s="138">
        <v>0</v>
      </c>
      <c r="D29" s="266">
        <v>0</v>
      </c>
    </row>
    <row r="30" spans="1:8" s="110" customFormat="1" ht="18" customHeight="1">
      <c r="A30" s="1019"/>
      <c r="B30" s="129" t="s">
        <v>291</v>
      </c>
      <c r="C30" s="139">
        <v>10224</v>
      </c>
      <c r="D30" s="267">
        <v>0</v>
      </c>
    </row>
    <row r="31" spans="1:8" ht="16.5" customHeight="1">
      <c r="A31" s="98"/>
      <c r="B31" s="99"/>
      <c r="C31" s="99"/>
      <c r="D31" s="100"/>
    </row>
    <row r="33" spans="1:8" s="24" customFormat="1">
      <c r="A33" s="90" t="s">
        <v>467</v>
      </c>
      <c r="B33" s="26"/>
      <c r="C33" s="27"/>
      <c r="D33" s="27"/>
      <c r="E33" s="27"/>
      <c r="F33" s="28"/>
      <c r="G33" s="29"/>
      <c r="H33" s="25"/>
    </row>
    <row r="34" spans="1:8" s="24" customFormat="1">
      <c r="A34" s="90" t="s">
        <v>468</v>
      </c>
      <c r="B34" s="26"/>
      <c r="C34" s="27"/>
      <c r="E34" s="27"/>
      <c r="F34" s="28"/>
      <c r="G34" s="29"/>
      <c r="H34" s="25"/>
    </row>
    <row r="35" spans="1:8" s="24" customFormat="1">
      <c r="A35" s="91" t="s">
        <v>469</v>
      </c>
      <c r="D35" s="23" t="s">
        <v>494</v>
      </c>
      <c r="E35" s="27"/>
    </row>
  </sheetData>
  <mergeCells count="9">
    <mergeCell ref="C24:D24"/>
    <mergeCell ref="A27:A30"/>
    <mergeCell ref="A8:D8"/>
    <mergeCell ref="A9:D9"/>
    <mergeCell ref="A11:D11"/>
    <mergeCell ref="A16:A19"/>
    <mergeCell ref="A21:D21"/>
    <mergeCell ref="A24:A25"/>
    <mergeCell ref="B24:B25"/>
  </mergeCells>
  <printOptions horizontalCentered="1"/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2:K26"/>
  <sheetViews>
    <sheetView topLeftCell="A4" zoomScale="80" zoomScaleNormal="80" zoomScaleSheetLayoutView="75" workbookViewId="0">
      <selection sqref="A1:XFD2"/>
    </sheetView>
  </sheetViews>
  <sheetFormatPr defaultColWidth="9.140625" defaultRowHeight="18.75"/>
  <cols>
    <col min="1" max="1" width="5.28515625" style="46" customWidth="1"/>
    <col min="2" max="2" width="7" style="46" customWidth="1"/>
    <col min="3" max="3" width="11.28515625" style="46" customWidth="1"/>
    <col min="4" max="4" width="18.140625" style="46" customWidth="1"/>
    <col min="5" max="5" width="7" style="46" customWidth="1"/>
    <col min="6" max="6" width="6.7109375" style="46" customWidth="1"/>
    <col min="7" max="7" width="7.7109375" style="46" customWidth="1"/>
    <col min="8" max="8" width="16.28515625" style="46" customWidth="1"/>
    <col min="9" max="9" width="20.140625" style="46" customWidth="1"/>
    <col min="10" max="10" width="14.42578125" style="46" customWidth="1"/>
    <col min="11" max="11" width="13" style="46" customWidth="1"/>
    <col min="12" max="16384" width="9.140625" style="46"/>
  </cols>
  <sheetData>
    <row r="2" spans="1:11">
      <c r="F2" s="4"/>
      <c r="G2" s="4"/>
      <c r="J2" s="41" t="s">
        <v>576</v>
      </c>
      <c r="K2" s="41"/>
    </row>
    <row r="3" spans="1:11">
      <c r="F3" s="4"/>
      <c r="G3" s="4"/>
      <c r="J3" s="495" t="s">
        <v>917</v>
      </c>
      <c r="K3" s="8"/>
    </row>
    <row r="6" spans="1:11">
      <c r="A6" s="1033" t="s">
        <v>292</v>
      </c>
      <c r="B6" s="1034"/>
      <c r="C6" s="1034"/>
      <c r="D6" s="1034"/>
      <c r="E6" s="1034"/>
      <c r="F6" s="1034"/>
      <c r="G6" s="1034"/>
      <c r="H6" s="1034"/>
      <c r="I6" s="1034"/>
      <c r="J6" s="1034"/>
    </row>
    <row r="7" spans="1:11">
      <c r="A7" s="1033" t="s">
        <v>830</v>
      </c>
      <c r="B7" s="1034"/>
      <c r="C7" s="1034"/>
      <c r="D7" s="1034"/>
      <c r="E7" s="1034"/>
      <c r="F7" s="1034"/>
      <c r="G7" s="1034"/>
      <c r="H7" s="1034"/>
      <c r="I7" s="1034"/>
      <c r="J7" s="1034"/>
    </row>
    <row r="8" spans="1:11">
      <c r="A8" s="130"/>
      <c r="B8" s="130"/>
      <c r="C8" s="131"/>
      <c r="D8" s="131"/>
      <c r="E8" s="131"/>
      <c r="F8" s="131"/>
      <c r="G8" s="131"/>
      <c r="H8" s="131"/>
      <c r="I8" s="131"/>
      <c r="J8" s="131"/>
    </row>
    <row r="9" spans="1:11" ht="39" customHeight="1">
      <c r="A9" s="1035" t="s">
        <v>786</v>
      </c>
      <c r="B9" s="1036"/>
      <c r="C9" s="1036"/>
      <c r="D9" s="1036"/>
      <c r="E9" s="1036"/>
      <c r="F9" s="1036"/>
      <c r="G9" s="1036"/>
      <c r="H9" s="1036"/>
      <c r="I9" s="1036"/>
      <c r="J9" s="1036"/>
    </row>
    <row r="10" spans="1:11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1" ht="42" customHeight="1">
      <c r="A11" s="1040" t="s">
        <v>182</v>
      </c>
      <c r="B11" s="1042" t="s">
        <v>450</v>
      </c>
      <c r="C11" s="1043"/>
      <c r="D11" s="1046" t="s">
        <v>727</v>
      </c>
      <c r="E11" s="1048" t="s">
        <v>293</v>
      </c>
      <c r="F11" s="1049"/>
      <c r="G11" s="1050"/>
      <c r="H11" s="1037" t="s">
        <v>829</v>
      </c>
      <c r="I11" s="1038"/>
      <c r="J11" s="1039"/>
    </row>
    <row r="12" spans="1:11" ht="187.5">
      <c r="A12" s="1041"/>
      <c r="B12" s="1044"/>
      <c r="C12" s="1045"/>
      <c r="D12" s="1047"/>
      <c r="E12" s="596" t="s">
        <v>553</v>
      </c>
      <c r="F12" s="596" t="s">
        <v>580</v>
      </c>
      <c r="G12" s="596" t="s">
        <v>773</v>
      </c>
      <c r="H12" s="602" t="s">
        <v>728</v>
      </c>
      <c r="I12" s="602" t="s">
        <v>828</v>
      </c>
      <c r="J12" s="602" t="s">
        <v>294</v>
      </c>
    </row>
    <row r="13" spans="1:11">
      <c r="A13" s="597">
        <v>1</v>
      </c>
      <c r="B13" s="1031">
        <v>2</v>
      </c>
      <c r="C13" s="1032"/>
      <c r="D13" s="597">
        <v>3</v>
      </c>
      <c r="E13" s="597">
        <v>4</v>
      </c>
      <c r="F13" s="597">
        <v>5</v>
      </c>
      <c r="G13" s="597">
        <v>6</v>
      </c>
      <c r="H13" s="597">
        <v>7</v>
      </c>
      <c r="I13" s="597">
        <v>8</v>
      </c>
      <c r="J13" s="597">
        <v>9</v>
      </c>
    </row>
    <row r="14" spans="1:11">
      <c r="A14" s="132"/>
      <c r="B14" s="1031" t="s">
        <v>295</v>
      </c>
      <c r="C14" s="1032"/>
      <c r="D14" s="597" t="s">
        <v>295</v>
      </c>
      <c r="E14" s="597" t="s">
        <v>295</v>
      </c>
      <c r="F14" s="597" t="s">
        <v>295</v>
      </c>
      <c r="G14" s="597" t="s">
        <v>295</v>
      </c>
      <c r="H14" s="597" t="s">
        <v>295</v>
      </c>
      <c r="I14" s="597" t="s">
        <v>295</v>
      </c>
      <c r="J14" s="597" t="s">
        <v>295</v>
      </c>
    </row>
    <row r="15" spans="1:11">
      <c r="A15" s="130"/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1" ht="59.25" customHeight="1">
      <c r="A16" s="1035" t="s">
        <v>831</v>
      </c>
      <c r="B16" s="1036"/>
      <c r="C16" s="1036"/>
      <c r="D16" s="1036"/>
      <c r="E16" s="1036"/>
      <c r="F16" s="1036"/>
      <c r="G16" s="1036"/>
      <c r="H16" s="1036"/>
      <c r="I16" s="1036"/>
      <c r="J16" s="1036"/>
    </row>
    <row r="17" spans="1:10">
      <c r="A17" s="130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0">
      <c r="A18" s="1042" t="s">
        <v>296</v>
      </c>
      <c r="B18" s="1051"/>
      <c r="C18" s="1051"/>
      <c r="D18" s="1051"/>
      <c r="E18" s="1051"/>
      <c r="F18" s="1051"/>
      <c r="G18" s="1051"/>
      <c r="H18" s="1054" t="s">
        <v>832</v>
      </c>
      <c r="I18" s="1055"/>
      <c r="J18" s="1055"/>
    </row>
    <row r="19" spans="1:10" ht="59.25" customHeight="1">
      <c r="A19" s="1052"/>
      <c r="B19" s="1053"/>
      <c r="C19" s="1053"/>
      <c r="D19" s="1053"/>
      <c r="E19" s="1053"/>
      <c r="F19" s="1053"/>
      <c r="G19" s="1053"/>
      <c r="H19" s="596" t="s">
        <v>553</v>
      </c>
      <c r="I19" s="596" t="s">
        <v>580</v>
      </c>
      <c r="J19" s="596" t="s">
        <v>773</v>
      </c>
    </row>
    <row r="20" spans="1:10">
      <c r="A20" s="1054">
        <v>1</v>
      </c>
      <c r="B20" s="1056"/>
      <c r="C20" s="1056"/>
      <c r="D20" s="1056"/>
      <c r="E20" s="1056"/>
      <c r="F20" s="1056"/>
      <c r="G20" s="1056"/>
      <c r="H20" s="133">
        <v>2</v>
      </c>
      <c r="I20" s="133">
        <v>3</v>
      </c>
      <c r="J20" s="133">
        <v>4</v>
      </c>
    </row>
    <row r="21" spans="1:10">
      <c r="A21" s="1057" t="s">
        <v>295</v>
      </c>
      <c r="B21" s="1058"/>
      <c r="C21" s="1058"/>
      <c r="D21" s="1058"/>
      <c r="E21" s="1058"/>
      <c r="F21" s="1058"/>
      <c r="G21" s="1058"/>
      <c r="H21" s="597" t="s">
        <v>295</v>
      </c>
      <c r="I21" s="597" t="s">
        <v>295</v>
      </c>
      <c r="J21" s="597" t="s">
        <v>295</v>
      </c>
    </row>
    <row r="24" spans="1:10">
      <c r="A24" s="90" t="s">
        <v>467</v>
      </c>
      <c r="B24" s="26"/>
      <c r="C24" s="27"/>
      <c r="D24" s="27"/>
      <c r="E24" s="27"/>
      <c r="F24" s="28"/>
      <c r="G24" s="29"/>
      <c r="H24" s="25"/>
      <c r="I24" s="24"/>
      <c r="J24" s="24"/>
    </row>
    <row r="25" spans="1:10">
      <c r="A25" s="90" t="s">
        <v>468</v>
      </c>
      <c r="B25" s="26"/>
      <c r="C25" s="27"/>
      <c r="D25" s="24"/>
      <c r="E25" s="27"/>
      <c r="F25" s="28"/>
      <c r="G25" s="29"/>
      <c r="H25" s="25"/>
      <c r="I25" s="24"/>
      <c r="J25" s="24"/>
    </row>
    <row r="26" spans="1:10" ht="22.5" customHeight="1">
      <c r="A26" s="91" t="s">
        <v>469</v>
      </c>
      <c r="B26" s="24"/>
      <c r="C26" s="24"/>
      <c r="D26" s="24"/>
      <c r="E26" s="27"/>
      <c r="F26" s="24"/>
      <c r="G26" s="24"/>
      <c r="H26" s="24"/>
      <c r="I26" s="24"/>
      <c r="J26" s="23" t="s">
        <v>494</v>
      </c>
    </row>
  </sheetData>
  <mergeCells count="15">
    <mergeCell ref="A16:J16"/>
    <mergeCell ref="A18:G19"/>
    <mergeCell ref="H18:J18"/>
    <mergeCell ref="A20:G20"/>
    <mergeCell ref="A21:G21"/>
    <mergeCell ref="B14:C14"/>
    <mergeCell ref="A6:J6"/>
    <mergeCell ref="A7:J7"/>
    <mergeCell ref="A9:J9"/>
    <mergeCell ref="H11:J11"/>
    <mergeCell ref="B13:C13"/>
    <mergeCell ref="A11:A12"/>
    <mergeCell ref="B11:C12"/>
    <mergeCell ref="D11:D12"/>
    <mergeCell ref="E11:G11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31"/>
  <sheetViews>
    <sheetView zoomScaleSheetLayoutView="80" workbookViewId="0">
      <selection activeCell="F8" sqref="F8"/>
    </sheetView>
  </sheetViews>
  <sheetFormatPr defaultRowHeight="15"/>
  <cols>
    <col min="1" max="1" width="4.85546875" customWidth="1"/>
    <col min="2" max="2" width="76" customWidth="1"/>
    <col min="3" max="3" width="12" customWidth="1"/>
    <col min="4" max="4" width="12.5703125" customWidth="1"/>
  </cols>
  <sheetData>
    <row r="2" spans="1:4" ht="18.75">
      <c r="A2" s="604"/>
      <c r="B2" s="604"/>
      <c r="C2" s="604"/>
      <c r="D2" s="200" t="s">
        <v>837</v>
      </c>
    </row>
    <row r="3" spans="1:4" ht="18.75">
      <c r="A3" s="604"/>
      <c r="B3" s="604"/>
      <c r="C3" s="604"/>
      <c r="D3" s="495" t="s">
        <v>917</v>
      </c>
    </row>
    <row r="4" spans="1:4" ht="18.75">
      <c r="A4" s="19"/>
      <c r="B4" s="50"/>
      <c r="C4" s="50"/>
      <c r="D4" s="19"/>
    </row>
    <row r="5" spans="1:4" ht="18.75">
      <c r="A5" s="19"/>
      <c r="B5" s="50"/>
      <c r="C5" s="50"/>
      <c r="D5" s="19"/>
    </row>
    <row r="6" spans="1:4" ht="15.75">
      <c r="A6" s="1022" t="s">
        <v>833</v>
      </c>
      <c r="B6" s="1062"/>
      <c r="C6" s="1062"/>
      <c r="D6" s="1062"/>
    </row>
    <row r="7" spans="1:4" ht="15.75">
      <c r="A7" s="1022" t="s">
        <v>834</v>
      </c>
      <c r="B7" s="1023"/>
      <c r="C7" s="1023"/>
      <c r="D7" s="1023"/>
    </row>
    <row r="8" spans="1:4" ht="18.75">
      <c r="A8" s="111"/>
      <c r="B8" s="112"/>
      <c r="C8" s="112"/>
      <c r="D8" s="110"/>
    </row>
    <row r="9" spans="1:4" ht="39" customHeight="1">
      <c r="A9" s="1024" t="s">
        <v>835</v>
      </c>
      <c r="B9" s="1025"/>
      <c r="C9" s="1025"/>
      <c r="D9" s="1025"/>
    </row>
    <row r="10" spans="1:4" ht="18.75">
      <c r="A10" s="111"/>
      <c r="B10" s="112"/>
      <c r="C10" s="112"/>
      <c r="D10" s="110"/>
    </row>
    <row r="11" spans="1:4" ht="15.75">
      <c r="A11" s="111"/>
      <c r="B11" s="112"/>
      <c r="C11" s="112"/>
      <c r="D11" s="113"/>
    </row>
    <row r="12" spans="1:4" ht="37.5">
      <c r="A12" s="114" t="s">
        <v>280</v>
      </c>
      <c r="B12" s="115" t="s">
        <v>449</v>
      </c>
      <c r="C12" s="116"/>
      <c r="D12" s="116" t="s">
        <v>290</v>
      </c>
    </row>
    <row r="13" spans="1:4" ht="18.75">
      <c r="A13" s="114">
        <v>1</v>
      </c>
      <c r="B13" s="114">
        <v>2</v>
      </c>
      <c r="C13" s="117"/>
      <c r="D13" s="605">
        <v>3</v>
      </c>
    </row>
    <row r="14" spans="1:4" ht="75">
      <c r="A14" s="1026" t="s">
        <v>281</v>
      </c>
      <c r="B14" s="118" t="s">
        <v>836</v>
      </c>
      <c r="C14" s="606"/>
      <c r="D14" s="607"/>
    </row>
    <row r="15" spans="1:4" ht="18.75">
      <c r="A15" s="1027"/>
      <c r="B15" s="121" t="s">
        <v>827</v>
      </c>
      <c r="C15" s="608"/>
      <c r="D15" s="609" t="s">
        <v>295</v>
      </c>
    </row>
    <row r="16" spans="1:4" ht="18.75">
      <c r="A16" s="1027"/>
      <c r="B16" s="124" t="s">
        <v>291</v>
      </c>
      <c r="C16" s="610"/>
      <c r="D16" s="264" t="s">
        <v>295</v>
      </c>
    </row>
    <row r="17" spans="1:4" ht="18.75">
      <c r="A17" s="110"/>
      <c r="B17" s="598"/>
      <c r="C17" s="598"/>
      <c r="D17" s="126"/>
    </row>
    <row r="18" spans="1:4" ht="43.5" customHeight="1">
      <c r="A18" s="1028" t="s">
        <v>880</v>
      </c>
      <c r="B18" s="1029"/>
      <c r="C18" s="1029"/>
      <c r="D18" s="1029"/>
    </row>
    <row r="19" spans="1:4" ht="18.75">
      <c r="A19" s="111"/>
      <c r="B19" s="112"/>
      <c r="C19" s="112"/>
      <c r="D19" s="110"/>
    </row>
    <row r="20" spans="1:4" ht="15.75">
      <c r="A20" s="111"/>
      <c r="B20" s="112"/>
      <c r="C20" s="112"/>
      <c r="D20" s="113"/>
    </row>
    <row r="21" spans="1:4" ht="18.75">
      <c r="A21" s="1063" t="s">
        <v>280</v>
      </c>
      <c r="B21" s="1030" t="s">
        <v>449</v>
      </c>
      <c r="C21" s="1018" t="s">
        <v>290</v>
      </c>
      <c r="D21" s="1018"/>
    </row>
    <row r="22" spans="1:4" ht="18.75">
      <c r="A22" s="1064"/>
      <c r="B22" s="1030"/>
      <c r="C22" s="599" t="s">
        <v>580</v>
      </c>
      <c r="D22" s="599" t="s">
        <v>773</v>
      </c>
    </row>
    <row r="23" spans="1:4" ht="18.75">
      <c r="A23" s="599">
        <v>1</v>
      </c>
      <c r="B23" s="599">
        <v>2</v>
      </c>
      <c r="C23" s="605">
        <v>3</v>
      </c>
      <c r="D23" s="605">
        <v>4</v>
      </c>
    </row>
    <row r="24" spans="1:4" ht="75">
      <c r="A24" s="1059" t="s">
        <v>281</v>
      </c>
      <c r="B24" s="118" t="s">
        <v>836</v>
      </c>
      <c r="C24" s="137"/>
      <c r="D24" s="611"/>
    </row>
    <row r="25" spans="1:4" ht="18.75">
      <c r="A25" s="1060"/>
      <c r="B25" s="121" t="s">
        <v>827</v>
      </c>
      <c r="C25" s="138" t="s">
        <v>295</v>
      </c>
      <c r="D25" s="612" t="s">
        <v>295</v>
      </c>
    </row>
    <row r="26" spans="1:4" ht="18.75">
      <c r="A26" s="1061"/>
      <c r="B26" s="124" t="s">
        <v>291</v>
      </c>
      <c r="C26" s="139" t="s">
        <v>295</v>
      </c>
      <c r="D26" s="613" t="s">
        <v>295</v>
      </c>
    </row>
    <row r="27" spans="1:4" ht="18.75">
      <c r="A27" s="98"/>
      <c r="B27" s="99"/>
      <c r="C27" s="99"/>
      <c r="D27" s="100"/>
    </row>
    <row r="28" spans="1:4" ht="18.75">
      <c r="A28" s="19"/>
      <c r="B28" s="50"/>
      <c r="C28" s="50"/>
      <c r="D28" s="19"/>
    </row>
    <row r="29" spans="1:4" ht="18.75">
      <c r="A29" s="90" t="s">
        <v>467</v>
      </c>
      <c r="B29" s="26"/>
      <c r="C29" s="27"/>
      <c r="D29" s="27"/>
    </row>
    <row r="30" spans="1:4" ht="18.75">
      <c r="A30" s="90" t="s">
        <v>468</v>
      </c>
      <c r="B30" s="26"/>
      <c r="C30" s="27"/>
      <c r="D30" s="24"/>
    </row>
    <row r="31" spans="1:4" ht="18.75">
      <c r="A31" s="91" t="s">
        <v>469</v>
      </c>
      <c r="B31" s="24"/>
      <c r="C31" s="24"/>
      <c r="D31" s="23" t="s">
        <v>494</v>
      </c>
    </row>
  </sheetData>
  <mergeCells count="9">
    <mergeCell ref="A24:A26"/>
    <mergeCell ref="A6:D6"/>
    <mergeCell ref="A7:D7"/>
    <mergeCell ref="A9:D9"/>
    <mergeCell ref="A14:A16"/>
    <mergeCell ref="A18:D18"/>
    <mergeCell ref="A21:A22"/>
    <mergeCell ref="B21:B22"/>
    <mergeCell ref="C21:D21"/>
  </mergeCells>
  <pageMargins left="0.7" right="0.7" top="0.75" bottom="0.75" header="0.3" footer="0.3"/>
  <pageSetup paperSize="9" scale="8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workbookViewId="0">
      <selection activeCell="P9" sqref="P9"/>
    </sheetView>
  </sheetViews>
  <sheetFormatPr defaultRowHeight="15"/>
  <cols>
    <col min="1" max="1" width="5.28515625" customWidth="1"/>
    <col min="2" max="2" width="7" customWidth="1"/>
    <col min="3" max="3" width="11.28515625" customWidth="1"/>
    <col min="4" max="4" width="18.140625" customWidth="1"/>
    <col min="5" max="5" width="7" customWidth="1"/>
    <col min="6" max="6" width="8" customWidth="1"/>
    <col min="7" max="7" width="7.7109375" customWidth="1"/>
    <col min="8" max="8" width="16.28515625" customWidth="1"/>
    <col min="9" max="9" width="20.140625" customWidth="1"/>
    <col min="10" max="10" width="14.42578125" customWidth="1"/>
  </cols>
  <sheetData>
    <row r="1" spans="1:10" ht="18.75">
      <c r="A1" s="46"/>
      <c r="B1" s="46"/>
      <c r="C1" s="46"/>
      <c r="D1" s="46"/>
      <c r="E1" s="46"/>
      <c r="F1" s="4"/>
      <c r="G1" s="4"/>
      <c r="H1" s="46"/>
      <c r="I1" s="46"/>
      <c r="J1" s="41" t="s">
        <v>840</v>
      </c>
    </row>
    <row r="2" spans="1:10" ht="18.75">
      <c r="A2" s="46"/>
      <c r="B2" s="46"/>
      <c r="C2" s="46"/>
      <c r="D2" s="46"/>
      <c r="E2" s="46"/>
      <c r="F2" s="4"/>
      <c r="G2" s="4"/>
      <c r="H2" s="46"/>
      <c r="I2" s="46"/>
      <c r="J2" s="495" t="s">
        <v>917</v>
      </c>
    </row>
    <row r="3" spans="1:10" ht="18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8.7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8.75">
      <c r="A5" s="1033" t="s">
        <v>292</v>
      </c>
      <c r="B5" s="1034"/>
      <c r="C5" s="1034"/>
      <c r="D5" s="1034"/>
      <c r="E5" s="1034"/>
      <c r="F5" s="1034"/>
      <c r="G5" s="1034"/>
      <c r="H5" s="1034"/>
      <c r="I5" s="1034"/>
      <c r="J5" s="1034"/>
    </row>
    <row r="6" spans="1:10" ht="18.75">
      <c r="A6" s="1033" t="s">
        <v>838</v>
      </c>
      <c r="B6" s="1034"/>
      <c r="C6" s="1034"/>
      <c r="D6" s="1034"/>
      <c r="E6" s="1034"/>
      <c r="F6" s="1034"/>
      <c r="G6" s="1034"/>
      <c r="H6" s="1034"/>
      <c r="I6" s="1034"/>
      <c r="J6" s="1034"/>
    </row>
    <row r="7" spans="1:10" ht="18.75">
      <c r="A7" s="130"/>
      <c r="B7" s="130"/>
      <c r="C7" s="131"/>
      <c r="D7" s="131"/>
      <c r="E7" s="131"/>
      <c r="F7" s="131"/>
      <c r="G7" s="131"/>
      <c r="H7" s="131"/>
      <c r="I7" s="131"/>
      <c r="J7" s="131"/>
    </row>
    <row r="8" spans="1:10" ht="42.75" customHeight="1">
      <c r="A8" s="1035" t="s">
        <v>786</v>
      </c>
      <c r="B8" s="1036"/>
      <c r="C8" s="1036"/>
      <c r="D8" s="1036"/>
      <c r="E8" s="1036"/>
      <c r="F8" s="1036"/>
      <c r="G8" s="1036"/>
      <c r="H8" s="1036"/>
      <c r="I8" s="1036"/>
      <c r="J8" s="1036"/>
    </row>
    <row r="9" spans="1:10" ht="18.75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36.75" customHeight="1">
      <c r="A10" s="1040" t="s">
        <v>182</v>
      </c>
      <c r="B10" s="1042" t="s">
        <v>450</v>
      </c>
      <c r="C10" s="1043"/>
      <c r="D10" s="1046" t="s">
        <v>727</v>
      </c>
      <c r="E10" s="1037" t="s">
        <v>839</v>
      </c>
      <c r="F10" s="1065"/>
      <c r="G10" s="1066"/>
      <c r="H10" s="1037" t="s">
        <v>829</v>
      </c>
      <c r="I10" s="1038"/>
      <c r="J10" s="1039"/>
    </row>
    <row r="11" spans="1:10" ht="201.75" customHeight="1">
      <c r="A11" s="1041"/>
      <c r="B11" s="1044"/>
      <c r="C11" s="1045"/>
      <c r="D11" s="1047"/>
      <c r="E11" s="600" t="s">
        <v>553</v>
      </c>
      <c r="F11" s="600" t="s">
        <v>580</v>
      </c>
      <c r="G11" s="600" t="s">
        <v>773</v>
      </c>
      <c r="H11" s="602" t="s">
        <v>728</v>
      </c>
      <c r="I11" s="602" t="s">
        <v>828</v>
      </c>
      <c r="J11" s="602" t="s">
        <v>294</v>
      </c>
    </row>
    <row r="12" spans="1:10" ht="18.75">
      <c r="A12" s="601">
        <v>1</v>
      </c>
      <c r="B12" s="1031">
        <v>2</v>
      </c>
      <c r="C12" s="1032"/>
      <c r="D12" s="601">
        <v>3</v>
      </c>
      <c r="E12" s="601">
        <v>4</v>
      </c>
      <c r="F12" s="601">
        <v>5</v>
      </c>
      <c r="G12" s="601">
        <v>6</v>
      </c>
      <c r="H12" s="601">
        <v>7</v>
      </c>
      <c r="I12" s="601">
        <v>8</v>
      </c>
      <c r="J12" s="601">
        <v>9</v>
      </c>
    </row>
    <row r="13" spans="1:10" ht="18.75">
      <c r="A13" s="132"/>
      <c r="B13" s="1031" t="s">
        <v>295</v>
      </c>
      <c r="C13" s="1032"/>
      <c r="D13" s="601" t="s">
        <v>295</v>
      </c>
      <c r="E13" s="601" t="s">
        <v>295</v>
      </c>
      <c r="F13" s="601" t="s">
        <v>295</v>
      </c>
      <c r="G13" s="601" t="s">
        <v>295</v>
      </c>
      <c r="H13" s="601" t="s">
        <v>295</v>
      </c>
      <c r="I13" s="601" t="s">
        <v>295</v>
      </c>
      <c r="J13" s="601" t="s">
        <v>295</v>
      </c>
    </row>
    <row r="14" spans="1:10" ht="18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</row>
    <row r="15" spans="1:10" ht="57.75" customHeight="1">
      <c r="A15" s="1035" t="s">
        <v>831</v>
      </c>
      <c r="B15" s="1036"/>
      <c r="C15" s="1036"/>
      <c r="D15" s="1036"/>
      <c r="E15" s="1036"/>
      <c r="F15" s="1036"/>
      <c r="G15" s="1036"/>
      <c r="H15" s="1036"/>
      <c r="I15" s="1036"/>
      <c r="J15" s="1036"/>
    </row>
    <row r="16" spans="1:10" ht="18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8.75">
      <c r="A17" s="1042" t="s">
        <v>296</v>
      </c>
      <c r="B17" s="1051"/>
      <c r="C17" s="1051"/>
      <c r="D17" s="1051"/>
      <c r="E17" s="1051"/>
      <c r="F17" s="1051"/>
      <c r="G17" s="1051"/>
      <c r="H17" s="1054" t="s">
        <v>290</v>
      </c>
      <c r="I17" s="1055"/>
      <c r="J17" s="1055"/>
    </row>
    <row r="18" spans="1:10" ht="56.25" customHeight="1">
      <c r="A18" s="1052"/>
      <c r="B18" s="1053"/>
      <c r="C18" s="1053"/>
      <c r="D18" s="1053"/>
      <c r="E18" s="1053"/>
      <c r="F18" s="1053"/>
      <c r="G18" s="1053"/>
      <c r="H18" s="600" t="s">
        <v>553</v>
      </c>
      <c r="I18" s="600" t="s">
        <v>580</v>
      </c>
      <c r="J18" s="600" t="s">
        <v>773</v>
      </c>
    </row>
    <row r="19" spans="1:10" ht="18.75">
      <c r="A19" s="1054">
        <v>1</v>
      </c>
      <c r="B19" s="1056"/>
      <c r="C19" s="1056"/>
      <c r="D19" s="1056"/>
      <c r="E19" s="1056"/>
      <c r="F19" s="1056"/>
      <c r="G19" s="1056"/>
      <c r="H19" s="603">
        <v>2</v>
      </c>
      <c r="I19" s="603">
        <v>3</v>
      </c>
      <c r="J19" s="603">
        <v>4</v>
      </c>
    </row>
    <row r="20" spans="1:10" ht="18.75">
      <c r="A20" s="1057" t="s">
        <v>295</v>
      </c>
      <c r="B20" s="1058"/>
      <c r="C20" s="1058"/>
      <c r="D20" s="1058"/>
      <c r="E20" s="1058"/>
      <c r="F20" s="1058"/>
      <c r="G20" s="1058"/>
      <c r="H20" s="601" t="s">
        <v>295</v>
      </c>
      <c r="I20" s="601" t="s">
        <v>295</v>
      </c>
      <c r="J20" s="601" t="s">
        <v>295</v>
      </c>
    </row>
    <row r="21" spans="1:10" ht="18.7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8.7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8.75">
      <c r="A23" s="90" t="s">
        <v>467</v>
      </c>
      <c r="B23" s="26"/>
      <c r="C23" s="27"/>
      <c r="D23" s="27"/>
      <c r="E23" s="27"/>
      <c r="F23" s="28"/>
      <c r="G23" s="29"/>
      <c r="H23" s="25"/>
      <c r="I23" s="24"/>
      <c r="J23" s="24"/>
    </row>
    <row r="24" spans="1:10" ht="18.75">
      <c r="A24" s="90" t="s">
        <v>468</v>
      </c>
      <c r="B24" s="26"/>
      <c r="C24" s="27"/>
      <c r="D24" s="24"/>
      <c r="E24" s="27"/>
      <c r="F24" s="28"/>
      <c r="G24" s="29"/>
      <c r="H24" s="25"/>
      <c r="I24" s="24"/>
      <c r="J24" s="24"/>
    </row>
    <row r="25" spans="1:10" ht="18.75">
      <c r="A25" s="91" t="s">
        <v>469</v>
      </c>
      <c r="B25" s="24"/>
      <c r="C25" s="24"/>
      <c r="D25" s="24"/>
      <c r="E25" s="27"/>
      <c r="F25" s="24"/>
      <c r="G25" s="24"/>
      <c r="H25" s="24"/>
      <c r="I25" s="24"/>
      <c r="J25" s="23" t="s">
        <v>494</v>
      </c>
    </row>
  </sheetData>
  <mergeCells count="15">
    <mergeCell ref="A5:J5"/>
    <mergeCell ref="A6:J6"/>
    <mergeCell ref="A8:J8"/>
    <mergeCell ref="A10:A11"/>
    <mergeCell ref="B10:C11"/>
    <mergeCell ref="D10:D11"/>
    <mergeCell ref="E10:G10"/>
    <mergeCell ref="H10:J10"/>
    <mergeCell ref="A20:G20"/>
    <mergeCell ref="B12:C12"/>
    <mergeCell ref="B13:C13"/>
    <mergeCell ref="A15:J15"/>
    <mergeCell ref="A17:G18"/>
    <mergeCell ref="H17:J17"/>
    <mergeCell ref="A19:G19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H133"/>
  <sheetViews>
    <sheetView zoomScale="80" zoomScaleNormal="80" zoomScaleSheetLayoutView="75" workbookViewId="0">
      <selection activeCell="D2" sqref="D2"/>
    </sheetView>
  </sheetViews>
  <sheetFormatPr defaultColWidth="9.140625" defaultRowHeight="18.75"/>
  <cols>
    <col min="1" max="1" width="28.5703125" style="3" customWidth="1"/>
    <col min="2" max="2" width="55.28515625" style="4" customWidth="1"/>
    <col min="3" max="3" width="15.140625" style="10" customWidth="1"/>
    <col min="4" max="4" width="15.42578125" style="3" customWidth="1"/>
    <col min="5" max="16384" width="9.140625" style="3"/>
  </cols>
  <sheetData>
    <row r="1" spans="1:8" s="18" customFormat="1">
      <c r="A1" s="74"/>
      <c r="B1" s="74"/>
      <c r="C1" s="74"/>
      <c r="D1" s="49" t="s">
        <v>409</v>
      </c>
    </row>
    <row r="2" spans="1:8" s="18" customFormat="1">
      <c r="A2" s="74"/>
      <c r="B2" s="74"/>
      <c r="C2" s="74"/>
      <c r="D2" s="49" t="s">
        <v>1030</v>
      </c>
    </row>
    <row r="3" spans="1:8" s="616" customFormat="1">
      <c r="B3" s="4"/>
      <c r="C3" s="10"/>
    </row>
    <row r="4" spans="1:8">
      <c r="D4" s="1" t="s">
        <v>409</v>
      </c>
    </row>
    <row r="5" spans="1:8">
      <c r="D5" s="495" t="s">
        <v>917</v>
      </c>
    </row>
    <row r="8" spans="1:8" ht="37.5" customHeight="1">
      <c r="A8" s="940" t="s">
        <v>777</v>
      </c>
      <c r="B8" s="940"/>
      <c r="C8" s="940"/>
      <c r="D8" s="940"/>
      <c r="H8" s="616"/>
    </row>
    <row r="10" spans="1:8">
      <c r="D10" s="8" t="s">
        <v>42</v>
      </c>
      <c r="H10" s="616"/>
    </row>
    <row r="11" spans="1:8">
      <c r="A11" s="937" t="s">
        <v>31</v>
      </c>
      <c r="B11" s="938" t="s">
        <v>32</v>
      </c>
      <c r="C11" s="936" t="s">
        <v>33</v>
      </c>
      <c r="D11" s="936"/>
    </row>
    <row r="12" spans="1:8">
      <c r="A12" s="937"/>
      <c r="B12" s="938"/>
      <c r="C12" s="65" t="s">
        <v>580</v>
      </c>
      <c r="D12" s="65" t="s">
        <v>773</v>
      </c>
    </row>
    <row r="13" spans="1:8">
      <c r="A13" s="93">
        <v>1</v>
      </c>
      <c r="B13" s="94">
        <v>2</v>
      </c>
      <c r="C13" s="95">
        <v>3</v>
      </c>
      <c r="D13" s="95">
        <v>4</v>
      </c>
    </row>
    <row r="14" spans="1:8">
      <c r="A14" s="255" t="s">
        <v>156</v>
      </c>
      <c r="B14" s="256" t="s">
        <v>157</v>
      </c>
      <c r="C14" s="517">
        <f>SUM(C15:C33)-C24</f>
        <v>428204.4</v>
      </c>
      <c r="D14" s="517">
        <f>SUM(D15:D33)-D24</f>
        <v>440392.89999999997</v>
      </c>
      <c r="F14" s="75"/>
      <c r="G14" s="48"/>
      <c r="H14" s="75"/>
    </row>
    <row r="15" spans="1:8" s="242" customFormat="1">
      <c r="A15" s="257" t="s">
        <v>158</v>
      </c>
      <c r="B15" s="258" t="s">
        <v>159</v>
      </c>
      <c r="C15" s="518">
        <v>5100</v>
      </c>
      <c r="D15" s="519">
        <v>5200</v>
      </c>
    </row>
    <row r="16" spans="1:8" s="242" customFormat="1">
      <c r="A16" s="257" t="s">
        <v>160</v>
      </c>
      <c r="B16" s="259" t="s">
        <v>161</v>
      </c>
      <c r="C16" s="518">
        <v>307168.2</v>
      </c>
      <c r="D16" s="519">
        <v>312586.5</v>
      </c>
    </row>
    <row r="17" spans="1:4" s="242" customFormat="1" ht="180" customHeight="1">
      <c r="A17" s="260" t="s">
        <v>162</v>
      </c>
      <c r="B17" s="261" t="s">
        <v>825</v>
      </c>
      <c r="C17" s="518">
        <v>5907.9</v>
      </c>
      <c r="D17" s="519">
        <v>6835.1</v>
      </c>
    </row>
    <row r="18" spans="1:4" s="242" customFormat="1" ht="37.5">
      <c r="A18" s="257" t="s">
        <v>365</v>
      </c>
      <c r="B18" s="261" t="s">
        <v>366</v>
      </c>
      <c r="C18" s="518">
        <v>61040</v>
      </c>
      <c r="D18" s="519">
        <v>65310</v>
      </c>
    </row>
    <row r="19" spans="1:4" s="242" customFormat="1" ht="37.5">
      <c r="A19" s="257" t="s">
        <v>163</v>
      </c>
      <c r="B19" s="261" t="s">
        <v>392</v>
      </c>
      <c r="C19" s="518">
        <v>200</v>
      </c>
      <c r="D19" s="519">
        <v>100</v>
      </c>
    </row>
    <row r="20" spans="1:4" s="242" customFormat="1">
      <c r="A20" s="257" t="s">
        <v>164</v>
      </c>
      <c r="B20" s="259" t="s">
        <v>165</v>
      </c>
      <c r="C20" s="518">
        <v>125</v>
      </c>
      <c r="D20" s="519">
        <v>150</v>
      </c>
    </row>
    <row r="21" spans="1:4" s="242" customFormat="1" ht="37.5">
      <c r="A21" s="257" t="s">
        <v>166</v>
      </c>
      <c r="B21" s="261" t="s">
        <v>167</v>
      </c>
      <c r="C21" s="518">
        <v>300</v>
      </c>
      <c r="D21" s="519">
        <v>400</v>
      </c>
    </row>
    <row r="22" spans="1:4" s="242" customFormat="1">
      <c r="A22" s="257" t="s">
        <v>678</v>
      </c>
      <c r="B22" s="261" t="s">
        <v>679</v>
      </c>
      <c r="C22" s="518">
        <v>3672</v>
      </c>
      <c r="D22" s="519">
        <v>3744</v>
      </c>
    </row>
    <row r="23" spans="1:4" s="242" customFormat="1">
      <c r="A23" s="257" t="s">
        <v>168</v>
      </c>
      <c r="B23" s="259" t="s">
        <v>169</v>
      </c>
      <c r="C23" s="518">
        <v>9700</v>
      </c>
      <c r="D23" s="519">
        <v>10190</v>
      </c>
    </row>
    <row r="24" spans="1:4" s="619" customFormat="1" ht="61.5" customHeight="1">
      <c r="A24" s="199" t="s">
        <v>909</v>
      </c>
      <c r="B24" s="230" t="s">
        <v>910</v>
      </c>
      <c r="C24" s="518">
        <f>C25+C26+C27+C28+C29</f>
        <v>28953</v>
      </c>
      <c r="D24" s="518">
        <f>D25+D26+D27+D28+D29</f>
        <v>30012</v>
      </c>
    </row>
    <row r="25" spans="1:4" s="619" customFormat="1" ht="101.25" customHeight="1">
      <c r="A25" s="257" t="s">
        <v>170</v>
      </c>
      <c r="B25" s="262" t="s">
        <v>911</v>
      </c>
      <c r="C25" s="518">
        <v>74</v>
      </c>
      <c r="D25" s="520">
        <v>74</v>
      </c>
    </row>
    <row r="26" spans="1:4" s="619" customFormat="1" ht="117.75" customHeight="1">
      <c r="A26" s="257" t="s">
        <v>171</v>
      </c>
      <c r="B26" s="261" t="s">
        <v>912</v>
      </c>
      <c r="C26" s="518">
        <v>27724</v>
      </c>
      <c r="D26" s="519">
        <v>28924</v>
      </c>
    </row>
    <row r="27" spans="1:4" s="619" customFormat="1" ht="65.25" customHeight="1">
      <c r="A27" s="257" t="s">
        <v>362</v>
      </c>
      <c r="B27" s="261" t="s">
        <v>913</v>
      </c>
      <c r="C27" s="518">
        <v>1021</v>
      </c>
      <c r="D27" s="519">
        <v>880</v>
      </c>
    </row>
    <row r="28" spans="1:4" s="619" customFormat="1" ht="99.75" customHeight="1">
      <c r="A28" s="257" t="s">
        <v>172</v>
      </c>
      <c r="B28" s="261" t="s">
        <v>914</v>
      </c>
      <c r="C28" s="518">
        <v>10</v>
      </c>
      <c r="D28" s="519">
        <v>10</v>
      </c>
    </row>
    <row r="29" spans="1:4" s="619" customFormat="1" ht="138" customHeight="1">
      <c r="A29" s="257" t="s">
        <v>421</v>
      </c>
      <c r="B29" s="261" t="s">
        <v>915</v>
      </c>
      <c r="C29" s="518">
        <v>124</v>
      </c>
      <c r="D29" s="519">
        <v>124</v>
      </c>
    </row>
    <row r="30" spans="1:4" s="619" customFormat="1" ht="37.5">
      <c r="A30" s="257" t="s">
        <v>173</v>
      </c>
      <c r="B30" s="261" t="s">
        <v>174</v>
      </c>
      <c r="C30" s="518">
        <v>276</v>
      </c>
      <c r="D30" s="519">
        <v>276</v>
      </c>
    </row>
    <row r="31" spans="1:4" s="619" customFormat="1" ht="37.5">
      <c r="A31" s="257" t="s">
        <v>492</v>
      </c>
      <c r="B31" s="263" t="s">
        <v>565</v>
      </c>
      <c r="C31" s="518">
        <v>724.3</v>
      </c>
      <c r="D31" s="519">
        <v>724.3</v>
      </c>
    </row>
    <row r="32" spans="1:4" s="619" customFormat="1" ht="37.5">
      <c r="A32" s="257" t="s">
        <v>175</v>
      </c>
      <c r="B32" s="261" t="s">
        <v>176</v>
      </c>
      <c r="C32" s="518">
        <v>4863</v>
      </c>
      <c r="D32" s="519">
        <v>4690</v>
      </c>
    </row>
    <row r="33" spans="1:8" s="619" customFormat="1">
      <c r="A33" s="260" t="s">
        <v>177</v>
      </c>
      <c r="B33" s="261" t="s">
        <v>178</v>
      </c>
      <c r="C33" s="518">
        <v>175</v>
      </c>
      <c r="D33" s="519">
        <v>175</v>
      </c>
    </row>
    <row r="34" spans="1:8" s="516" customFormat="1">
      <c r="A34" s="313" t="s">
        <v>34</v>
      </c>
      <c r="B34" s="620" t="s">
        <v>367</v>
      </c>
      <c r="C34" s="621">
        <f>C35</f>
        <v>1153886.9000000001</v>
      </c>
      <c r="D34" s="621">
        <f>D35</f>
        <v>1071741.6000000001</v>
      </c>
    </row>
    <row r="35" spans="1:8" s="516" customFormat="1" ht="56.25">
      <c r="A35" s="290" t="s">
        <v>35</v>
      </c>
      <c r="B35" s="622" t="s">
        <v>36</v>
      </c>
      <c r="C35" s="520">
        <f>C36+C37+C38+C39</f>
        <v>1153886.9000000001</v>
      </c>
      <c r="D35" s="520">
        <f>D36+D37+D38+D39</f>
        <v>1071741.6000000001</v>
      </c>
    </row>
    <row r="36" spans="1:8" s="624" customFormat="1" ht="37.5">
      <c r="A36" s="290" t="s">
        <v>554</v>
      </c>
      <c r="B36" s="623" t="s">
        <v>413</v>
      </c>
      <c r="C36" s="520">
        <f>'прил.5 (пост.безв.22-23)'!C15</f>
        <v>166399.6</v>
      </c>
      <c r="D36" s="520">
        <f>'прил.5 (пост.безв.22-23)'!D15</f>
        <v>169604.1</v>
      </c>
    </row>
    <row r="37" spans="1:8" s="624" customFormat="1" ht="56.25">
      <c r="A37" s="150" t="s">
        <v>556</v>
      </c>
      <c r="B37" s="575" t="s">
        <v>359</v>
      </c>
      <c r="C37" s="520">
        <f>'прил.5 (пост.безв.22-23)'!C18</f>
        <v>172790.2</v>
      </c>
      <c r="D37" s="520">
        <f>'прил.5 (пост.безв.22-23)'!D18</f>
        <v>86071.4</v>
      </c>
    </row>
    <row r="38" spans="1:8" ht="37.5">
      <c r="A38" s="40" t="s">
        <v>558</v>
      </c>
      <c r="B38" s="2" t="s">
        <v>412</v>
      </c>
      <c r="C38" s="521">
        <f>'прил.5 (пост.безв.22-23)'!C37</f>
        <v>778136.9</v>
      </c>
      <c r="D38" s="521">
        <f>'прил.5 (пост.безв.22-23)'!D37</f>
        <v>779505.9</v>
      </c>
    </row>
    <row r="39" spans="1:8" s="616" customFormat="1">
      <c r="A39" s="617" t="s">
        <v>579</v>
      </c>
      <c r="B39" s="66" t="s">
        <v>179</v>
      </c>
      <c r="C39" s="521">
        <f>'прил.5 (пост.безв.22-23)'!C72</f>
        <v>36560.199999999997</v>
      </c>
      <c r="D39" s="521">
        <f>'прил.5 (пост.безв.22-23)'!D72</f>
        <v>36560.199999999997</v>
      </c>
    </row>
    <row r="40" spans="1:8">
      <c r="A40" s="42"/>
      <c r="B40" s="44" t="s">
        <v>180</v>
      </c>
      <c r="C40" s="72">
        <f>C34+C14</f>
        <v>1582091.3000000003</v>
      </c>
      <c r="D40" s="72">
        <f>D34+D14</f>
        <v>1512134.5</v>
      </c>
    </row>
    <row r="41" spans="1:8" ht="55.15" customHeight="1">
      <c r="A41" s="939" t="s">
        <v>368</v>
      </c>
      <c r="B41" s="939"/>
      <c r="C41" s="939"/>
      <c r="D41" s="939"/>
    </row>
    <row r="42" spans="1:8">
      <c r="A42" s="9"/>
    </row>
    <row r="43" spans="1:8">
      <c r="A43" s="9"/>
    </row>
    <row r="44" spans="1:8" s="24" customFormat="1">
      <c r="A44" s="90" t="s">
        <v>467</v>
      </c>
      <c r="B44" s="26"/>
      <c r="C44" s="27"/>
      <c r="D44" s="27"/>
      <c r="E44" s="27"/>
      <c r="F44" s="28"/>
      <c r="G44" s="29"/>
      <c r="H44" s="25"/>
    </row>
    <row r="45" spans="1:8" s="24" customFormat="1">
      <c r="A45" s="90" t="s">
        <v>468</v>
      </c>
      <c r="B45" s="26"/>
      <c r="C45" s="27"/>
      <c r="D45" s="27"/>
      <c r="E45" s="27"/>
      <c r="F45" s="28"/>
      <c r="G45" s="29"/>
      <c r="H45" s="25"/>
    </row>
    <row r="46" spans="1:8" s="24" customFormat="1">
      <c r="A46" s="91" t="s">
        <v>469</v>
      </c>
      <c r="B46" s="26"/>
      <c r="D46" s="23" t="s">
        <v>494</v>
      </c>
      <c r="E46" s="27"/>
      <c r="F46" s="28"/>
    </row>
    <row r="48" spans="1:8">
      <c r="B48" s="6"/>
      <c r="C48" s="17"/>
    </row>
    <row r="49" spans="2:3">
      <c r="B49" s="6"/>
      <c r="C49" s="17"/>
    </row>
    <row r="56" spans="2:3">
      <c r="B56" s="3"/>
      <c r="C56" s="3"/>
    </row>
    <row r="57" spans="2:3">
      <c r="B57" s="3"/>
      <c r="C57" s="3"/>
    </row>
    <row r="58" spans="2:3">
      <c r="B58" s="3"/>
      <c r="C58" s="3"/>
    </row>
    <row r="59" spans="2:3">
      <c r="B59" s="3"/>
      <c r="C59" s="3"/>
    </row>
    <row r="60" spans="2:3">
      <c r="B60" s="3"/>
      <c r="C60" s="3"/>
    </row>
    <row r="61" spans="2:3">
      <c r="B61" s="3"/>
      <c r="C61" s="3"/>
    </row>
    <row r="62" spans="2:3">
      <c r="B62" s="3"/>
      <c r="C62" s="3"/>
    </row>
    <row r="63" spans="2:3">
      <c r="B63" s="3"/>
      <c r="C63" s="3"/>
    </row>
    <row r="64" spans="2:3">
      <c r="B64" s="3"/>
      <c r="C64" s="3"/>
    </row>
    <row r="65" spans="2:3">
      <c r="B65" s="3"/>
      <c r="C65" s="3"/>
    </row>
    <row r="66" spans="2:3">
      <c r="B66" s="3"/>
      <c r="C66" s="3"/>
    </row>
    <row r="67" spans="2:3">
      <c r="B67" s="3"/>
      <c r="C67" s="3"/>
    </row>
    <row r="68" spans="2:3">
      <c r="B68" s="3"/>
      <c r="C68" s="3"/>
    </row>
    <row r="69" spans="2:3">
      <c r="B69" s="3"/>
      <c r="C69" s="3"/>
    </row>
    <row r="70" spans="2:3">
      <c r="B70" s="3"/>
      <c r="C70" s="3"/>
    </row>
    <row r="71" spans="2:3">
      <c r="B71" s="3"/>
      <c r="C71" s="3"/>
    </row>
    <row r="72" spans="2:3">
      <c r="B72" s="3"/>
      <c r="C72" s="3"/>
    </row>
    <row r="73" spans="2:3">
      <c r="B73" s="3"/>
      <c r="C73" s="3"/>
    </row>
    <row r="74" spans="2:3">
      <c r="B74" s="3"/>
      <c r="C74" s="3"/>
    </row>
    <row r="75" spans="2:3">
      <c r="B75" s="3"/>
      <c r="C75" s="3"/>
    </row>
    <row r="76" spans="2:3">
      <c r="B76" s="3"/>
      <c r="C76" s="3"/>
    </row>
    <row r="77" spans="2:3">
      <c r="B77" s="3"/>
      <c r="C77" s="3"/>
    </row>
    <row r="78" spans="2:3">
      <c r="B78" s="3"/>
      <c r="C78" s="3"/>
    </row>
    <row r="79" spans="2:3">
      <c r="B79" s="3"/>
      <c r="C79" s="3"/>
    </row>
    <row r="80" spans="2:3">
      <c r="B80" s="3"/>
      <c r="C80" s="3"/>
    </row>
    <row r="81" spans="2:3">
      <c r="B81" s="3"/>
      <c r="C81" s="3"/>
    </row>
    <row r="82" spans="2:3">
      <c r="B82" s="3"/>
      <c r="C82" s="3"/>
    </row>
    <row r="83" spans="2:3">
      <c r="B83" s="3"/>
      <c r="C83" s="3"/>
    </row>
    <row r="84" spans="2:3">
      <c r="B84" s="3"/>
      <c r="C84" s="3"/>
    </row>
    <row r="85" spans="2:3">
      <c r="B85" s="3"/>
      <c r="C85" s="3"/>
    </row>
    <row r="86" spans="2:3">
      <c r="B86" s="3"/>
      <c r="C86" s="3"/>
    </row>
    <row r="87" spans="2:3">
      <c r="B87" s="3"/>
      <c r="C87" s="3"/>
    </row>
    <row r="88" spans="2:3">
      <c r="B88" s="3"/>
      <c r="C88" s="3"/>
    </row>
    <row r="89" spans="2:3">
      <c r="B89" s="3"/>
      <c r="C89" s="3"/>
    </row>
    <row r="90" spans="2:3">
      <c r="B90" s="3"/>
      <c r="C90" s="3"/>
    </row>
    <row r="91" spans="2:3">
      <c r="B91" s="3"/>
      <c r="C91" s="3"/>
    </row>
    <row r="92" spans="2:3">
      <c r="B92" s="3"/>
      <c r="C92" s="3"/>
    </row>
    <row r="93" spans="2:3">
      <c r="B93" s="3"/>
      <c r="C93" s="3"/>
    </row>
    <row r="94" spans="2:3">
      <c r="B94" s="3"/>
      <c r="C94" s="3"/>
    </row>
    <row r="95" spans="2:3">
      <c r="B95" s="3"/>
      <c r="C95" s="3"/>
    </row>
    <row r="96" spans="2:3">
      <c r="B96" s="3"/>
      <c r="C96" s="3"/>
    </row>
    <row r="97" spans="2:3">
      <c r="B97" s="3"/>
      <c r="C97" s="3"/>
    </row>
    <row r="98" spans="2:3">
      <c r="B98" s="3"/>
      <c r="C98" s="3"/>
    </row>
    <row r="99" spans="2:3">
      <c r="B99" s="3"/>
      <c r="C99" s="3"/>
    </row>
    <row r="100" spans="2:3">
      <c r="B100" s="3"/>
      <c r="C100" s="3"/>
    </row>
    <row r="101" spans="2:3">
      <c r="B101" s="3"/>
      <c r="C101" s="3"/>
    </row>
    <row r="102" spans="2:3">
      <c r="B102" s="3"/>
      <c r="C102" s="3"/>
    </row>
    <row r="103" spans="2:3">
      <c r="B103" s="3"/>
      <c r="C103" s="3"/>
    </row>
    <row r="104" spans="2:3">
      <c r="B104" s="3"/>
      <c r="C104" s="3"/>
    </row>
    <row r="105" spans="2:3">
      <c r="B105" s="3"/>
      <c r="C105" s="3"/>
    </row>
    <row r="106" spans="2:3">
      <c r="B106" s="3"/>
      <c r="C106" s="3"/>
    </row>
    <row r="107" spans="2:3">
      <c r="B107" s="3"/>
      <c r="C107" s="3"/>
    </row>
    <row r="108" spans="2:3">
      <c r="B108" s="3"/>
      <c r="C108" s="3"/>
    </row>
    <row r="109" spans="2:3">
      <c r="B109" s="3"/>
      <c r="C109" s="3"/>
    </row>
    <row r="110" spans="2:3">
      <c r="B110" s="3"/>
      <c r="C110" s="3"/>
    </row>
    <row r="111" spans="2:3">
      <c r="B111" s="3"/>
      <c r="C111" s="3"/>
    </row>
    <row r="112" spans="2:3">
      <c r="B112" s="3"/>
      <c r="C112" s="3"/>
    </row>
    <row r="113" spans="2:3">
      <c r="B113" s="3"/>
      <c r="C113" s="3"/>
    </row>
    <row r="114" spans="2:3">
      <c r="B114" s="3"/>
      <c r="C114" s="3"/>
    </row>
    <row r="115" spans="2:3">
      <c r="B115" s="3"/>
      <c r="C115" s="3"/>
    </row>
    <row r="116" spans="2:3">
      <c r="B116" s="3"/>
      <c r="C116" s="3"/>
    </row>
    <row r="117" spans="2:3">
      <c r="B117" s="3"/>
      <c r="C117" s="3"/>
    </row>
    <row r="118" spans="2:3">
      <c r="B118" s="3"/>
      <c r="C118" s="3"/>
    </row>
    <row r="119" spans="2:3">
      <c r="B119" s="3"/>
      <c r="C119" s="3"/>
    </row>
    <row r="120" spans="2:3">
      <c r="B120" s="3"/>
      <c r="C120" s="3"/>
    </row>
    <row r="121" spans="2:3">
      <c r="B121" s="3"/>
      <c r="C121" s="3"/>
    </row>
    <row r="122" spans="2:3">
      <c r="B122" s="3"/>
      <c r="C122" s="3"/>
    </row>
    <row r="123" spans="2:3">
      <c r="B123" s="3"/>
      <c r="C123" s="3"/>
    </row>
    <row r="124" spans="2:3">
      <c r="B124" s="3"/>
      <c r="C124" s="3"/>
    </row>
    <row r="125" spans="2:3">
      <c r="B125" s="3"/>
      <c r="C125" s="3"/>
    </row>
    <row r="126" spans="2:3">
      <c r="B126" s="3"/>
      <c r="C126" s="3"/>
    </row>
    <row r="127" spans="2:3">
      <c r="B127" s="3"/>
      <c r="C127" s="3"/>
    </row>
    <row r="128" spans="2:3">
      <c r="B128" s="3"/>
      <c r="C128" s="3"/>
    </row>
    <row r="129" spans="2:3">
      <c r="B129" s="3"/>
      <c r="C129" s="3"/>
    </row>
    <row r="130" spans="2:3">
      <c r="B130" s="3"/>
      <c r="C130" s="3"/>
    </row>
    <row r="131" spans="2:3">
      <c r="B131" s="3"/>
      <c r="C131" s="3"/>
    </row>
    <row r="132" spans="2:3">
      <c r="B132" s="3"/>
      <c r="C132" s="3"/>
    </row>
    <row r="133" spans="2:3">
      <c r="B133" s="3"/>
      <c r="C133" s="3"/>
    </row>
  </sheetData>
  <mergeCells count="5">
    <mergeCell ref="C11:D11"/>
    <mergeCell ref="A11:A12"/>
    <mergeCell ref="B11:B12"/>
    <mergeCell ref="A41:D41"/>
    <mergeCell ref="A8:D8"/>
  </mergeCells>
  <printOptions horizontalCentered="1"/>
  <pageMargins left="1.1811023622047245" right="0.39370078740157483" top="0.78740157480314965" bottom="0.78740157480314965" header="0.39370078740157483" footer="0.39370078740157483"/>
  <pageSetup paperSize="9" scale="72" fitToHeight="0" orientation="portrait" blackAndWhite="1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L411"/>
  <sheetViews>
    <sheetView zoomScale="70" zoomScaleNormal="70" workbookViewId="0">
      <selection activeCell="C2" sqref="C2"/>
    </sheetView>
  </sheetViews>
  <sheetFormatPr defaultColWidth="8.85546875" defaultRowHeight="18.75"/>
  <cols>
    <col min="1" max="1" width="28.140625" style="227" customWidth="1"/>
    <col min="2" max="2" width="72.7109375" style="227" customWidth="1"/>
    <col min="3" max="3" width="15" style="226" customWidth="1"/>
    <col min="4" max="4" width="11.28515625" style="212" customWidth="1"/>
    <col min="5" max="16384" width="8.85546875" style="192"/>
  </cols>
  <sheetData>
    <row r="1" spans="1:4">
      <c r="C1" s="200" t="s">
        <v>537</v>
      </c>
    </row>
    <row r="2" spans="1:4">
      <c r="C2" s="444" t="s">
        <v>1028</v>
      </c>
    </row>
    <row r="4" spans="1:4">
      <c r="C4" s="200" t="s">
        <v>537</v>
      </c>
    </row>
    <row r="5" spans="1:4">
      <c r="C5" s="495" t="s">
        <v>917</v>
      </c>
    </row>
    <row r="6" spans="1:4" ht="25.9" customHeight="1"/>
    <row r="7" spans="1:4" ht="15.75" customHeight="1"/>
    <row r="8" spans="1:4" ht="22.15" customHeight="1">
      <c r="A8" s="941" t="s">
        <v>778</v>
      </c>
      <c r="B8" s="941"/>
      <c r="C8" s="941"/>
    </row>
    <row r="9" spans="1:4">
      <c r="A9" s="228"/>
      <c r="B9" s="228"/>
      <c r="C9" s="213"/>
    </row>
    <row r="10" spans="1:4">
      <c r="C10" s="214" t="s">
        <v>42</v>
      </c>
    </row>
    <row r="11" spans="1:4">
      <c r="A11" s="199" t="s">
        <v>31</v>
      </c>
      <c r="B11" s="199" t="s">
        <v>32</v>
      </c>
      <c r="C11" s="215" t="s">
        <v>33</v>
      </c>
    </row>
    <row r="12" spans="1:4">
      <c r="A12" s="199">
        <v>1</v>
      </c>
      <c r="B12" s="199">
        <v>2</v>
      </c>
      <c r="C12" s="217">
        <v>3</v>
      </c>
    </row>
    <row r="13" spans="1:4" ht="23.45" customHeight="1">
      <c r="A13" s="202" t="s">
        <v>34</v>
      </c>
      <c r="B13" s="218" t="s">
        <v>367</v>
      </c>
      <c r="C13" s="219">
        <f>C14</f>
        <v>1142625.4999999998</v>
      </c>
      <c r="D13" s="529"/>
    </row>
    <row r="14" spans="1:4" ht="38.450000000000003" customHeight="1">
      <c r="A14" s="199" t="s">
        <v>35</v>
      </c>
      <c r="B14" s="229" t="s">
        <v>36</v>
      </c>
      <c r="C14" s="234">
        <f>C15+C33+C18+C69</f>
        <v>1142625.4999999998</v>
      </c>
      <c r="D14" s="529"/>
    </row>
    <row r="15" spans="1:4" ht="37.9" customHeight="1">
      <c r="A15" s="199" t="s">
        <v>554</v>
      </c>
      <c r="B15" s="229" t="s">
        <v>410</v>
      </c>
      <c r="C15" s="234">
        <f>C16</f>
        <v>206489.1</v>
      </c>
      <c r="D15" s="529"/>
    </row>
    <row r="16" spans="1:4" ht="21.6" customHeight="1">
      <c r="A16" s="199" t="s">
        <v>555</v>
      </c>
      <c r="B16" s="229" t="s">
        <v>37</v>
      </c>
      <c r="C16" s="234">
        <f>C17</f>
        <v>206489.1</v>
      </c>
      <c r="D16" s="529"/>
    </row>
    <row r="17" spans="1:4" ht="59.45" customHeight="1">
      <c r="A17" s="199" t="s">
        <v>545</v>
      </c>
      <c r="B17" s="229" t="s">
        <v>681</v>
      </c>
      <c r="C17" s="234">
        <v>206489.1</v>
      </c>
      <c r="D17" s="529"/>
    </row>
    <row r="18" spans="1:4" ht="39.6" customHeight="1">
      <c r="A18" s="199" t="s">
        <v>556</v>
      </c>
      <c r="B18" s="230" t="s">
        <v>454</v>
      </c>
      <c r="C18" s="234">
        <f>C19+C25+C23</f>
        <v>101140</v>
      </c>
      <c r="D18" s="529"/>
    </row>
    <row r="19" spans="1:4" ht="48" customHeight="1">
      <c r="A19" s="199" t="s">
        <v>598</v>
      </c>
      <c r="B19" s="230" t="s">
        <v>599</v>
      </c>
      <c r="C19" s="234">
        <f>C20</f>
        <v>40442</v>
      </c>
      <c r="D19" s="529"/>
    </row>
    <row r="20" spans="1:4" ht="56.45" customHeight="1">
      <c r="A20" s="199" t="s">
        <v>596</v>
      </c>
      <c r="B20" s="230" t="s">
        <v>597</v>
      </c>
      <c r="C20" s="234">
        <f>C21+C22</f>
        <v>40442</v>
      </c>
      <c r="D20" s="529"/>
    </row>
    <row r="21" spans="1:4" ht="93.75">
      <c r="A21" s="199"/>
      <c r="B21" s="861" t="s">
        <v>1025</v>
      </c>
      <c r="C21" s="862">
        <v>28442</v>
      </c>
      <c r="D21" s="529">
        <v>921</v>
      </c>
    </row>
    <row r="22" spans="1:4" ht="56.25">
      <c r="A22" s="197"/>
      <c r="B22" s="626" t="s">
        <v>794</v>
      </c>
      <c r="C22" s="235">
        <v>12000</v>
      </c>
      <c r="D22" s="529">
        <v>921</v>
      </c>
    </row>
    <row r="23" spans="1:4" s="212" customFormat="1" ht="80.25" customHeight="1">
      <c r="A23" s="197" t="s">
        <v>767</v>
      </c>
      <c r="B23" s="230" t="s">
        <v>790</v>
      </c>
      <c r="C23" s="234">
        <f>C24</f>
        <v>51871.3</v>
      </c>
      <c r="D23" s="529"/>
    </row>
    <row r="24" spans="1:4" s="212" customFormat="1" ht="79.5" customHeight="1">
      <c r="A24" s="197" t="s">
        <v>760</v>
      </c>
      <c r="B24" s="230" t="s">
        <v>761</v>
      </c>
      <c r="C24" s="234">
        <v>51871.3</v>
      </c>
      <c r="D24" s="529">
        <v>925</v>
      </c>
    </row>
    <row r="25" spans="1:4" ht="22.15" customHeight="1">
      <c r="A25" s="197" t="s">
        <v>557</v>
      </c>
      <c r="B25" s="230" t="s">
        <v>357</v>
      </c>
      <c r="C25" s="234">
        <f>C26</f>
        <v>8826.7000000000007</v>
      </c>
      <c r="D25" s="529"/>
    </row>
    <row r="26" spans="1:4" ht="37.9" customHeight="1">
      <c r="A26" s="197" t="s">
        <v>542</v>
      </c>
      <c r="B26" s="230" t="s">
        <v>358</v>
      </c>
      <c r="C26" s="234">
        <f>SUM(C27:C32)</f>
        <v>8826.7000000000007</v>
      </c>
      <c r="D26" s="529"/>
    </row>
    <row r="27" spans="1:4" ht="243.75">
      <c r="A27" s="220"/>
      <c r="B27" s="775" t="s">
        <v>1024</v>
      </c>
      <c r="C27" s="236">
        <v>40</v>
      </c>
      <c r="D27" s="530">
        <v>926</v>
      </c>
    </row>
    <row r="28" spans="1:4" ht="56.25">
      <c r="A28" s="220"/>
      <c r="B28" s="626" t="s">
        <v>581</v>
      </c>
      <c r="C28" s="236">
        <v>852.9</v>
      </c>
      <c r="D28" s="530">
        <v>929</v>
      </c>
    </row>
    <row r="29" spans="1:4" ht="75">
      <c r="A29" s="220"/>
      <c r="B29" s="627" t="s">
        <v>1018</v>
      </c>
      <c r="C29" s="236">
        <v>740</v>
      </c>
      <c r="D29" s="530">
        <v>902</v>
      </c>
    </row>
    <row r="30" spans="1:4" ht="75">
      <c r="A30" s="220"/>
      <c r="B30" s="627" t="s">
        <v>608</v>
      </c>
      <c r="C30" s="236">
        <v>570</v>
      </c>
      <c r="D30" s="530">
        <v>925</v>
      </c>
    </row>
    <row r="31" spans="1:4" ht="109.9" customHeight="1">
      <c r="A31" s="220"/>
      <c r="B31" s="627" t="s">
        <v>999</v>
      </c>
      <c r="C31" s="236">
        <v>954</v>
      </c>
      <c r="D31" s="530">
        <v>902</v>
      </c>
    </row>
    <row r="32" spans="1:4" s="774" customFormat="1" ht="168.75">
      <c r="A32" s="770"/>
      <c r="B32" s="771" t="s">
        <v>1017</v>
      </c>
      <c r="C32" s="772">
        <v>5669.8</v>
      </c>
      <c r="D32" s="773">
        <v>925</v>
      </c>
    </row>
    <row r="33" spans="1:4" ht="37.5">
      <c r="A33" s="199" t="s">
        <v>558</v>
      </c>
      <c r="B33" s="229" t="s">
        <v>411</v>
      </c>
      <c r="C33" s="234">
        <f>C34+C59+C63+C65+C67</f>
        <v>790351.2</v>
      </c>
      <c r="D33" s="529"/>
    </row>
    <row r="34" spans="1:4" ht="39" customHeight="1">
      <c r="A34" s="199" t="s">
        <v>559</v>
      </c>
      <c r="B34" s="229" t="s">
        <v>38</v>
      </c>
      <c r="C34" s="234">
        <f>C35</f>
        <v>722370.60000000009</v>
      </c>
      <c r="D34" s="529"/>
    </row>
    <row r="35" spans="1:4" ht="56.25">
      <c r="A35" s="199" t="s">
        <v>543</v>
      </c>
      <c r="B35" s="229" t="s">
        <v>39</v>
      </c>
      <c r="C35" s="234">
        <f>SUM(C36:C46)+SUM(C48:C53)+C56+C57+C58</f>
        <v>722370.60000000009</v>
      </c>
      <c r="D35" s="529"/>
    </row>
    <row r="36" spans="1:4" ht="152.25" customHeight="1">
      <c r="A36" s="199"/>
      <c r="B36" s="626" t="s">
        <v>600</v>
      </c>
      <c r="C36" s="236">
        <f>250-0.3</f>
        <v>249.7</v>
      </c>
      <c r="D36" s="529" t="s">
        <v>758</v>
      </c>
    </row>
    <row r="37" spans="1:4" s="221" customFormat="1" ht="59.25" customHeight="1">
      <c r="A37" s="199"/>
      <c r="B37" s="627" t="s">
        <v>40</v>
      </c>
      <c r="C37" s="237">
        <f>3472.8-31.2</f>
        <v>3441.6000000000004</v>
      </c>
      <c r="D37" s="530">
        <v>902</v>
      </c>
    </row>
    <row r="38" spans="1:4" ht="56.25">
      <c r="A38" s="199"/>
      <c r="B38" s="627" t="s">
        <v>601</v>
      </c>
      <c r="C38" s="237">
        <f>11712.9-5.6</f>
        <v>11707.3</v>
      </c>
      <c r="D38" s="530">
        <v>902</v>
      </c>
    </row>
    <row r="39" spans="1:4" s="221" customFormat="1" ht="75">
      <c r="A39" s="220"/>
      <c r="B39" s="627" t="s">
        <v>301</v>
      </c>
      <c r="C39" s="237">
        <v>2399</v>
      </c>
      <c r="D39" s="530">
        <v>925</v>
      </c>
    </row>
    <row r="40" spans="1:4" s="221" customFormat="1" ht="165" customHeight="1">
      <c r="A40" s="199"/>
      <c r="B40" s="627" t="s">
        <v>602</v>
      </c>
      <c r="C40" s="237">
        <f>642.1-5.6</f>
        <v>636.5</v>
      </c>
      <c r="D40" s="530">
        <v>902</v>
      </c>
    </row>
    <row r="41" spans="1:4" ht="80.25" customHeight="1">
      <c r="A41" s="231"/>
      <c r="B41" s="627" t="s">
        <v>41</v>
      </c>
      <c r="C41" s="237">
        <v>66</v>
      </c>
      <c r="D41" s="530">
        <v>902</v>
      </c>
    </row>
    <row r="42" spans="1:4" ht="93" customHeight="1">
      <c r="A42" s="220"/>
      <c r="B42" s="627" t="s">
        <v>788</v>
      </c>
      <c r="C42" s="237">
        <v>636.70000000000005</v>
      </c>
      <c r="D42" s="530">
        <v>953</v>
      </c>
    </row>
    <row r="43" spans="1:4" s="221" customFormat="1" ht="64.150000000000006" customHeight="1">
      <c r="A43" s="220"/>
      <c r="B43" s="627" t="s">
        <v>335</v>
      </c>
      <c r="C43" s="237">
        <v>6084</v>
      </c>
      <c r="D43" s="530">
        <v>953</v>
      </c>
    </row>
    <row r="44" spans="1:4" ht="117.6" customHeight="1">
      <c r="A44" s="220"/>
      <c r="B44" s="627" t="s">
        <v>435</v>
      </c>
      <c r="C44" s="237">
        <v>10.1</v>
      </c>
      <c r="D44" s="530">
        <v>953</v>
      </c>
    </row>
    <row r="45" spans="1:4" ht="154.5" customHeight="1">
      <c r="A45" s="199"/>
      <c r="B45" s="627" t="s">
        <v>603</v>
      </c>
      <c r="C45" s="237">
        <v>66</v>
      </c>
      <c r="D45" s="530">
        <v>902</v>
      </c>
    </row>
    <row r="46" spans="1:4" s="221" customFormat="1" ht="147.75" customHeight="1">
      <c r="A46" s="220"/>
      <c r="B46" s="627" t="s">
        <v>304</v>
      </c>
      <c r="C46" s="237">
        <f>C47</f>
        <v>2188.4</v>
      </c>
      <c r="D46" s="530"/>
    </row>
    <row r="47" spans="1:4" s="221" customFormat="1" ht="60.75" customHeight="1">
      <c r="A47" s="220" t="s">
        <v>300</v>
      </c>
      <c r="B47" s="627" t="s">
        <v>604</v>
      </c>
      <c r="C47" s="237">
        <v>2188.4</v>
      </c>
      <c r="D47" s="530">
        <v>925</v>
      </c>
    </row>
    <row r="48" spans="1:4" ht="78.75" customHeight="1">
      <c r="A48" s="220"/>
      <c r="B48" s="627" t="s">
        <v>438</v>
      </c>
      <c r="C48" s="237">
        <v>243.2</v>
      </c>
      <c r="D48" s="530">
        <v>953</v>
      </c>
    </row>
    <row r="49" spans="1:7" ht="93.75">
      <c r="A49" s="220"/>
      <c r="B49" s="627" t="s">
        <v>434</v>
      </c>
      <c r="C49" s="237">
        <v>346.7</v>
      </c>
      <c r="D49" s="530">
        <v>953</v>
      </c>
    </row>
    <row r="50" spans="1:7" ht="152.44999999999999" customHeight="1">
      <c r="A50" s="220"/>
      <c r="B50" s="627" t="s">
        <v>487</v>
      </c>
      <c r="C50" s="237">
        <f>32481.8+10813.4+9277.6</f>
        <v>52572.799999999996</v>
      </c>
      <c r="D50" s="530">
        <v>921</v>
      </c>
    </row>
    <row r="51" spans="1:7" ht="205.9" customHeight="1">
      <c r="A51" s="220"/>
      <c r="B51" s="627" t="s">
        <v>730</v>
      </c>
      <c r="C51" s="237">
        <v>871</v>
      </c>
      <c r="D51" s="530">
        <v>953</v>
      </c>
    </row>
    <row r="52" spans="1:7" ht="131.25" customHeight="1">
      <c r="A52" s="199"/>
      <c r="B52" s="627" t="s">
        <v>686</v>
      </c>
      <c r="C52" s="776">
        <f>187.9-3.2</f>
        <v>184.70000000000002</v>
      </c>
      <c r="D52" s="530">
        <v>902</v>
      </c>
    </row>
    <row r="53" spans="1:7" ht="99.75" customHeight="1">
      <c r="A53" s="220"/>
      <c r="B53" s="627" t="s">
        <v>414</v>
      </c>
      <c r="C53" s="237">
        <f>SUM(C54:C55)</f>
        <v>631553.80000000005</v>
      </c>
      <c r="D53" s="530"/>
    </row>
    <row r="54" spans="1:7" s="221" customFormat="1" ht="27" customHeight="1">
      <c r="A54" s="220" t="s">
        <v>300</v>
      </c>
      <c r="B54" s="627" t="s">
        <v>302</v>
      </c>
      <c r="C54" s="235">
        <v>212697.8</v>
      </c>
      <c r="D54" s="530">
        <v>925</v>
      </c>
    </row>
    <row r="55" spans="1:7" s="221" customFormat="1">
      <c r="A55" s="220"/>
      <c r="B55" s="628" t="s">
        <v>303</v>
      </c>
      <c r="C55" s="235">
        <v>418856</v>
      </c>
      <c r="D55" s="530">
        <v>925</v>
      </c>
    </row>
    <row r="56" spans="1:7" s="221" customFormat="1" ht="184.9" customHeight="1">
      <c r="A56" s="220"/>
      <c r="B56" s="629" t="s">
        <v>884</v>
      </c>
      <c r="C56" s="237">
        <v>2358</v>
      </c>
      <c r="D56" s="530">
        <v>925</v>
      </c>
    </row>
    <row r="57" spans="1:7" s="221" customFormat="1" ht="96.75" customHeight="1">
      <c r="A57" s="220"/>
      <c r="B57" s="627" t="s">
        <v>735</v>
      </c>
      <c r="C57" s="237">
        <v>6749.9</v>
      </c>
      <c r="D57" s="531">
        <v>925</v>
      </c>
    </row>
    <row r="58" spans="1:7" s="221" customFormat="1" ht="150">
      <c r="A58" s="220"/>
      <c r="B58" s="627" t="s">
        <v>1000</v>
      </c>
      <c r="C58" s="237">
        <v>5.2</v>
      </c>
      <c r="D58" s="531">
        <v>953</v>
      </c>
    </row>
    <row r="59" spans="1:7" ht="57" customHeight="1">
      <c r="A59" s="197" t="s">
        <v>560</v>
      </c>
      <c r="B59" s="230" t="s">
        <v>336</v>
      </c>
      <c r="C59" s="238">
        <f>C60</f>
        <v>58601.1</v>
      </c>
      <c r="D59" s="530"/>
    </row>
    <row r="60" spans="1:7" ht="75">
      <c r="A60" s="197" t="s">
        <v>552</v>
      </c>
      <c r="B60" s="230" t="s">
        <v>337</v>
      </c>
      <c r="C60" s="238">
        <f>SUM(C61:C62)</f>
        <v>58601.1</v>
      </c>
      <c r="D60" s="530"/>
    </row>
    <row r="61" spans="1:7" ht="109.15" customHeight="1">
      <c r="A61" s="220"/>
      <c r="B61" s="627" t="s">
        <v>436</v>
      </c>
      <c r="C61" s="237">
        <v>32982</v>
      </c>
      <c r="D61" s="530">
        <v>953</v>
      </c>
    </row>
    <row r="62" spans="1:7" s="209" customFormat="1" ht="75">
      <c r="A62" s="220"/>
      <c r="B62" s="626" t="s">
        <v>437</v>
      </c>
      <c r="C62" s="237">
        <v>25619.1</v>
      </c>
      <c r="D62" s="530">
        <v>953</v>
      </c>
      <c r="E62" s="206"/>
      <c r="F62" s="207"/>
      <c r="G62" s="208"/>
    </row>
    <row r="63" spans="1:7" s="209" customFormat="1" ht="88.9" customHeight="1">
      <c r="A63" s="197" t="s">
        <v>561</v>
      </c>
      <c r="B63" s="229" t="s">
        <v>299</v>
      </c>
      <c r="C63" s="238">
        <f>C64</f>
        <v>8034.2</v>
      </c>
      <c r="D63" s="530" t="s">
        <v>471</v>
      </c>
      <c r="E63" s="206"/>
      <c r="F63" s="207"/>
      <c r="G63" s="208"/>
    </row>
    <row r="64" spans="1:7" s="209" customFormat="1" ht="95.25" customHeight="1">
      <c r="A64" s="197" t="s">
        <v>551</v>
      </c>
      <c r="B64" s="229" t="s">
        <v>24</v>
      </c>
      <c r="C64" s="238">
        <v>8034.2</v>
      </c>
      <c r="D64" s="531">
        <v>925</v>
      </c>
      <c r="E64" s="206"/>
    </row>
    <row r="65" spans="1:4" ht="78.75" customHeight="1">
      <c r="A65" s="199" t="s">
        <v>562</v>
      </c>
      <c r="B65" s="614" t="s">
        <v>486</v>
      </c>
      <c r="C65" s="234">
        <f>C66</f>
        <v>13.2</v>
      </c>
      <c r="D65" s="530"/>
    </row>
    <row r="66" spans="1:4" ht="87" customHeight="1">
      <c r="A66" s="199" t="s">
        <v>544</v>
      </c>
      <c r="B66" s="614" t="s">
        <v>455</v>
      </c>
      <c r="C66" s="234">
        <v>13.2</v>
      </c>
      <c r="D66" s="530">
        <v>902</v>
      </c>
    </row>
    <row r="67" spans="1:4" ht="39.75" customHeight="1">
      <c r="A67" s="199" t="s">
        <v>893</v>
      </c>
      <c r="B67" s="614" t="s">
        <v>894</v>
      </c>
      <c r="C67" s="234">
        <f>C68</f>
        <v>1332.1</v>
      </c>
      <c r="D67" s="530"/>
    </row>
    <row r="68" spans="1:4" ht="40.5" customHeight="1">
      <c r="A68" s="199" t="s">
        <v>895</v>
      </c>
      <c r="B68" s="614" t="s">
        <v>896</v>
      </c>
      <c r="C68" s="234">
        <v>1332.1</v>
      </c>
      <c r="D68" s="530">
        <v>902</v>
      </c>
    </row>
    <row r="69" spans="1:4" ht="29.25" customHeight="1">
      <c r="A69" s="199" t="s">
        <v>579</v>
      </c>
      <c r="B69" s="614" t="s">
        <v>689</v>
      </c>
      <c r="C69" s="234">
        <f>C70+C72</f>
        <v>44645.2</v>
      </c>
      <c r="D69" s="530"/>
    </row>
    <row r="70" spans="1:4" ht="75" customHeight="1">
      <c r="A70" s="199" t="s">
        <v>885</v>
      </c>
      <c r="B70" s="614" t="s">
        <v>886</v>
      </c>
      <c r="C70" s="615">
        <f>C71</f>
        <v>36560.199999999997</v>
      </c>
    </row>
    <row r="71" spans="1:4" ht="93.75">
      <c r="A71" s="199" t="s">
        <v>759</v>
      </c>
      <c r="B71" s="614" t="s">
        <v>793</v>
      </c>
      <c r="C71" s="615">
        <v>36560.199999999997</v>
      </c>
    </row>
    <row r="72" spans="1:4" ht="37.5">
      <c r="A72" s="199" t="s">
        <v>1007</v>
      </c>
      <c r="B72" s="614" t="s">
        <v>1008</v>
      </c>
      <c r="C72" s="615">
        <f>C73</f>
        <v>8085</v>
      </c>
    </row>
    <row r="73" spans="1:4" ht="37.5">
      <c r="A73" s="199" t="s">
        <v>550</v>
      </c>
      <c r="B73" s="614" t="s">
        <v>21</v>
      </c>
      <c r="C73" s="615">
        <v>8085</v>
      </c>
      <c r="D73" s="212">
        <v>925</v>
      </c>
    </row>
    <row r="74" spans="1:4">
      <c r="A74" s="246"/>
      <c r="B74" s="388"/>
      <c r="C74" s="224"/>
    </row>
    <row r="75" spans="1:4">
      <c r="A75" s="246"/>
      <c r="B75" s="388"/>
      <c r="C75" s="224"/>
    </row>
    <row r="76" spans="1:4">
      <c r="A76" s="232" t="s">
        <v>467</v>
      </c>
      <c r="B76" s="205"/>
      <c r="C76" s="206"/>
      <c r="D76" s="225"/>
    </row>
    <row r="77" spans="1:4">
      <c r="A77" s="232" t="s">
        <v>468</v>
      </c>
      <c r="B77" s="205"/>
      <c r="C77" s="206"/>
      <c r="D77" s="225"/>
    </row>
    <row r="78" spans="1:4">
      <c r="A78" s="233" t="s">
        <v>469</v>
      </c>
      <c r="B78" s="205"/>
      <c r="C78" s="211" t="s">
        <v>494</v>
      </c>
      <c r="D78" s="225"/>
    </row>
    <row r="410" spans="11:12">
      <c r="K410" s="192">
        <v>135.4</v>
      </c>
      <c r="L410" s="192">
        <v>140.9</v>
      </c>
    </row>
    <row r="411" spans="11:12">
      <c r="K411" s="192">
        <v>27088.9</v>
      </c>
      <c r="L411" s="192">
        <v>28171.4</v>
      </c>
    </row>
  </sheetData>
  <autoFilter ref="A4:D78"/>
  <mergeCells count="1">
    <mergeCell ref="A8:C8"/>
  </mergeCells>
  <printOptions horizontalCentered="1"/>
  <pageMargins left="1.1811023622047245" right="0.39370078740157483" top="0.6692913385826772" bottom="0.39370078740157483" header="0" footer="0"/>
  <pageSetup paperSize="9" scale="73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J414"/>
  <sheetViews>
    <sheetView zoomScale="80" zoomScaleNormal="80" workbookViewId="0">
      <selection activeCell="D2" sqref="D2"/>
    </sheetView>
  </sheetViews>
  <sheetFormatPr defaultColWidth="8.85546875" defaultRowHeight="18.75"/>
  <cols>
    <col min="1" max="1" width="28.7109375" style="192" customWidth="1"/>
    <col min="2" max="2" width="69.140625" style="192" customWidth="1"/>
    <col min="3" max="3" width="13.5703125" style="226" customWidth="1"/>
    <col min="4" max="4" width="14.140625" style="192" customWidth="1"/>
    <col min="5" max="5" width="12.28515625" style="240" customWidth="1"/>
    <col min="6" max="16384" width="8.85546875" style="192"/>
  </cols>
  <sheetData>
    <row r="1" spans="1:4">
      <c r="D1" s="200" t="s">
        <v>461</v>
      </c>
    </row>
    <row r="2" spans="1:4">
      <c r="D2" s="444" t="s">
        <v>1031</v>
      </c>
    </row>
    <row r="4" spans="1:4">
      <c r="D4" s="200" t="s">
        <v>461</v>
      </c>
    </row>
    <row r="5" spans="1:4">
      <c r="D5" s="495" t="s">
        <v>917</v>
      </c>
    </row>
    <row r="7" spans="1:4">
      <c r="A7" s="941" t="s">
        <v>779</v>
      </c>
      <c r="B7" s="941"/>
      <c r="C7" s="941"/>
      <c r="D7" s="941"/>
    </row>
    <row r="8" spans="1:4" ht="15" customHeight="1">
      <c r="A8" s="625"/>
      <c r="B8" s="625"/>
      <c r="C8" s="213"/>
    </row>
    <row r="9" spans="1:4">
      <c r="D9" s="214" t="s">
        <v>42</v>
      </c>
    </row>
    <row r="10" spans="1:4">
      <c r="A10" s="944" t="s">
        <v>31</v>
      </c>
      <c r="B10" s="944" t="s">
        <v>32</v>
      </c>
      <c r="C10" s="942" t="s">
        <v>33</v>
      </c>
      <c r="D10" s="943"/>
    </row>
    <row r="11" spans="1:4">
      <c r="A11" s="945"/>
      <c r="B11" s="945"/>
      <c r="C11" s="215" t="s">
        <v>580</v>
      </c>
      <c r="D11" s="215" t="s">
        <v>773</v>
      </c>
    </row>
    <row r="12" spans="1:4">
      <c r="A12" s="216">
        <v>1</v>
      </c>
      <c r="B12" s="216">
        <v>2</v>
      </c>
      <c r="C12" s="217">
        <v>3</v>
      </c>
      <c r="D12" s="217">
        <v>4</v>
      </c>
    </row>
    <row r="13" spans="1:4">
      <c r="A13" s="202" t="s">
        <v>34</v>
      </c>
      <c r="B13" s="218" t="s">
        <v>367</v>
      </c>
      <c r="C13" s="219">
        <f>C14</f>
        <v>1153886.8999999999</v>
      </c>
      <c r="D13" s="219">
        <f>D14</f>
        <v>1071741.6000000001</v>
      </c>
    </row>
    <row r="14" spans="1:4" ht="37.5">
      <c r="A14" s="199" t="s">
        <v>35</v>
      </c>
      <c r="B14" s="229" t="s">
        <v>36</v>
      </c>
      <c r="C14" s="234">
        <f>C15+C37+C18+C72</f>
        <v>1153886.8999999999</v>
      </c>
      <c r="D14" s="234">
        <f>D15+D37+D18+D72</f>
        <v>1071741.6000000001</v>
      </c>
    </row>
    <row r="15" spans="1:4" ht="37.5">
      <c r="A15" s="199" t="s">
        <v>554</v>
      </c>
      <c r="B15" s="229" t="s">
        <v>410</v>
      </c>
      <c r="C15" s="234">
        <f>C16</f>
        <v>166399.6</v>
      </c>
      <c r="D15" s="234">
        <f>D16</f>
        <v>169604.1</v>
      </c>
    </row>
    <row r="16" spans="1:4">
      <c r="A16" s="199" t="s">
        <v>555</v>
      </c>
      <c r="B16" s="229" t="s">
        <v>37</v>
      </c>
      <c r="C16" s="234">
        <f>C17</f>
        <v>166399.6</v>
      </c>
      <c r="D16" s="234">
        <f>D17</f>
        <v>169604.1</v>
      </c>
    </row>
    <row r="17" spans="1:5" ht="56.25">
      <c r="A17" s="199" t="s">
        <v>545</v>
      </c>
      <c r="B17" s="229" t="s">
        <v>681</v>
      </c>
      <c r="C17" s="234">
        <v>166399.6</v>
      </c>
      <c r="D17" s="234">
        <v>169604.1</v>
      </c>
    </row>
    <row r="18" spans="1:5" ht="37.5">
      <c r="A18" s="199" t="s">
        <v>556</v>
      </c>
      <c r="B18" s="230" t="s">
        <v>454</v>
      </c>
      <c r="C18" s="234">
        <f>C19+C31+C29+C23+C25+C27</f>
        <v>172790.2</v>
      </c>
      <c r="D18" s="234">
        <f>D19+D31+D29+D23+D25+D27</f>
        <v>86071.4</v>
      </c>
    </row>
    <row r="19" spans="1:5" ht="35.25" customHeight="1">
      <c r="A19" s="199" t="s">
        <v>598</v>
      </c>
      <c r="B19" s="230" t="s">
        <v>599</v>
      </c>
      <c r="C19" s="234">
        <f>C20</f>
        <v>106849.1</v>
      </c>
      <c r="D19" s="234">
        <f>D20</f>
        <v>0</v>
      </c>
    </row>
    <row r="20" spans="1:5" ht="56.25">
      <c r="A20" s="199" t="s">
        <v>596</v>
      </c>
      <c r="B20" s="230" t="s">
        <v>597</v>
      </c>
      <c r="C20" s="234">
        <f>C21+C22</f>
        <v>106849.1</v>
      </c>
      <c r="D20" s="234">
        <f>D21+D22</f>
        <v>0</v>
      </c>
    </row>
    <row r="21" spans="1:5" ht="112.5">
      <c r="A21" s="199"/>
      <c r="B21" s="861" t="s">
        <v>1025</v>
      </c>
      <c r="C21" s="862">
        <v>95112</v>
      </c>
      <c r="D21" s="236">
        <v>0</v>
      </c>
    </row>
    <row r="22" spans="1:5" ht="53.25" customHeight="1">
      <c r="A22" s="197"/>
      <c r="B22" s="626" t="s">
        <v>794</v>
      </c>
      <c r="C22" s="235">
        <v>11737.1</v>
      </c>
      <c r="D22" s="235">
        <v>0</v>
      </c>
      <c r="E22" s="240">
        <v>921</v>
      </c>
    </row>
    <row r="23" spans="1:5" ht="156" customHeight="1">
      <c r="A23" s="199" t="s">
        <v>801</v>
      </c>
      <c r="B23" s="229" t="s">
        <v>800</v>
      </c>
      <c r="C23" s="235">
        <f>C24</f>
        <v>0</v>
      </c>
      <c r="D23" s="235">
        <f>D24</f>
        <v>20613.5</v>
      </c>
    </row>
    <row r="24" spans="1:5" ht="150.75" customHeight="1">
      <c r="A24" s="199" t="s">
        <v>803</v>
      </c>
      <c r="B24" s="229" t="s">
        <v>802</v>
      </c>
      <c r="C24" s="235">
        <v>0</v>
      </c>
      <c r="D24" s="235">
        <v>20613.5</v>
      </c>
      <c r="E24" s="240">
        <v>902</v>
      </c>
    </row>
    <row r="25" spans="1:5" ht="110.25" customHeight="1">
      <c r="A25" s="199" t="s">
        <v>806</v>
      </c>
      <c r="B25" s="229" t="s">
        <v>808</v>
      </c>
      <c r="C25" s="235">
        <f>C26</f>
        <v>0</v>
      </c>
      <c r="D25" s="235">
        <f>D26</f>
        <v>5153.3999999999996</v>
      </c>
    </row>
    <row r="26" spans="1:5" ht="111.75" customHeight="1">
      <c r="A26" s="199" t="s">
        <v>807</v>
      </c>
      <c r="B26" s="229" t="s">
        <v>809</v>
      </c>
      <c r="C26" s="235">
        <v>0</v>
      </c>
      <c r="D26" s="235">
        <v>5153.3999999999996</v>
      </c>
      <c r="E26" s="240">
        <v>902</v>
      </c>
    </row>
    <row r="27" spans="1:5" s="212" customFormat="1" ht="56.25" customHeight="1">
      <c r="A27" s="197" t="s">
        <v>887</v>
      </c>
      <c r="B27" s="230" t="s">
        <v>888</v>
      </c>
      <c r="C27" s="234">
        <f>C28</f>
        <v>0</v>
      </c>
      <c r="D27" s="234">
        <f>D28</f>
        <v>3579.1</v>
      </c>
      <c r="E27" s="240"/>
    </row>
    <row r="28" spans="1:5" s="212" customFormat="1" ht="64.5" customHeight="1">
      <c r="A28" s="197" t="s">
        <v>889</v>
      </c>
      <c r="B28" s="230" t="s">
        <v>890</v>
      </c>
      <c r="C28" s="234">
        <v>0</v>
      </c>
      <c r="D28" s="234">
        <v>3579.1</v>
      </c>
      <c r="E28" s="240">
        <v>929</v>
      </c>
    </row>
    <row r="29" spans="1:5" s="212" customFormat="1" ht="75">
      <c r="A29" s="197" t="s">
        <v>767</v>
      </c>
      <c r="B29" s="230" t="s">
        <v>768</v>
      </c>
      <c r="C29" s="234">
        <f>C30</f>
        <v>56167.5</v>
      </c>
      <c r="D29" s="234">
        <f>D30</f>
        <v>54805.599999999999</v>
      </c>
      <c r="E29" s="240"/>
    </row>
    <row r="30" spans="1:5" s="212" customFormat="1" ht="93.75">
      <c r="A30" s="197" t="s">
        <v>760</v>
      </c>
      <c r="B30" s="230" t="s">
        <v>761</v>
      </c>
      <c r="C30" s="234">
        <v>56167.5</v>
      </c>
      <c r="D30" s="234">
        <v>54805.599999999999</v>
      </c>
      <c r="E30" s="240">
        <v>925</v>
      </c>
    </row>
    <row r="31" spans="1:5">
      <c r="A31" s="197" t="s">
        <v>557</v>
      </c>
      <c r="B31" s="230" t="s">
        <v>357</v>
      </c>
      <c r="C31" s="234">
        <f>C32</f>
        <v>9773.6</v>
      </c>
      <c r="D31" s="234">
        <f>D32</f>
        <v>1919.8</v>
      </c>
    </row>
    <row r="32" spans="1:5" ht="37.5">
      <c r="A32" s="197" t="s">
        <v>542</v>
      </c>
      <c r="B32" s="230" t="s">
        <v>358</v>
      </c>
      <c r="C32" s="234">
        <f>SUM(C33:C36)</f>
        <v>9773.6</v>
      </c>
      <c r="D32" s="234">
        <f>SUM(D33:D36)</f>
        <v>1919.8</v>
      </c>
    </row>
    <row r="33" spans="1:5" ht="93" customHeight="1">
      <c r="A33" s="220"/>
      <c r="B33" s="627" t="s">
        <v>1018</v>
      </c>
      <c r="C33" s="236">
        <v>740</v>
      </c>
      <c r="D33" s="236">
        <v>740</v>
      </c>
      <c r="E33" s="240">
        <v>902</v>
      </c>
    </row>
    <row r="34" spans="1:5" ht="72.75" customHeight="1">
      <c r="A34" s="220"/>
      <c r="B34" s="627" t="s">
        <v>607</v>
      </c>
      <c r="C34" s="236">
        <v>8140.7</v>
      </c>
      <c r="D34" s="236">
        <v>1139.8</v>
      </c>
      <c r="E34" s="240">
        <v>925</v>
      </c>
    </row>
    <row r="35" spans="1:5" ht="281.25">
      <c r="A35" s="220"/>
      <c r="B35" s="626" t="s">
        <v>1023</v>
      </c>
      <c r="C35" s="236">
        <v>40</v>
      </c>
      <c r="D35" s="236">
        <v>40</v>
      </c>
      <c r="E35" s="240">
        <v>926</v>
      </c>
    </row>
    <row r="36" spans="1:5" ht="56.25">
      <c r="A36" s="220"/>
      <c r="B36" s="626" t="s">
        <v>581</v>
      </c>
      <c r="C36" s="236">
        <v>852.9</v>
      </c>
      <c r="D36" s="236">
        <v>0</v>
      </c>
      <c r="E36" s="240">
        <v>929</v>
      </c>
    </row>
    <row r="37" spans="1:5" ht="37.5">
      <c r="A37" s="199" t="s">
        <v>558</v>
      </c>
      <c r="B37" s="229" t="s">
        <v>411</v>
      </c>
      <c r="C37" s="234">
        <f>C38+C62+C66+C68+C70</f>
        <v>778136.9</v>
      </c>
      <c r="D37" s="234">
        <f>D38+D62+D66+D68+D70</f>
        <v>779505.9</v>
      </c>
    </row>
    <row r="38" spans="1:5" ht="39.75" customHeight="1">
      <c r="A38" s="199" t="s">
        <v>559</v>
      </c>
      <c r="B38" s="229" t="s">
        <v>38</v>
      </c>
      <c r="C38" s="234">
        <f>C39</f>
        <v>700815.3</v>
      </c>
      <c r="D38" s="234">
        <f>D39</f>
        <v>700904.40000000014</v>
      </c>
    </row>
    <row r="39" spans="1:5" ht="56.25">
      <c r="A39" s="199" t="s">
        <v>543</v>
      </c>
      <c r="B39" s="229" t="s">
        <v>39</v>
      </c>
      <c r="C39" s="234">
        <f>SUM(C40:C50)+SUM(C52:C57)+C60+C61</f>
        <v>700815.3</v>
      </c>
      <c r="D39" s="234">
        <f>SUM(D40:D50)+SUM(D52:D57)+D60+D61</f>
        <v>700904.40000000014</v>
      </c>
    </row>
    <row r="40" spans="1:5" ht="183.75" customHeight="1">
      <c r="A40" s="199"/>
      <c r="B40" s="626" t="s">
        <v>600</v>
      </c>
      <c r="C40" s="236">
        <v>250</v>
      </c>
      <c r="D40" s="236">
        <v>250</v>
      </c>
      <c r="E40" s="240">
        <v>929</v>
      </c>
    </row>
    <row r="41" spans="1:5" ht="75.75" customHeight="1">
      <c r="A41" s="199"/>
      <c r="B41" s="627" t="s">
        <v>40</v>
      </c>
      <c r="C41" s="237">
        <v>3441.6</v>
      </c>
      <c r="D41" s="237">
        <v>3441.6</v>
      </c>
      <c r="E41" s="240">
        <v>902</v>
      </c>
    </row>
    <row r="42" spans="1:5" ht="56.25">
      <c r="A42" s="199"/>
      <c r="B42" s="627" t="s">
        <v>601</v>
      </c>
      <c r="C42" s="237">
        <v>11707.3</v>
      </c>
      <c r="D42" s="237">
        <f>11729.7-22.4</f>
        <v>11707.300000000001</v>
      </c>
      <c r="E42" s="240">
        <v>902</v>
      </c>
    </row>
    <row r="43" spans="1:5" ht="75">
      <c r="A43" s="220"/>
      <c r="B43" s="627" t="s">
        <v>301</v>
      </c>
      <c r="C43" s="237">
        <v>2399</v>
      </c>
      <c r="D43" s="237">
        <v>2399</v>
      </c>
      <c r="E43" s="240">
        <v>925</v>
      </c>
    </row>
    <row r="44" spans="1:5" ht="182.25" customHeight="1">
      <c r="A44" s="199"/>
      <c r="B44" s="627" t="s">
        <v>602</v>
      </c>
      <c r="C44" s="237">
        <v>636.5</v>
      </c>
      <c r="D44" s="237">
        <v>636.5</v>
      </c>
      <c r="E44" s="240">
        <v>902</v>
      </c>
    </row>
    <row r="45" spans="1:5" s="221" customFormat="1" ht="92.25" customHeight="1">
      <c r="A45" s="231"/>
      <c r="B45" s="627" t="s">
        <v>41</v>
      </c>
      <c r="C45" s="237">
        <v>66</v>
      </c>
      <c r="D45" s="237">
        <v>66</v>
      </c>
      <c r="E45" s="240">
        <v>902</v>
      </c>
    </row>
    <row r="46" spans="1:5" s="221" customFormat="1" ht="97.5" customHeight="1">
      <c r="A46" s="220"/>
      <c r="B46" s="627" t="s">
        <v>788</v>
      </c>
      <c r="C46" s="237">
        <v>636.70000000000005</v>
      </c>
      <c r="D46" s="237">
        <v>636.70000000000005</v>
      </c>
      <c r="E46" s="240">
        <v>953</v>
      </c>
    </row>
    <row r="47" spans="1:5" s="221" customFormat="1" ht="59.25" customHeight="1">
      <c r="A47" s="220"/>
      <c r="B47" s="627" t="s">
        <v>335</v>
      </c>
      <c r="C47" s="237">
        <v>6084</v>
      </c>
      <c r="D47" s="237">
        <v>6084</v>
      </c>
      <c r="E47" s="240">
        <v>953</v>
      </c>
    </row>
    <row r="48" spans="1:5" s="221" customFormat="1" ht="128.25" customHeight="1">
      <c r="A48" s="220"/>
      <c r="B48" s="627" t="s">
        <v>435</v>
      </c>
      <c r="C48" s="237">
        <v>10.1</v>
      </c>
      <c r="D48" s="237">
        <v>10.1</v>
      </c>
      <c r="E48" s="240">
        <v>953</v>
      </c>
    </row>
    <row r="49" spans="1:5" s="221" customFormat="1" ht="166.5" customHeight="1">
      <c r="A49" s="199"/>
      <c r="B49" s="627" t="s">
        <v>603</v>
      </c>
      <c r="C49" s="237">
        <v>66</v>
      </c>
      <c r="D49" s="237">
        <v>66</v>
      </c>
      <c r="E49" s="240">
        <v>902</v>
      </c>
    </row>
    <row r="50" spans="1:5" s="221" customFormat="1" ht="168.75" customHeight="1">
      <c r="A50" s="220"/>
      <c r="B50" s="627" t="s">
        <v>304</v>
      </c>
      <c r="C50" s="237">
        <f>C51</f>
        <v>2263.8000000000002</v>
      </c>
      <c r="D50" s="237">
        <f>D51</f>
        <v>2342.6999999999998</v>
      </c>
      <c r="E50" s="240"/>
    </row>
    <row r="51" spans="1:5" s="221" customFormat="1" ht="69.75" customHeight="1">
      <c r="A51" s="220" t="s">
        <v>300</v>
      </c>
      <c r="B51" s="627" t="s">
        <v>604</v>
      </c>
      <c r="C51" s="237">
        <v>2263.8000000000002</v>
      </c>
      <c r="D51" s="237">
        <v>2342.6999999999998</v>
      </c>
      <c r="E51" s="240">
        <v>925</v>
      </c>
    </row>
    <row r="52" spans="1:5" s="221" customFormat="1" ht="95.25" customHeight="1">
      <c r="A52" s="220"/>
      <c r="B52" s="627" t="s">
        <v>438</v>
      </c>
      <c r="C52" s="237">
        <v>252.9</v>
      </c>
      <c r="D52" s="237">
        <v>263.10000000000002</v>
      </c>
      <c r="E52" s="240">
        <v>953</v>
      </c>
    </row>
    <row r="53" spans="1:5" ht="114.75" customHeight="1">
      <c r="A53" s="220"/>
      <c r="B53" s="627" t="s">
        <v>434</v>
      </c>
      <c r="C53" s="237">
        <v>346.7</v>
      </c>
      <c r="D53" s="237">
        <v>346.7</v>
      </c>
      <c r="E53" s="240">
        <v>953</v>
      </c>
    </row>
    <row r="54" spans="1:5" ht="148.5" customHeight="1">
      <c r="A54" s="220"/>
      <c r="B54" s="627" t="s">
        <v>487</v>
      </c>
      <c r="C54" s="237">
        <v>30934.1</v>
      </c>
      <c r="D54" s="737">
        <f>32480.4-1546.3</f>
        <v>30934.100000000002</v>
      </c>
      <c r="E54" s="240">
        <v>921</v>
      </c>
    </row>
    <row r="55" spans="1:5" ht="245.25" customHeight="1">
      <c r="A55" s="220"/>
      <c r="B55" s="627" t="s">
        <v>730</v>
      </c>
      <c r="C55" s="237">
        <v>871</v>
      </c>
      <c r="D55" s="237">
        <v>871</v>
      </c>
      <c r="E55" s="240">
        <v>953</v>
      </c>
    </row>
    <row r="56" spans="1:5" ht="153" customHeight="1">
      <c r="A56" s="199"/>
      <c r="B56" s="627" t="s">
        <v>686</v>
      </c>
      <c r="C56" s="237">
        <v>187.9</v>
      </c>
      <c r="D56" s="237">
        <v>187.9</v>
      </c>
      <c r="E56" s="240">
        <v>902</v>
      </c>
    </row>
    <row r="57" spans="1:5" ht="96.75" customHeight="1">
      <c r="A57" s="220"/>
      <c r="B57" s="627" t="s">
        <v>414</v>
      </c>
      <c r="C57" s="237">
        <f>SUM(C58:C59)</f>
        <v>631553.80000000005</v>
      </c>
      <c r="D57" s="237">
        <f>SUM(D58:D59)</f>
        <v>631553.80000000005</v>
      </c>
    </row>
    <row r="58" spans="1:5" ht="20.25" customHeight="1">
      <c r="A58" s="220" t="s">
        <v>300</v>
      </c>
      <c r="B58" s="627" t="s">
        <v>302</v>
      </c>
      <c r="C58" s="235">
        <v>212697.8</v>
      </c>
      <c r="D58" s="235">
        <v>212697.8</v>
      </c>
      <c r="E58" s="240">
        <v>925</v>
      </c>
    </row>
    <row r="59" spans="1:5">
      <c r="A59" s="220"/>
      <c r="B59" s="628" t="s">
        <v>303</v>
      </c>
      <c r="C59" s="235">
        <v>418856</v>
      </c>
      <c r="D59" s="235">
        <v>418856</v>
      </c>
      <c r="E59" s="240">
        <v>925</v>
      </c>
    </row>
    <row r="60" spans="1:5" ht="224.25" customHeight="1">
      <c r="A60" s="220"/>
      <c r="B60" s="629" t="s">
        <v>884</v>
      </c>
      <c r="C60" s="237">
        <v>2358</v>
      </c>
      <c r="D60" s="237">
        <v>2358</v>
      </c>
      <c r="E60" s="240">
        <v>925</v>
      </c>
    </row>
    <row r="61" spans="1:5" ht="114.75" customHeight="1">
      <c r="A61" s="220"/>
      <c r="B61" s="627" t="s">
        <v>735</v>
      </c>
      <c r="C61" s="237">
        <v>6749.9</v>
      </c>
      <c r="D61" s="237">
        <v>6749.9</v>
      </c>
      <c r="E61" s="240">
        <v>925</v>
      </c>
    </row>
    <row r="62" spans="1:5" ht="56.25">
      <c r="A62" s="197" t="s">
        <v>560</v>
      </c>
      <c r="B62" s="230" t="s">
        <v>336</v>
      </c>
      <c r="C62" s="238">
        <f>C63</f>
        <v>59920.4</v>
      </c>
      <c r="D62" s="238">
        <f>D63</f>
        <v>61293</v>
      </c>
    </row>
    <row r="63" spans="1:5" ht="75">
      <c r="A63" s="197" t="s">
        <v>552</v>
      </c>
      <c r="B63" s="230" t="s">
        <v>337</v>
      </c>
      <c r="C63" s="238">
        <f>SUM(C64:C65)</f>
        <v>59920.4</v>
      </c>
      <c r="D63" s="238">
        <f>SUM(D64:D65)</f>
        <v>61293</v>
      </c>
    </row>
    <row r="64" spans="1:5" s="209" customFormat="1" ht="135" customHeight="1">
      <c r="A64" s="220"/>
      <c r="B64" s="627" t="s">
        <v>436</v>
      </c>
      <c r="C64" s="237">
        <v>34301.300000000003</v>
      </c>
      <c r="D64" s="237">
        <v>35673.9</v>
      </c>
      <c r="E64" s="240">
        <v>953</v>
      </c>
    </row>
    <row r="65" spans="1:5" s="209" customFormat="1" ht="90.75" customHeight="1">
      <c r="A65" s="220"/>
      <c r="B65" s="626" t="s">
        <v>437</v>
      </c>
      <c r="C65" s="237">
        <v>25619.1</v>
      </c>
      <c r="D65" s="237">
        <v>25619.1</v>
      </c>
      <c r="E65" s="240">
        <v>953</v>
      </c>
    </row>
    <row r="66" spans="1:5" s="209" customFormat="1" ht="98.25" customHeight="1">
      <c r="A66" s="197" t="s">
        <v>561</v>
      </c>
      <c r="B66" s="229" t="s">
        <v>299</v>
      </c>
      <c r="C66" s="238">
        <f>C67</f>
        <v>8034.2</v>
      </c>
      <c r="D66" s="238">
        <f>D67</f>
        <v>8034.2</v>
      </c>
      <c r="E66" s="240" t="s">
        <v>471</v>
      </c>
    </row>
    <row r="67" spans="1:5" ht="93" customHeight="1">
      <c r="A67" s="197" t="s">
        <v>551</v>
      </c>
      <c r="B67" s="229" t="s">
        <v>24</v>
      </c>
      <c r="C67" s="238">
        <v>8034.2</v>
      </c>
      <c r="D67" s="238">
        <v>8034.2</v>
      </c>
      <c r="E67" s="241">
        <v>925</v>
      </c>
    </row>
    <row r="68" spans="1:5" ht="79.5" customHeight="1">
      <c r="A68" s="197" t="s">
        <v>605</v>
      </c>
      <c r="B68" s="229" t="s">
        <v>606</v>
      </c>
      <c r="C68" s="238">
        <f>C69</f>
        <v>9268.6</v>
      </c>
      <c r="D68" s="238">
        <f>D69</f>
        <v>9268.6</v>
      </c>
      <c r="E68" s="241"/>
    </row>
    <row r="69" spans="1:5" ht="77.25" customHeight="1">
      <c r="A69" s="197" t="s">
        <v>548</v>
      </c>
      <c r="B69" s="229" t="s">
        <v>19</v>
      </c>
      <c r="C69" s="238">
        <v>9268.6</v>
      </c>
      <c r="D69" s="238">
        <v>9268.6</v>
      </c>
      <c r="E69" s="241">
        <v>921</v>
      </c>
    </row>
    <row r="70" spans="1:5" ht="75">
      <c r="A70" s="199" t="s">
        <v>562</v>
      </c>
      <c r="B70" s="614" t="s">
        <v>486</v>
      </c>
      <c r="C70" s="234">
        <f>C71</f>
        <v>98.4</v>
      </c>
      <c r="D70" s="234">
        <f>D71</f>
        <v>5.7</v>
      </c>
    </row>
    <row r="71" spans="1:5" ht="75" customHeight="1">
      <c r="A71" s="199" t="s">
        <v>544</v>
      </c>
      <c r="B71" s="614" t="s">
        <v>455</v>
      </c>
      <c r="C71" s="234">
        <v>98.4</v>
      </c>
      <c r="D71" s="234">
        <v>5.7</v>
      </c>
      <c r="E71" s="240">
        <v>902</v>
      </c>
    </row>
    <row r="72" spans="1:5" ht="28.5" customHeight="1">
      <c r="A72" s="199" t="s">
        <v>579</v>
      </c>
      <c r="B72" s="614" t="s">
        <v>689</v>
      </c>
      <c r="C72" s="234">
        <f>C73</f>
        <v>36560.199999999997</v>
      </c>
      <c r="D72" s="234">
        <f>D73</f>
        <v>36560.199999999997</v>
      </c>
    </row>
    <row r="73" spans="1:5" ht="90.75" customHeight="1">
      <c r="A73" s="199" t="s">
        <v>885</v>
      </c>
      <c r="B73" s="614" t="s">
        <v>886</v>
      </c>
      <c r="C73" s="234">
        <f>C74</f>
        <v>36560.199999999997</v>
      </c>
      <c r="D73" s="234">
        <f>D74</f>
        <v>36560.199999999997</v>
      </c>
    </row>
    <row r="74" spans="1:5" ht="96" customHeight="1">
      <c r="A74" s="199" t="s">
        <v>759</v>
      </c>
      <c r="B74" s="614" t="s">
        <v>793</v>
      </c>
      <c r="C74" s="234">
        <v>36560.199999999997</v>
      </c>
      <c r="D74" s="234">
        <v>36560.199999999997</v>
      </c>
      <c r="E74" s="240">
        <v>925</v>
      </c>
    </row>
    <row r="75" spans="1:5">
      <c r="A75" s="246"/>
      <c r="B75" s="388"/>
      <c r="C75" s="389"/>
      <c r="D75" s="389"/>
    </row>
    <row r="76" spans="1:5">
      <c r="A76" s="222"/>
      <c r="B76" s="223"/>
      <c r="C76" s="224"/>
    </row>
    <row r="77" spans="1:5">
      <c r="A77" s="204" t="s">
        <v>467</v>
      </c>
      <c r="B77" s="205"/>
      <c r="C77" s="206"/>
      <c r="D77" s="206"/>
      <c r="E77" s="522"/>
    </row>
    <row r="78" spans="1:5">
      <c r="A78" s="204" t="s">
        <v>468</v>
      </c>
      <c r="B78" s="205"/>
      <c r="C78" s="206"/>
      <c r="D78" s="206"/>
      <c r="E78" s="522"/>
    </row>
    <row r="79" spans="1:5">
      <c r="A79" s="210" t="s">
        <v>469</v>
      </c>
      <c r="B79" s="205"/>
      <c r="C79" s="209"/>
      <c r="D79" s="211" t="s">
        <v>494</v>
      </c>
      <c r="E79" s="522"/>
    </row>
    <row r="413" spans="9:10">
      <c r="I413" s="192">
        <v>135.4</v>
      </c>
      <c r="J413" s="192">
        <v>140.9</v>
      </c>
    </row>
    <row r="414" spans="9:10">
      <c r="I414" s="192">
        <v>27088.9</v>
      </c>
      <c r="J414" s="192">
        <v>28171.4</v>
      </c>
    </row>
  </sheetData>
  <autoFilter ref="A12:J74"/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6692913385826772" bottom="0.39370078740157483" header="0.31496062992125984" footer="0"/>
  <pageSetup paperSize="9" scale="67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N56"/>
  <sheetViews>
    <sheetView zoomScaleSheetLayoutView="85" workbookViewId="0">
      <selection activeCell="C2" sqref="C2"/>
    </sheetView>
  </sheetViews>
  <sheetFormatPr defaultColWidth="9.140625" defaultRowHeight="18.75"/>
  <cols>
    <col min="1" max="1" width="28.140625" style="3" customWidth="1"/>
    <col min="2" max="2" width="78.7109375" style="3" customWidth="1"/>
    <col min="3" max="3" width="16" style="4" customWidth="1"/>
    <col min="4" max="4" width="17.42578125" style="4" customWidth="1"/>
    <col min="5" max="5" width="15.140625" style="4" customWidth="1"/>
    <col min="6" max="6" width="14.28515625" style="12" customWidth="1"/>
    <col min="7" max="7" width="14.5703125" style="3" customWidth="1"/>
    <col min="8" max="8" width="20.7109375" style="3" customWidth="1"/>
    <col min="9" max="9" width="30.7109375" style="3" customWidth="1"/>
    <col min="10" max="16384" width="9.140625" style="3"/>
  </cols>
  <sheetData>
    <row r="1" spans="1:8" s="616" customFormat="1">
      <c r="C1" s="49" t="s">
        <v>470</v>
      </c>
      <c r="D1" s="4"/>
      <c r="E1" s="4"/>
      <c r="F1" s="12"/>
    </row>
    <row r="2" spans="1:8" s="616" customFormat="1">
      <c r="C2" s="49" t="s">
        <v>1032</v>
      </c>
      <c r="D2" s="4"/>
      <c r="E2" s="4"/>
      <c r="F2" s="12"/>
    </row>
    <row r="3" spans="1:8" s="616" customFormat="1">
      <c r="C3" s="4"/>
      <c r="D3" s="4"/>
      <c r="E3" s="4"/>
      <c r="F3" s="12"/>
    </row>
    <row r="4" spans="1:8">
      <c r="C4" s="49" t="s">
        <v>470</v>
      </c>
    </row>
    <row r="5" spans="1:8">
      <c r="C5" s="495" t="s">
        <v>917</v>
      </c>
    </row>
    <row r="6" spans="1:8" ht="12.75" customHeight="1"/>
    <row r="7" spans="1:8" ht="12.75" customHeight="1">
      <c r="F7" s="5"/>
    </row>
    <row r="8" spans="1:8" ht="84.75" customHeight="1">
      <c r="A8" s="946" t="s">
        <v>780</v>
      </c>
      <c r="B8" s="946"/>
      <c r="C8" s="946"/>
      <c r="D8" s="378"/>
      <c r="E8" s="378"/>
      <c r="F8" s="378"/>
      <c r="G8" s="7"/>
      <c r="H8" s="7"/>
    </row>
    <row r="9" spans="1:8" ht="14.25" customHeight="1">
      <c r="A9" s="379"/>
      <c r="B9" s="379"/>
      <c r="C9" s="378"/>
      <c r="D9" s="378"/>
      <c r="E9" s="378"/>
      <c r="F9" s="378"/>
      <c r="G9" s="7"/>
      <c r="H9" s="7"/>
    </row>
    <row r="10" spans="1:8">
      <c r="C10" s="8" t="s">
        <v>42</v>
      </c>
      <c r="F10" s="8"/>
    </row>
    <row r="11" spans="1:8" s="192" customFormat="1">
      <c r="A11" s="199" t="s">
        <v>31</v>
      </c>
      <c r="B11" s="199" t="s">
        <v>32</v>
      </c>
      <c r="C11" s="215" t="s">
        <v>33</v>
      </c>
      <c r="D11" s="212"/>
    </row>
    <row r="12" spans="1:8" s="192" customFormat="1">
      <c r="A12" s="199">
        <v>1</v>
      </c>
      <c r="B12" s="199">
        <v>2</v>
      </c>
      <c r="C12" s="217">
        <v>3</v>
      </c>
      <c r="D12" s="212"/>
    </row>
    <row r="13" spans="1:8" s="192" customFormat="1">
      <c r="A13" s="202" t="s">
        <v>34</v>
      </c>
      <c r="B13" s="218" t="s">
        <v>367</v>
      </c>
      <c r="C13" s="219">
        <f>C14</f>
        <v>2062.6</v>
      </c>
      <c r="D13" s="239"/>
    </row>
    <row r="14" spans="1:8" s="192" customFormat="1" ht="37.5">
      <c r="A14" s="199" t="s">
        <v>35</v>
      </c>
      <c r="B14" s="229" t="s">
        <v>36</v>
      </c>
      <c r="C14" s="234">
        <f>C15</f>
        <v>2062.6</v>
      </c>
      <c r="D14" s="239"/>
    </row>
    <row r="15" spans="1:8">
      <c r="A15" s="15" t="s">
        <v>579</v>
      </c>
      <c r="B15" s="66" t="s">
        <v>689</v>
      </c>
      <c r="C15" s="380">
        <f>C16</f>
        <v>2062.6</v>
      </c>
      <c r="D15" s="3"/>
      <c r="E15" s="3"/>
      <c r="F15" s="3"/>
    </row>
    <row r="16" spans="1:8" ht="75">
      <c r="A16" s="15" t="s">
        <v>690</v>
      </c>
      <c r="B16" s="66" t="s">
        <v>691</v>
      </c>
      <c r="C16" s="380">
        <f>C17</f>
        <v>2062.6</v>
      </c>
      <c r="D16" s="3"/>
      <c r="E16" s="3"/>
      <c r="F16" s="3"/>
    </row>
    <row r="17" spans="1:6" ht="93.75">
      <c r="A17" s="15" t="s">
        <v>547</v>
      </c>
      <c r="B17" s="66" t="s">
        <v>16</v>
      </c>
      <c r="C17" s="380">
        <f>C18+C31+C41</f>
        <v>2062.6</v>
      </c>
      <c r="D17" s="3"/>
      <c r="E17" s="3"/>
      <c r="F17" s="3"/>
    </row>
    <row r="18" spans="1:6" ht="37.5">
      <c r="A18" s="15"/>
      <c r="B18" s="66" t="s">
        <v>258</v>
      </c>
      <c r="C18" s="71">
        <f>SUM(C19:C30)</f>
        <v>914.3</v>
      </c>
      <c r="D18" s="3"/>
      <c r="E18" s="3"/>
      <c r="F18" s="3"/>
    </row>
    <row r="19" spans="1:6">
      <c r="A19" s="15"/>
      <c r="B19" s="381" t="s">
        <v>370</v>
      </c>
      <c r="C19" s="382">
        <v>475</v>
      </c>
      <c r="D19" s="3"/>
      <c r="E19" s="3"/>
      <c r="F19" s="3"/>
    </row>
    <row r="20" spans="1:6">
      <c r="A20" s="15"/>
      <c r="B20" s="381" t="s">
        <v>371</v>
      </c>
      <c r="C20" s="382">
        <v>75.900000000000006</v>
      </c>
      <c r="D20" s="3"/>
      <c r="E20" s="3"/>
      <c r="F20" s="3"/>
    </row>
    <row r="21" spans="1:6">
      <c r="A21" s="15"/>
      <c r="B21" s="381" t="s">
        <v>372</v>
      </c>
      <c r="C21" s="382">
        <v>164.7</v>
      </c>
      <c r="D21" s="3"/>
      <c r="E21" s="3"/>
      <c r="F21" s="3"/>
    </row>
    <row r="22" spans="1:6">
      <c r="A22" s="15"/>
      <c r="B22" s="381" t="s">
        <v>373</v>
      </c>
      <c r="C22" s="382">
        <v>42</v>
      </c>
      <c r="D22" s="3"/>
      <c r="E22" s="3"/>
      <c r="F22" s="3"/>
    </row>
    <row r="23" spans="1:6">
      <c r="A23" s="15"/>
      <c r="B23" s="381" t="s">
        <v>283</v>
      </c>
      <c r="C23" s="382">
        <v>27.3</v>
      </c>
      <c r="D23" s="3"/>
      <c r="E23" s="3"/>
      <c r="F23" s="3"/>
    </row>
    <row r="24" spans="1:6">
      <c r="A24" s="15"/>
      <c r="B24" s="381" t="s">
        <v>374</v>
      </c>
      <c r="C24" s="382">
        <v>18.7</v>
      </c>
      <c r="D24" s="3"/>
      <c r="E24" s="3"/>
      <c r="F24" s="3"/>
    </row>
    <row r="25" spans="1:6">
      <c r="A25" s="15"/>
      <c r="B25" s="381" t="s">
        <v>375</v>
      </c>
      <c r="C25" s="382">
        <v>23.7</v>
      </c>
      <c r="D25" s="3"/>
      <c r="E25" s="3"/>
      <c r="F25" s="3"/>
    </row>
    <row r="26" spans="1:6">
      <c r="A26" s="15"/>
      <c r="B26" s="381" t="s">
        <v>285</v>
      </c>
      <c r="C26" s="382">
        <v>26.7</v>
      </c>
      <c r="D26" s="3"/>
      <c r="E26" s="3"/>
      <c r="F26" s="3"/>
    </row>
    <row r="27" spans="1:6">
      <c r="A27" s="15"/>
      <c r="B27" s="381" t="s">
        <v>286</v>
      </c>
      <c r="C27" s="382">
        <v>14.5</v>
      </c>
      <c r="D27" s="3"/>
      <c r="E27" s="3"/>
      <c r="F27" s="3"/>
    </row>
    <row r="28" spans="1:6">
      <c r="A28" s="15"/>
      <c r="B28" s="381" t="s">
        <v>287</v>
      </c>
      <c r="C28" s="382">
        <v>7.5</v>
      </c>
      <c r="D28" s="3"/>
      <c r="E28" s="3"/>
      <c r="F28" s="3"/>
    </row>
    <row r="29" spans="1:6">
      <c r="A29" s="15"/>
      <c r="B29" s="381" t="s">
        <v>288</v>
      </c>
      <c r="C29" s="382">
        <v>20.8</v>
      </c>
      <c r="D29" s="3"/>
      <c r="E29" s="3"/>
      <c r="F29" s="3"/>
    </row>
    <row r="30" spans="1:6">
      <c r="A30" s="15"/>
      <c r="B30" s="381" t="s">
        <v>289</v>
      </c>
      <c r="C30" s="382">
        <v>17.5</v>
      </c>
      <c r="D30" s="3"/>
      <c r="E30" s="3"/>
      <c r="F30" s="3"/>
    </row>
    <row r="31" spans="1:6" ht="37.5">
      <c r="A31" s="15"/>
      <c r="B31" s="66" t="s">
        <v>237</v>
      </c>
      <c r="C31" s="71">
        <f>SUM(C32:C40)</f>
        <v>441</v>
      </c>
      <c r="D31" s="3"/>
      <c r="E31" s="3"/>
      <c r="F31" s="3"/>
    </row>
    <row r="32" spans="1:6">
      <c r="A32" s="15"/>
      <c r="B32" s="381" t="s">
        <v>371</v>
      </c>
      <c r="C32" s="382">
        <v>70</v>
      </c>
      <c r="D32" s="3"/>
      <c r="E32" s="3"/>
      <c r="F32" s="3"/>
    </row>
    <row r="33" spans="1:9">
      <c r="A33" s="15"/>
      <c r="B33" s="381" t="s">
        <v>373</v>
      </c>
      <c r="C33" s="382">
        <v>60</v>
      </c>
      <c r="D33" s="3"/>
      <c r="E33" s="3"/>
      <c r="F33" s="3"/>
    </row>
    <row r="34" spans="1:9">
      <c r="A34" s="15"/>
      <c r="B34" s="381" t="s">
        <v>283</v>
      </c>
      <c r="C34" s="382">
        <v>100</v>
      </c>
      <c r="D34" s="3"/>
      <c r="E34" s="3"/>
      <c r="F34" s="3"/>
    </row>
    <row r="35" spans="1:9">
      <c r="A35" s="15"/>
      <c r="B35" s="381" t="s">
        <v>374</v>
      </c>
      <c r="C35" s="382">
        <v>66</v>
      </c>
      <c r="D35" s="3"/>
      <c r="E35" s="3"/>
      <c r="F35" s="3"/>
    </row>
    <row r="36" spans="1:9">
      <c r="A36" s="15"/>
      <c r="B36" s="381" t="s">
        <v>375</v>
      </c>
      <c r="C36" s="382">
        <v>15</v>
      </c>
      <c r="D36" s="3"/>
      <c r="E36" s="3"/>
      <c r="F36" s="3"/>
    </row>
    <row r="37" spans="1:9">
      <c r="A37" s="15"/>
      <c r="B37" s="381" t="s">
        <v>285</v>
      </c>
      <c r="C37" s="382">
        <v>15</v>
      </c>
      <c r="D37" s="3"/>
      <c r="E37" s="3"/>
      <c r="F37" s="3"/>
    </row>
    <row r="38" spans="1:9">
      <c r="A38" s="15"/>
      <c r="B38" s="381" t="s">
        <v>286</v>
      </c>
      <c r="C38" s="382">
        <v>55</v>
      </c>
      <c r="D38" s="3"/>
      <c r="E38" s="3"/>
      <c r="F38" s="3"/>
    </row>
    <row r="39" spans="1:9">
      <c r="A39" s="15"/>
      <c r="B39" s="381" t="s">
        <v>287</v>
      </c>
      <c r="C39" s="382">
        <v>5</v>
      </c>
      <c r="D39" s="3"/>
      <c r="E39" s="3"/>
      <c r="F39" s="3"/>
    </row>
    <row r="40" spans="1:9">
      <c r="A40" s="15"/>
      <c r="B40" s="381" t="s">
        <v>288</v>
      </c>
      <c r="C40" s="382">
        <v>55</v>
      </c>
      <c r="D40" s="3"/>
      <c r="E40" s="3"/>
      <c r="F40" s="3"/>
    </row>
    <row r="41" spans="1:9" ht="37.5">
      <c r="A41" s="15"/>
      <c r="B41" s="66" t="s">
        <v>463</v>
      </c>
      <c r="C41" s="71">
        <f>SUM(C42:C51)</f>
        <v>707.30000000000007</v>
      </c>
      <c r="D41" s="3"/>
      <c r="E41" s="3"/>
      <c r="F41" s="3"/>
    </row>
    <row r="42" spans="1:9">
      <c r="A42" s="15"/>
      <c r="B42" s="381" t="s">
        <v>370</v>
      </c>
      <c r="C42" s="382">
        <v>312.10000000000002</v>
      </c>
      <c r="D42" s="3"/>
      <c r="E42" s="3"/>
      <c r="F42" s="3"/>
    </row>
    <row r="43" spans="1:9">
      <c r="A43" s="383"/>
      <c r="B43" s="381" t="s">
        <v>372</v>
      </c>
      <c r="C43" s="382">
        <v>177</v>
      </c>
      <c r="F43" s="8"/>
    </row>
    <row r="44" spans="1:9">
      <c r="A44" s="383"/>
      <c r="B44" s="381" t="s">
        <v>373</v>
      </c>
      <c r="C44" s="382">
        <v>26.7</v>
      </c>
      <c r="F44" s="8"/>
    </row>
    <row r="45" spans="1:9">
      <c r="A45" s="383"/>
      <c r="B45" s="381" t="s">
        <v>283</v>
      </c>
      <c r="C45" s="382">
        <v>47.1</v>
      </c>
      <c r="F45" s="8"/>
    </row>
    <row r="46" spans="1:9">
      <c r="A46" s="383"/>
      <c r="B46" s="381" t="s">
        <v>374</v>
      </c>
      <c r="C46" s="382">
        <v>26.7</v>
      </c>
      <c r="F46" s="8"/>
    </row>
    <row r="47" spans="1:9">
      <c r="A47" s="383"/>
      <c r="B47" s="381" t="s">
        <v>375</v>
      </c>
      <c r="C47" s="382">
        <v>17.8</v>
      </c>
    </row>
    <row r="48" spans="1:9" s="24" customFormat="1">
      <c r="A48" s="384"/>
      <c r="B48" s="381" t="s">
        <v>286</v>
      </c>
      <c r="C48" s="382">
        <v>24.7</v>
      </c>
      <c r="D48" s="27"/>
      <c r="E48" s="27"/>
      <c r="F48" s="27"/>
      <c r="G48" s="28"/>
      <c r="H48" s="29"/>
      <c r="I48" s="25"/>
    </row>
    <row r="49" spans="1:14" s="24" customFormat="1">
      <c r="A49" s="384"/>
      <c r="B49" s="381" t="s">
        <v>287</v>
      </c>
      <c r="C49" s="382">
        <v>9.8000000000000007</v>
      </c>
      <c r="D49" s="27"/>
      <c r="E49" s="27"/>
      <c r="F49" s="27"/>
      <c r="G49" s="28"/>
      <c r="H49" s="29"/>
      <c r="I49" s="25"/>
    </row>
    <row r="50" spans="1:14" s="24" customFormat="1">
      <c r="A50" s="384"/>
      <c r="B50" s="381" t="s">
        <v>288</v>
      </c>
      <c r="C50" s="382">
        <v>39.6</v>
      </c>
      <c r="D50" s="27"/>
      <c r="E50" s="27"/>
      <c r="G50" s="28"/>
    </row>
    <row r="51" spans="1:14">
      <c r="A51" s="383"/>
      <c r="B51" s="381" t="s">
        <v>289</v>
      </c>
      <c r="C51" s="382">
        <v>25.8</v>
      </c>
    </row>
    <row r="52" spans="1:14" ht="14.25" customHeight="1">
      <c r="A52" s="385"/>
      <c r="B52" s="386"/>
      <c r="C52" s="387"/>
    </row>
    <row r="53" spans="1:14" ht="15" customHeight="1">
      <c r="G53" s="9"/>
      <c r="H53" s="9"/>
      <c r="I53" s="9"/>
      <c r="J53" s="11"/>
      <c r="K53" s="11"/>
      <c r="L53" s="11"/>
      <c r="M53" s="13"/>
      <c r="N53" s="11"/>
    </row>
    <row r="54" spans="1:14">
      <c r="A54" s="90" t="s">
        <v>467</v>
      </c>
      <c r="C54" s="23" t="s">
        <v>494</v>
      </c>
      <c r="D54" s="6"/>
      <c r="E54" s="6"/>
      <c r="F54" s="14"/>
    </row>
    <row r="55" spans="1:14">
      <c r="A55" s="90" t="s">
        <v>468</v>
      </c>
    </row>
    <row r="56" spans="1:14">
      <c r="A56" s="91" t="s">
        <v>469</v>
      </c>
    </row>
  </sheetData>
  <mergeCells count="1">
    <mergeCell ref="A8:C8"/>
  </mergeCells>
  <printOptions horizontalCentered="1"/>
  <pageMargins left="1.1811023622047245" right="0.39370078740157483" top="0.78740157480314965" bottom="0.78740157480314965" header="0" footer="0"/>
  <pageSetup paperSize="9" scale="69" fitToHeight="0" orientation="portrait" blackAndWhite="1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E70"/>
  <sheetViews>
    <sheetView zoomScale="80" zoomScaleNormal="80" zoomScaleSheetLayoutView="80" workbookViewId="0">
      <selection activeCell="E2" sqref="E2"/>
    </sheetView>
  </sheetViews>
  <sheetFormatPr defaultColWidth="9.140625" defaultRowHeight="18.75"/>
  <cols>
    <col min="1" max="1" width="16.7109375" style="701" customWidth="1"/>
    <col min="2" max="2" width="60.7109375" style="18" customWidth="1"/>
    <col min="3" max="3" width="12.85546875" style="18" customWidth="1"/>
    <col min="4" max="4" width="16.28515625" style="18" customWidth="1"/>
    <col min="5" max="5" width="15.7109375" style="20" customWidth="1"/>
    <col min="6" max="6" width="8.140625" style="18" customWidth="1"/>
    <col min="7" max="7" width="22.85546875" style="18" customWidth="1"/>
    <col min="8" max="16384" width="9.140625" style="18"/>
  </cols>
  <sheetData>
    <row r="1" spans="1:5" ht="18" customHeight="1">
      <c r="A1" s="947" t="s">
        <v>993</v>
      </c>
      <c r="B1" s="947"/>
      <c r="C1" s="947"/>
      <c r="D1" s="947"/>
      <c r="E1" s="947"/>
    </row>
    <row r="2" spans="1:5">
      <c r="A2" s="18"/>
      <c r="E2" s="495" t="s">
        <v>1033</v>
      </c>
    </row>
    <row r="4" spans="1:5" ht="18" customHeight="1">
      <c r="A4" s="947" t="s">
        <v>577</v>
      </c>
      <c r="B4" s="947"/>
      <c r="C4" s="947"/>
      <c r="D4" s="947"/>
      <c r="E4" s="947"/>
    </row>
    <row r="5" spans="1:5">
      <c r="A5" s="18"/>
      <c r="E5" s="495" t="s">
        <v>917</v>
      </c>
    </row>
    <row r="6" spans="1:5">
      <c r="B6" s="19"/>
      <c r="C6" s="19"/>
      <c r="D6" s="19"/>
    </row>
    <row r="7" spans="1:5">
      <c r="A7" s="953" t="s">
        <v>498</v>
      </c>
      <c r="B7" s="951"/>
      <c r="C7" s="951"/>
      <c r="D7" s="951"/>
      <c r="E7" s="951"/>
    </row>
    <row r="8" spans="1:5">
      <c r="A8" s="953" t="s">
        <v>499</v>
      </c>
      <c r="B8" s="951"/>
      <c r="C8" s="951"/>
      <c r="D8" s="951"/>
      <c r="E8" s="951"/>
    </row>
    <row r="9" spans="1:5">
      <c r="A9" s="953" t="s">
        <v>787</v>
      </c>
      <c r="B9" s="951"/>
      <c r="C9" s="951"/>
      <c r="D9" s="951"/>
      <c r="E9" s="951"/>
    </row>
    <row r="10" spans="1:5">
      <c r="B10" s="697"/>
      <c r="C10" s="697"/>
      <c r="D10" s="697"/>
      <c r="E10" s="697"/>
    </row>
    <row r="11" spans="1:5">
      <c r="B11" s="19"/>
      <c r="E11" s="39" t="s">
        <v>567</v>
      </c>
    </row>
    <row r="12" spans="1:5" ht="56.25">
      <c r="A12" s="702" t="s">
        <v>31</v>
      </c>
      <c r="B12" s="698" t="s">
        <v>32</v>
      </c>
      <c r="C12" s="698" t="s">
        <v>500</v>
      </c>
      <c r="D12" s="698" t="s">
        <v>502</v>
      </c>
      <c r="E12" s="698" t="s">
        <v>501</v>
      </c>
    </row>
    <row r="13" spans="1:5">
      <c r="A13" s="703">
        <v>1</v>
      </c>
      <c r="B13" s="62">
        <v>2</v>
      </c>
      <c r="C13" s="62">
        <v>3</v>
      </c>
      <c r="D13" s="62">
        <v>4</v>
      </c>
      <c r="E13" s="63">
        <v>5</v>
      </c>
    </row>
    <row r="14" spans="1:5" ht="56.25">
      <c r="A14" s="704"/>
      <c r="B14" s="534" t="s">
        <v>503</v>
      </c>
      <c r="C14" s="535"/>
      <c r="D14" s="536"/>
      <c r="E14" s="537"/>
    </row>
    <row r="15" spans="1:5" ht="40.5" customHeight="1">
      <c r="A15" s="702" t="s">
        <v>928</v>
      </c>
      <c r="B15" s="538" t="s">
        <v>504</v>
      </c>
      <c r="C15" s="535">
        <v>100</v>
      </c>
      <c r="D15" s="539"/>
      <c r="E15" s="540"/>
    </row>
    <row r="16" spans="1:5" ht="42" customHeight="1">
      <c r="A16" s="702" t="s">
        <v>929</v>
      </c>
      <c r="B16" s="538" t="s">
        <v>505</v>
      </c>
      <c r="C16" s="535">
        <v>100</v>
      </c>
      <c r="D16" s="541"/>
      <c r="E16" s="542"/>
    </row>
    <row r="17" spans="1:5" ht="97.5" customHeight="1">
      <c r="A17" s="702" t="s">
        <v>930</v>
      </c>
      <c r="B17" s="538" t="s">
        <v>506</v>
      </c>
      <c r="C17" s="535">
        <v>100</v>
      </c>
      <c r="D17" s="543"/>
      <c r="E17" s="540"/>
    </row>
    <row r="18" spans="1:5" ht="62.25" customHeight="1">
      <c r="A18" s="702" t="s">
        <v>931</v>
      </c>
      <c r="B18" s="538" t="s">
        <v>507</v>
      </c>
      <c r="C18" s="535">
        <v>100</v>
      </c>
      <c r="D18" s="543"/>
      <c r="E18" s="540"/>
    </row>
    <row r="19" spans="1:5" ht="42" customHeight="1">
      <c r="A19" s="702" t="s">
        <v>932</v>
      </c>
      <c r="B19" s="538" t="s">
        <v>508</v>
      </c>
      <c r="C19" s="535">
        <v>100</v>
      </c>
      <c r="D19" s="543"/>
      <c r="E19" s="540"/>
    </row>
    <row r="20" spans="1:5" ht="45" customHeight="1">
      <c r="A20" s="702"/>
      <c r="B20" s="534" t="s">
        <v>509</v>
      </c>
      <c r="C20" s="544"/>
      <c r="D20" s="543"/>
      <c r="E20" s="540"/>
    </row>
    <row r="21" spans="1:5" ht="43.5" customHeight="1">
      <c r="A21" s="702" t="s">
        <v>933</v>
      </c>
      <c r="B21" s="538" t="s">
        <v>510</v>
      </c>
      <c r="C21" s="535" t="s">
        <v>70</v>
      </c>
      <c r="D21" s="543"/>
      <c r="E21" s="540"/>
    </row>
    <row r="22" spans="1:5" ht="42" customHeight="1">
      <c r="A22" s="702" t="s">
        <v>934</v>
      </c>
      <c r="B22" s="538" t="s">
        <v>512</v>
      </c>
      <c r="C22" s="545"/>
      <c r="D22" s="535">
        <v>100</v>
      </c>
      <c r="E22" s="542"/>
    </row>
    <row r="23" spans="1:5" ht="40.5" customHeight="1">
      <c r="A23" s="702" t="s">
        <v>935</v>
      </c>
      <c r="B23" s="538" t="s">
        <v>511</v>
      </c>
      <c r="C23" s="544"/>
      <c r="D23" s="543"/>
      <c r="E23" s="535">
        <v>100</v>
      </c>
    </row>
    <row r="24" spans="1:5" ht="38.25" customHeight="1">
      <c r="A24" s="702"/>
      <c r="B24" s="534" t="s">
        <v>568</v>
      </c>
      <c r="C24" s="544"/>
      <c r="D24" s="543"/>
      <c r="E24" s="540"/>
    </row>
    <row r="25" spans="1:5" ht="58.5" customHeight="1">
      <c r="A25" s="702" t="s">
        <v>936</v>
      </c>
      <c r="B25" s="538" t="s">
        <v>30</v>
      </c>
      <c r="C25" s="535" t="s">
        <v>70</v>
      </c>
      <c r="D25" s="541"/>
      <c r="E25" s="542"/>
    </row>
    <row r="26" spans="1:5" ht="59.25" customHeight="1">
      <c r="A26" s="702" t="s">
        <v>937</v>
      </c>
      <c r="B26" s="538" t="s">
        <v>514</v>
      </c>
      <c r="C26" s="544"/>
      <c r="D26" s="535">
        <v>100</v>
      </c>
      <c r="E26" s="540"/>
    </row>
    <row r="27" spans="1:5" ht="59.25" customHeight="1">
      <c r="A27" s="702" t="s">
        <v>938</v>
      </c>
      <c r="B27" s="538" t="s">
        <v>513</v>
      </c>
      <c r="C27" s="544"/>
      <c r="D27" s="543"/>
      <c r="E27" s="535">
        <v>100</v>
      </c>
    </row>
    <row r="28" spans="1:5" ht="59.25" customHeight="1">
      <c r="A28" s="702" t="s">
        <v>939</v>
      </c>
      <c r="B28" s="538" t="s">
        <v>515</v>
      </c>
      <c r="C28" s="535" t="s">
        <v>70</v>
      </c>
      <c r="D28" s="543"/>
      <c r="E28" s="540"/>
    </row>
    <row r="29" spans="1:5" ht="59.25" customHeight="1">
      <c r="A29" s="702" t="s">
        <v>940</v>
      </c>
      <c r="B29" s="538" t="s">
        <v>517</v>
      </c>
      <c r="C29" s="545"/>
      <c r="D29" s="535">
        <v>100</v>
      </c>
      <c r="E29" s="542"/>
    </row>
    <row r="30" spans="1:5" ht="58.5" customHeight="1">
      <c r="A30" s="702" t="s">
        <v>941</v>
      </c>
      <c r="B30" s="538" t="s">
        <v>516</v>
      </c>
      <c r="C30" s="546"/>
      <c r="D30" s="547"/>
      <c r="E30" s="535">
        <v>100</v>
      </c>
    </row>
    <row r="31" spans="1:5" ht="39.75" customHeight="1">
      <c r="A31" s="702" t="s">
        <v>942</v>
      </c>
      <c r="B31" s="538" t="s">
        <v>518</v>
      </c>
      <c r="C31" s="535" t="s">
        <v>70</v>
      </c>
      <c r="D31" s="547"/>
      <c r="E31" s="548"/>
    </row>
    <row r="32" spans="1:5" ht="40.5" customHeight="1">
      <c r="A32" s="702" t="s">
        <v>943</v>
      </c>
      <c r="B32" s="538" t="s">
        <v>520</v>
      </c>
      <c r="C32" s="546"/>
      <c r="D32" s="535">
        <v>100</v>
      </c>
      <c r="E32" s="548"/>
    </row>
    <row r="33" spans="1:5" ht="40.5" customHeight="1">
      <c r="A33" s="702" t="s">
        <v>944</v>
      </c>
      <c r="B33" s="538" t="s">
        <v>519</v>
      </c>
      <c r="C33" s="545"/>
      <c r="D33" s="541"/>
      <c r="E33" s="535">
        <v>100</v>
      </c>
    </row>
    <row r="34" spans="1:5">
      <c r="A34" s="702"/>
      <c r="B34" s="534" t="s">
        <v>521</v>
      </c>
      <c r="C34" s="544"/>
      <c r="D34" s="543"/>
      <c r="E34" s="540"/>
    </row>
    <row r="35" spans="1:5" ht="63" customHeight="1">
      <c r="A35" s="702" t="s">
        <v>945</v>
      </c>
      <c r="B35" s="538" t="s">
        <v>522</v>
      </c>
      <c r="C35" s="535" t="s">
        <v>70</v>
      </c>
      <c r="D35" s="543"/>
      <c r="E35" s="540"/>
    </row>
    <row r="36" spans="1:5" ht="63" customHeight="1">
      <c r="A36" s="702" t="s">
        <v>946</v>
      </c>
      <c r="B36" s="538" t="s">
        <v>524</v>
      </c>
      <c r="C36" s="544"/>
      <c r="D36" s="535">
        <v>100</v>
      </c>
      <c r="E36" s="540"/>
    </row>
    <row r="37" spans="1:5" ht="60" customHeight="1">
      <c r="A37" s="702" t="s">
        <v>947</v>
      </c>
      <c r="B37" s="538" t="s">
        <v>523</v>
      </c>
      <c r="C37" s="544"/>
      <c r="D37" s="549"/>
      <c r="E37" s="535">
        <v>100</v>
      </c>
    </row>
    <row r="38" spans="1:5">
      <c r="A38" s="702"/>
      <c r="B38" s="534" t="s">
        <v>525</v>
      </c>
      <c r="C38" s="544"/>
      <c r="D38" s="543"/>
      <c r="E38" s="540"/>
    </row>
    <row r="39" spans="1:5" ht="234" customHeight="1">
      <c r="A39" s="702" t="s">
        <v>948</v>
      </c>
      <c r="B39" s="229" t="s">
        <v>627</v>
      </c>
      <c r="C39" s="550" t="s">
        <v>70</v>
      </c>
      <c r="D39" s="543"/>
      <c r="E39" s="540"/>
    </row>
    <row r="40" spans="1:5" ht="229.5" customHeight="1">
      <c r="A40" s="702" t="s">
        <v>949</v>
      </c>
      <c r="B40" s="229" t="s">
        <v>737</v>
      </c>
      <c r="C40" s="544"/>
      <c r="D40" s="535">
        <v>100</v>
      </c>
      <c r="E40" s="540"/>
    </row>
    <row r="41" spans="1:5" ht="233.25" customHeight="1">
      <c r="A41" s="702" t="s">
        <v>950</v>
      </c>
      <c r="B41" s="229" t="s">
        <v>736</v>
      </c>
      <c r="C41" s="544"/>
      <c r="D41" s="543"/>
      <c r="E41" s="551">
        <v>100</v>
      </c>
    </row>
    <row r="42" spans="1:5" ht="210" customHeight="1">
      <c r="A42" s="702" t="s">
        <v>951</v>
      </c>
      <c r="B42" s="229" t="s">
        <v>629</v>
      </c>
      <c r="C42" s="21" t="s">
        <v>70</v>
      </c>
      <c r="D42" s="543"/>
      <c r="E42" s="551"/>
    </row>
    <row r="43" spans="1:5" ht="213.75" customHeight="1">
      <c r="A43" s="702" t="s">
        <v>952</v>
      </c>
      <c r="B43" s="229" t="s">
        <v>739</v>
      </c>
      <c r="C43" s="550"/>
      <c r="D43" s="21">
        <v>100</v>
      </c>
      <c r="E43" s="551"/>
    </row>
    <row r="44" spans="1:5" ht="213" customHeight="1">
      <c r="A44" s="702" t="s">
        <v>953</v>
      </c>
      <c r="B44" s="229" t="s">
        <v>738</v>
      </c>
      <c r="C44" s="544"/>
      <c r="D44" s="535"/>
      <c r="E44" s="535">
        <v>100</v>
      </c>
    </row>
    <row r="45" spans="1:5" ht="81.75" customHeight="1">
      <c r="A45" s="702" t="s">
        <v>954</v>
      </c>
      <c r="B45" s="552" t="s">
        <v>723</v>
      </c>
      <c r="C45" s="21" t="s">
        <v>70</v>
      </c>
      <c r="D45" s="543"/>
      <c r="E45" s="551"/>
    </row>
    <row r="46" spans="1:5" ht="81.75" customHeight="1">
      <c r="A46" s="702" t="s">
        <v>955</v>
      </c>
      <c r="B46" s="552" t="s">
        <v>741</v>
      </c>
      <c r="C46" s="544"/>
      <c r="D46" s="21">
        <v>100</v>
      </c>
      <c r="E46" s="551"/>
    </row>
    <row r="47" spans="1:5" ht="81" customHeight="1">
      <c r="A47" s="702" t="s">
        <v>956</v>
      </c>
      <c r="B47" s="552" t="s">
        <v>740</v>
      </c>
      <c r="C47" s="544"/>
      <c r="D47" s="543"/>
      <c r="E47" s="21">
        <v>100</v>
      </c>
    </row>
    <row r="48" spans="1:5">
      <c r="A48" s="702"/>
      <c r="B48" s="534" t="s">
        <v>526</v>
      </c>
      <c r="C48" s="544"/>
      <c r="D48" s="543"/>
      <c r="E48" s="540"/>
    </row>
    <row r="49" spans="1:5" ht="42" customHeight="1">
      <c r="A49" s="702" t="s">
        <v>957</v>
      </c>
      <c r="B49" s="538" t="s">
        <v>2</v>
      </c>
      <c r="C49" s="535" t="s">
        <v>70</v>
      </c>
      <c r="D49" s="543"/>
      <c r="E49" s="540"/>
    </row>
    <row r="50" spans="1:5" ht="43.5" customHeight="1">
      <c r="A50" s="702" t="s">
        <v>958</v>
      </c>
      <c r="B50" s="538" t="s">
        <v>528</v>
      </c>
      <c r="C50" s="544"/>
      <c r="D50" s="535">
        <v>100</v>
      </c>
      <c r="E50" s="535"/>
    </row>
    <row r="51" spans="1:5" ht="43.5" customHeight="1">
      <c r="A51" s="702" t="s">
        <v>959</v>
      </c>
      <c r="B51" s="538" t="s">
        <v>527</v>
      </c>
      <c r="C51" s="544"/>
      <c r="D51" s="535"/>
      <c r="E51" s="535">
        <v>100</v>
      </c>
    </row>
    <row r="52" spans="1:5" ht="100.5" customHeight="1">
      <c r="A52" s="702" t="s">
        <v>960</v>
      </c>
      <c r="B52" s="538" t="s">
        <v>533</v>
      </c>
      <c r="C52" s="544"/>
      <c r="D52" s="535">
        <v>100</v>
      </c>
      <c r="E52" s="535"/>
    </row>
    <row r="53" spans="1:5" ht="100.5" customHeight="1">
      <c r="A53" s="702" t="s">
        <v>961</v>
      </c>
      <c r="B53" s="538" t="s">
        <v>532</v>
      </c>
      <c r="C53" s="544"/>
      <c r="D53" s="535"/>
      <c r="E53" s="535">
        <v>100</v>
      </c>
    </row>
    <row r="54" spans="1:5" ht="48" customHeight="1">
      <c r="A54" s="702" t="s">
        <v>962</v>
      </c>
      <c r="B54" s="538" t="s">
        <v>529</v>
      </c>
      <c r="C54" s="535" t="s">
        <v>70</v>
      </c>
      <c r="D54" s="543"/>
      <c r="E54" s="540"/>
    </row>
    <row r="55" spans="1:5" ht="44.25" customHeight="1">
      <c r="A55" s="702" t="s">
        <v>963</v>
      </c>
      <c r="B55" s="538" t="s">
        <v>531</v>
      </c>
      <c r="C55" s="544"/>
      <c r="D55" s="535">
        <v>100</v>
      </c>
      <c r="E55" s="540"/>
    </row>
    <row r="56" spans="1:5" ht="45.75" customHeight="1">
      <c r="A56" s="702" t="s">
        <v>964</v>
      </c>
      <c r="B56" s="538" t="s">
        <v>530</v>
      </c>
      <c r="C56" s="544"/>
      <c r="D56" s="535"/>
      <c r="E56" s="535">
        <v>100</v>
      </c>
    </row>
    <row r="57" spans="1:5" ht="45" customHeight="1">
      <c r="A57" s="702" t="s">
        <v>965</v>
      </c>
      <c r="B57" s="538" t="s">
        <v>534</v>
      </c>
      <c r="C57" s="535" t="s">
        <v>70</v>
      </c>
      <c r="D57" s="535"/>
      <c r="E57" s="540"/>
    </row>
    <row r="58" spans="1:5" ht="42" customHeight="1">
      <c r="A58" s="702" t="s">
        <v>966</v>
      </c>
      <c r="B58" s="538" t="s">
        <v>536</v>
      </c>
      <c r="C58" s="544"/>
      <c r="D58" s="535">
        <v>100</v>
      </c>
      <c r="E58" s="540"/>
    </row>
    <row r="59" spans="1:5" ht="45" customHeight="1">
      <c r="A59" s="702" t="s">
        <v>967</v>
      </c>
      <c r="B59" s="538" t="s">
        <v>535</v>
      </c>
      <c r="C59" s="544"/>
      <c r="D59" s="543"/>
      <c r="E59" s="535">
        <v>100</v>
      </c>
    </row>
    <row r="60" spans="1:5" ht="47.25" customHeight="1">
      <c r="A60" s="702" t="s">
        <v>968</v>
      </c>
      <c r="B60" s="538" t="s">
        <v>969</v>
      </c>
      <c r="C60" s="550" t="s">
        <v>70</v>
      </c>
      <c r="D60" s="543"/>
      <c r="E60" s="535"/>
    </row>
    <row r="61" spans="1:5" ht="45.75" customHeight="1">
      <c r="A61" s="702" t="s">
        <v>970</v>
      </c>
      <c r="B61" s="538" t="s">
        <v>971</v>
      </c>
      <c r="C61" s="544"/>
      <c r="D61" s="535">
        <v>100</v>
      </c>
      <c r="E61" s="535"/>
    </row>
    <row r="62" spans="1:5" ht="45.75" customHeight="1">
      <c r="A62" s="702" t="s">
        <v>972</v>
      </c>
      <c r="B62" s="538" t="s">
        <v>973</v>
      </c>
      <c r="C62" s="544"/>
      <c r="D62" s="543"/>
      <c r="E62" s="535">
        <v>100</v>
      </c>
    </row>
    <row r="63" spans="1:5">
      <c r="B63" s="185"/>
      <c r="C63" s="186"/>
      <c r="D63" s="84"/>
      <c r="E63" s="187"/>
    </row>
    <row r="65" spans="1:5">
      <c r="A65" s="948" t="s">
        <v>467</v>
      </c>
      <c r="B65" s="949"/>
      <c r="C65" s="26"/>
      <c r="D65" s="27"/>
      <c r="E65" s="27"/>
    </row>
    <row r="66" spans="1:5">
      <c r="A66" s="950" t="s">
        <v>468</v>
      </c>
      <c r="B66" s="951"/>
      <c r="C66" s="26"/>
      <c r="D66" s="27"/>
      <c r="E66" s="27"/>
    </row>
    <row r="67" spans="1:5">
      <c r="A67" s="952" t="s">
        <v>469</v>
      </c>
      <c r="B67" s="951"/>
      <c r="C67" s="26"/>
      <c r="D67" s="24"/>
      <c r="E67" s="23" t="s">
        <v>494</v>
      </c>
    </row>
    <row r="68" spans="1:5" ht="18">
      <c r="A68" s="18"/>
      <c r="E68" s="18"/>
    </row>
    <row r="69" spans="1:5" ht="18">
      <c r="A69" s="18"/>
      <c r="E69" s="18"/>
    </row>
    <row r="70" spans="1:5" ht="18">
      <c r="A70" s="18"/>
      <c r="E70" s="18"/>
    </row>
  </sheetData>
  <mergeCells count="8">
    <mergeCell ref="A1:E1"/>
    <mergeCell ref="A65:B65"/>
    <mergeCell ref="A66:B66"/>
    <mergeCell ref="A67:B67"/>
    <mergeCell ref="A4:E4"/>
    <mergeCell ref="A7:E7"/>
    <mergeCell ref="A8:E8"/>
    <mergeCell ref="A9:E9"/>
  </mergeCells>
  <pageMargins left="1.1811023622047245" right="0.39370078740157483" top="0.6692913385826772" bottom="0.3937007874015748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H60"/>
  <sheetViews>
    <sheetView zoomScale="80" zoomScaleNormal="80" zoomScaleSheetLayoutView="80" workbookViewId="0">
      <selection activeCell="D2" sqref="D2"/>
    </sheetView>
  </sheetViews>
  <sheetFormatPr defaultColWidth="9.140625" defaultRowHeight="18"/>
  <cols>
    <col min="1" max="1" width="6.140625" style="555" customWidth="1"/>
    <col min="2" max="2" width="9.140625" style="555" customWidth="1"/>
    <col min="3" max="3" width="62.140625" style="555" customWidth="1"/>
    <col min="4" max="4" width="17.7109375" style="633" customWidth="1"/>
    <col min="5" max="5" width="8.140625" style="555" customWidth="1"/>
    <col min="6" max="6" width="22.85546875" style="555" customWidth="1"/>
    <col min="7" max="16384" width="9.140625" style="555"/>
  </cols>
  <sheetData>
    <row r="1" spans="1:6" ht="18.75">
      <c r="A1" s="193"/>
      <c r="B1" s="193"/>
      <c r="C1" s="193"/>
      <c r="D1" s="444" t="s">
        <v>470</v>
      </c>
    </row>
    <row r="2" spans="1:6" ht="18.75">
      <c r="A2" s="193"/>
      <c r="B2" s="193"/>
      <c r="C2" s="193"/>
      <c r="D2" s="444" t="s">
        <v>1034</v>
      </c>
    </row>
    <row r="4" spans="1:6" ht="18.75">
      <c r="D4" s="200" t="s">
        <v>539</v>
      </c>
    </row>
    <row r="5" spans="1:6" ht="18.75">
      <c r="D5" s="495" t="s">
        <v>917</v>
      </c>
    </row>
    <row r="6" spans="1:6" ht="18.75">
      <c r="D6" s="631"/>
    </row>
    <row r="7" spans="1:6" ht="18.75">
      <c r="A7" s="632"/>
      <c r="B7" s="632"/>
      <c r="C7" s="632"/>
    </row>
    <row r="8" spans="1:6" ht="18.75">
      <c r="A8" s="954" t="s">
        <v>181</v>
      </c>
      <c r="B8" s="955"/>
      <c r="C8" s="955"/>
      <c r="D8" s="955"/>
    </row>
    <row r="9" spans="1:6" ht="18.75">
      <c r="A9" s="954" t="s">
        <v>774</v>
      </c>
      <c r="B9" s="955"/>
      <c r="C9" s="955"/>
      <c r="D9" s="955"/>
    </row>
    <row r="10" spans="1:6" ht="18.75">
      <c r="A10" s="632"/>
      <c r="D10" s="555"/>
    </row>
    <row r="11" spans="1:6" ht="18.75">
      <c r="D11" s="508" t="s">
        <v>42</v>
      </c>
    </row>
    <row r="12" spans="1:6" ht="38.450000000000003" customHeight="1">
      <c r="A12" s="719" t="s">
        <v>182</v>
      </c>
      <c r="B12" s="720" t="s">
        <v>388</v>
      </c>
      <c r="C12" s="720" t="s">
        <v>44</v>
      </c>
      <c r="D12" s="635" t="s">
        <v>33</v>
      </c>
    </row>
    <row r="13" spans="1:6" ht="18.75">
      <c r="A13" s="636">
        <v>1</v>
      </c>
      <c r="B13" s="636">
        <v>2</v>
      </c>
      <c r="C13" s="636">
        <v>3</v>
      </c>
      <c r="D13" s="637">
        <v>4</v>
      </c>
    </row>
    <row r="14" spans="1:6" ht="18.75">
      <c r="A14" s="535"/>
      <c r="B14" s="535"/>
      <c r="C14" s="536" t="s">
        <v>183</v>
      </c>
      <c r="D14" s="537">
        <f>D16+D23+D26+D30+D33+D39+D42+D53+D47+D51+0.1</f>
        <v>1639630.09</v>
      </c>
      <c r="E14" s="891">
        <v>0.1</v>
      </c>
      <c r="F14" s="730"/>
    </row>
    <row r="15" spans="1:6" ht="18.75">
      <c r="A15" s="535"/>
      <c r="B15" s="535"/>
      <c r="C15" s="539" t="s">
        <v>184</v>
      </c>
      <c r="D15" s="540"/>
      <c r="E15" s="891"/>
    </row>
    <row r="16" spans="1:6" ht="18.75">
      <c r="A16" s="638">
        <v>1</v>
      </c>
      <c r="B16" s="545" t="s">
        <v>185</v>
      </c>
      <c r="C16" s="541" t="s">
        <v>56</v>
      </c>
      <c r="D16" s="542">
        <f>SUM(D17:D22)-0.1</f>
        <v>170455.367</v>
      </c>
      <c r="E16" s="891">
        <v>0.1</v>
      </c>
      <c r="F16" s="633"/>
    </row>
    <row r="17" spans="1:4" ht="56.25">
      <c r="A17" s="639"/>
      <c r="B17" s="544" t="s">
        <v>186</v>
      </c>
      <c r="C17" s="543" t="s">
        <v>187</v>
      </c>
      <c r="D17" s="540">
        <f>'прил12(ведом 21)'!M735</f>
        <v>2067.1</v>
      </c>
    </row>
    <row r="18" spans="1:4" ht="75">
      <c r="A18" s="639"/>
      <c r="B18" s="544" t="s">
        <v>188</v>
      </c>
      <c r="C18" s="543" t="s">
        <v>71</v>
      </c>
      <c r="D18" s="540">
        <f>'прил12(ведом 21)'!M736</f>
        <v>73164.330999999991</v>
      </c>
    </row>
    <row r="19" spans="1:4" ht="18.75">
      <c r="A19" s="639"/>
      <c r="B19" s="544" t="s">
        <v>495</v>
      </c>
      <c r="C19" s="163" t="s">
        <v>488</v>
      </c>
      <c r="D19" s="540">
        <f>'прил12(ведом 21)'!M737</f>
        <v>13.2</v>
      </c>
    </row>
    <row r="20" spans="1:4" ht="56.25">
      <c r="A20" s="639"/>
      <c r="B20" s="544" t="s">
        <v>189</v>
      </c>
      <c r="C20" s="543" t="s">
        <v>151</v>
      </c>
      <c r="D20" s="540">
        <f>'прил12(ведом 21)'!M738</f>
        <v>29306.215999999997</v>
      </c>
    </row>
    <row r="21" spans="1:4" ht="18.75">
      <c r="A21" s="639"/>
      <c r="B21" s="544" t="s">
        <v>190</v>
      </c>
      <c r="C21" s="543" t="s">
        <v>87</v>
      </c>
      <c r="D21" s="540">
        <f>'прил12(ведом 21)'!M739</f>
        <v>5092.8220000000001</v>
      </c>
    </row>
    <row r="22" spans="1:4" ht="18.75">
      <c r="A22" s="639"/>
      <c r="B22" s="544" t="s">
        <v>191</v>
      </c>
      <c r="C22" s="543" t="s">
        <v>91</v>
      </c>
      <c r="D22" s="540">
        <f>'прил12(ведом 21)'!M740</f>
        <v>60811.798000000003</v>
      </c>
    </row>
    <row r="23" spans="1:4" ht="37.5">
      <c r="A23" s="638">
        <v>2</v>
      </c>
      <c r="B23" s="545" t="s">
        <v>192</v>
      </c>
      <c r="C23" s="541" t="s">
        <v>99</v>
      </c>
      <c r="D23" s="542">
        <f>SUM(D24:D25)</f>
        <v>15099.600000000002</v>
      </c>
    </row>
    <row r="24" spans="1:4" ht="56.25">
      <c r="A24" s="639"/>
      <c r="B24" s="544" t="s">
        <v>791</v>
      </c>
      <c r="C24" s="543" t="s">
        <v>792</v>
      </c>
      <c r="D24" s="540">
        <f>'прил12(ведом 21)'!M743</f>
        <v>4033.3</v>
      </c>
    </row>
    <row r="25" spans="1:4" ht="37.5">
      <c r="A25" s="639"/>
      <c r="B25" s="544" t="s">
        <v>193</v>
      </c>
      <c r="C25" s="543" t="s">
        <v>108</v>
      </c>
      <c r="D25" s="540">
        <f>'прил12(ведом 21)'!M744</f>
        <v>11066.300000000001</v>
      </c>
    </row>
    <row r="26" spans="1:4" ht="18.75">
      <c r="A26" s="638">
        <v>3</v>
      </c>
      <c r="B26" s="545" t="s">
        <v>194</v>
      </c>
      <c r="C26" s="541" t="s">
        <v>113</v>
      </c>
      <c r="D26" s="542">
        <f>SUM(D27:D29)</f>
        <v>31595.582999999999</v>
      </c>
    </row>
    <row r="27" spans="1:4" ht="18.75">
      <c r="A27" s="638"/>
      <c r="B27" s="544" t="s">
        <v>195</v>
      </c>
      <c r="C27" s="543" t="s">
        <v>114</v>
      </c>
      <c r="D27" s="540">
        <f>'прил12(ведом 21)'!M747</f>
        <v>11255.300000000001</v>
      </c>
    </row>
    <row r="28" spans="1:4" ht="18.75">
      <c r="A28" s="639"/>
      <c r="B28" s="544" t="s">
        <v>196</v>
      </c>
      <c r="C28" s="543" t="s">
        <v>119</v>
      </c>
      <c r="D28" s="540">
        <f>'прил12(ведом 21)'!M748</f>
        <v>9802.3829999999998</v>
      </c>
    </row>
    <row r="29" spans="1:4" ht="37.5">
      <c r="A29" s="639"/>
      <c r="B29" s="544" t="s">
        <v>197</v>
      </c>
      <c r="C29" s="543" t="s">
        <v>127</v>
      </c>
      <c r="D29" s="540">
        <f>'прил12(ведом 21)'!M749</f>
        <v>10537.899999999998</v>
      </c>
    </row>
    <row r="30" spans="1:4" ht="18.75">
      <c r="A30" s="638">
        <v>4</v>
      </c>
      <c r="B30" s="545" t="s">
        <v>198</v>
      </c>
      <c r="C30" s="541" t="s">
        <v>199</v>
      </c>
      <c r="D30" s="542">
        <f>SUM(D31:D32)</f>
        <v>17612.901999999998</v>
      </c>
    </row>
    <row r="31" spans="1:4" ht="18.75">
      <c r="A31" s="638"/>
      <c r="B31" s="546" t="s">
        <v>400</v>
      </c>
      <c r="C31" s="547" t="s">
        <v>398</v>
      </c>
      <c r="D31" s="548">
        <f>'прил12(ведом 21)'!M753</f>
        <v>16449.302</v>
      </c>
    </row>
    <row r="32" spans="1:4" ht="18.75">
      <c r="A32" s="638"/>
      <c r="B32" s="546" t="s">
        <v>980</v>
      </c>
      <c r="C32" s="547" t="s">
        <v>974</v>
      </c>
      <c r="D32" s="548">
        <f>'прил12(ведом 21)'!M755</f>
        <v>1163.5999999999999</v>
      </c>
    </row>
    <row r="33" spans="1:4" ht="18.75">
      <c r="A33" s="638">
        <v>5</v>
      </c>
      <c r="B33" s="545" t="s">
        <v>200</v>
      </c>
      <c r="C33" s="541" t="s">
        <v>201</v>
      </c>
      <c r="D33" s="542">
        <f>SUM(D34:D38)</f>
        <v>1179029.1599999999</v>
      </c>
    </row>
    <row r="34" spans="1:4" ht="18.75">
      <c r="A34" s="639"/>
      <c r="B34" s="544" t="s">
        <v>202</v>
      </c>
      <c r="C34" s="543" t="s">
        <v>203</v>
      </c>
      <c r="D34" s="540">
        <f>'прил12(ведом 21)'!M758</f>
        <v>358130.1</v>
      </c>
    </row>
    <row r="35" spans="1:4" ht="18.75">
      <c r="A35" s="639"/>
      <c r="B35" s="544" t="s">
        <v>204</v>
      </c>
      <c r="C35" s="543" t="s">
        <v>205</v>
      </c>
      <c r="D35" s="540">
        <f>'прил12(ведом 21)'!M759</f>
        <v>625143.19999999995</v>
      </c>
    </row>
    <row r="36" spans="1:4" ht="18.75">
      <c r="A36" s="639"/>
      <c r="B36" s="544" t="s">
        <v>423</v>
      </c>
      <c r="C36" s="543" t="s">
        <v>424</v>
      </c>
      <c r="D36" s="540">
        <f>'прил12(ведом 21)'!M760</f>
        <v>118054.68799999999</v>
      </c>
    </row>
    <row r="37" spans="1:4" ht="18.75">
      <c r="A37" s="638"/>
      <c r="B37" s="544" t="s">
        <v>206</v>
      </c>
      <c r="C37" s="543" t="s">
        <v>425</v>
      </c>
      <c r="D37" s="540">
        <f>'прил12(ведом 21)'!M762</f>
        <v>12174.199999999999</v>
      </c>
    </row>
    <row r="38" spans="1:4" ht="18.75">
      <c r="A38" s="639"/>
      <c r="B38" s="544" t="s">
        <v>207</v>
      </c>
      <c r="C38" s="543" t="s">
        <v>208</v>
      </c>
      <c r="D38" s="540">
        <f>'прил12(ведом 21)'!M763</f>
        <v>65526.972000000009</v>
      </c>
    </row>
    <row r="39" spans="1:4" ht="18.75">
      <c r="A39" s="640">
        <v>6</v>
      </c>
      <c r="B39" s="545" t="s">
        <v>209</v>
      </c>
      <c r="C39" s="541" t="s">
        <v>210</v>
      </c>
      <c r="D39" s="542">
        <f>SUM(D40:D41)</f>
        <v>35575.699999999997</v>
      </c>
    </row>
    <row r="40" spans="1:4" ht="18.75">
      <c r="A40" s="639"/>
      <c r="B40" s="544" t="s">
        <v>211</v>
      </c>
      <c r="C40" s="543" t="s">
        <v>212</v>
      </c>
      <c r="D40" s="540">
        <f>'прил12(ведом 21)'!M766</f>
        <v>25033.4</v>
      </c>
    </row>
    <row r="41" spans="1:4" ht="18.75" customHeight="1">
      <c r="A41" s="639"/>
      <c r="B41" s="544" t="s">
        <v>213</v>
      </c>
      <c r="C41" s="543" t="s">
        <v>214</v>
      </c>
      <c r="D41" s="540">
        <f>'прил12(ведом 21)'!M767</f>
        <v>10542.3</v>
      </c>
    </row>
    <row r="42" spans="1:4" s="731" customFormat="1" ht="18.75">
      <c r="A42" s="638">
        <v>7</v>
      </c>
      <c r="B42" s="638">
        <v>1000</v>
      </c>
      <c r="C42" s="541" t="s">
        <v>140</v>
      </c>
      <c r="D42" s="542">
        <f>SUM(D43:D46)</f>
        <v>129935.59999999998</v>
      </c>
    </row>
    <row r="43" spans="1:4" ht="18.75">
      <c r="A43" s="639"/>
      <c r="B43" s="639">
        <v>1001</v>
      </c>
      <c r="C43" s="543" t="s">
        <v>432</v>
      </c>
      <c r="D43" s="540">
        <f>'прил12(ведом 21)'!M770</f>
        <v>552</v>
      </c>
    </row>
    <row r="44" spans="1:4" ht="18.75">
      <c r="A44" s="639"/>
      <c r="B44" s="639">
        <v>1003</v>
      </c>
      <c r="C44" s="167" t="s">
        <v>984</v>
      </c>
      <c r="D44" s="548">
        <f>'прил12(ведом 21)'!M771</f>
        <v>1060</v>
      </c>
    </row>
    <row r="45" spans="1:4" ht="18.75">
      <c r="A45" s="639"/>
      <c r="B45" s="639">
        <v>1004</v>
      </c>
      <c r="C45" s="543" t="s">
        <v>215</v>
      </c>
      <c r="D45" s="548">
        <f>'прил12(ведом 21)'!M772</f>
        <v>119803.19999999998</v>
      </c>
    </row>
    <row r="46" spans="1:4" ht="18.75">
      <c r="A46" s="639"/>
      <c r="B46" s="639">
        <v>1006</v>
      </c>
      <c r="C46" s="543" t="s">
        <v>216</v>
      </c>
      <c r="D46" s="548">
        <f>'прил12(ведом 21)'!M773</f>
        <v>8520.4</v>
      </c>
    </row>
    <row r="47" spans="1:4" ht="18.75">
      <c r="A47" s="640">
        <v>8</v>
      </c>
      <c r="B47" s="641">
        <v>1100</v>
      </c>
      <c r="C47" s="536" t="s">
        <v>217</v>
      </c>
      <c r="D47" s="642">
        <f>SUM(D48:D50)</f>
        <v>40309.599999999999</v>
      </c>
    </row>
    <row r="48" spans="1:4" ht="18.75">
      <c r="A48" s="643"/>
      <c r="B48" s="644">
        <v>1101</v>
      </c>
      <c r="C48" s="645" t="s">
        <v>443</v>
      </c>
      <c r="D48" s="548">
        <f>'прил12(ведом 21)'!M776</f>
        <v>37170.499999999993</v>
      </c>
    </row>
    <row r="49" spans="1:8" ht="18.75">
      <c r="A49" s="640"/>
      <c r="B49" s="544" t="s">
        <v>218</v>
      </c>
      <c r="C49" s="646" t="s">
        <v>219</v>
      </c>
      <c r="D49" s="548">
        <f>'прил12(ведом 21)'!M777</f>
        <v>713.8</v>
      </c>
    </row>
    <row r="50" spans="1:8" ht="37.5">
      <c r="A50" s="639"/>
      <c r="B50" s="544" t="s">
        <v>220</v>
      </c>
      <c r="C50" s="647" t="s">
        <v>221</v>
      </c>
      <c r="D50" s="540">
        <f>'прил12(ведом 21)'!M778</f>
        <v>2425.3000000000002</v>
      </c>
    </row>
    <row r="51" spans="1:8" ht="37.5">
      <c r="A51" s="638">
        <v>9</v>
      </c>
      <c r="B51" s="545" t="s">
        <v>484</v>
      </c>
      <c r="C51" s="297" t="s">
        <v>475</v>
      </c>
      <c r="D51" s="642">
        <f>D52</f>
        <v>16.5</v>
      </c>
    </row>
    <row r="52" spans="1:8" ht="37.5">
      <c r="A52" s="639"/>
      <c r="B52" s="544" t="s">
        <v>485</v>
      </c>
      <c r="C52" s="647" t="s">
        <v>769</v>
      </c>
      <c r="D52" s="540">
        <f>'прил12(ведом 21)'!M781</f>
        <v>16.5</v>
      </c>
    </row>
    <row r="53" spans="1:8" ht="56.25">
      <c r="A53" s="638">
        <v>10</v>
      </c>
      <c r="B53" s="641">
        <v>1400</v>
      </c>
      <c r="C53" s="541" t="s">
        <v>222</v>
      </c>
      <c r="D53" s="648">
        <f>SUM(D54:D55)</f>
        <v>19999.977999999999</v>
      </c>
    </row>
    <row r="54" spans="1:8" ht="56.25">
      <c r="A54" s="649"/>
      <c r="B54" s="644">
        <v>1401</v>
      </c>
      <c r="C54" s="543" t="s">
        <v>223</v>
      </c>
      <c r="D54" s="650">
        <f>'прил12(ведом 21)'!M784</f>
        <v>5500</v>
      </c>
    </row>
    <row r="55" spans="1:8" ht="19.5" customHeight="1">
      <c r="A55" s="649"/>
      <c r="B55" s="644">
        <v>1403</v>
      </c>
      <c r="C55" s="732" t="s">
        <v>921</v>
      </c>
      <c r="D55" s="650">
        <f>'прил12(ведом 21)'!M786</f>
        <v>14499.977999999999</v>
      </c>
    </row>
    <row r="58" spans="1:8" s="279" customFormat="1" ht="18.75">
      <c r="A58" s="374" t="s">
        <v>467</v>
      </c>
      <c r="B58" s="282"/>
      <c r="C58" s="283"/>
      <c r="D58" s="283"/>
      <c r="E58" s="283"/>
      <c r="F58" s="206"/>
      <c r="G58" s="373"/>
      <c r="H58" s="434"/>
    </row>
    <row r="59" spans="1:8" s="279" customFormat="1" ht="18.75">
      <c r="A59" s="374" t="s">
        <v>468</v>
      </c>
      <c r="B59" s="282"/>
      <c r="C59" s="283"/>
      <c r="D59" s="283"/>
      <c r="E59" s="283"/>
      <c r="F59" s="206"/>
      <c r="G59" s="373"/>
      <c r="H59" s="434"/>
    </row>
    <row r="60" spans="1:8" s="279" customFormat="1" ht="18.75">
      <c r="A60" s="375" t="s">
        <v>469</v>
      </c>
      <c r="B60" s="282"/>
      <c r="D60" s="376" t="s">
        <v>494</v>
      </c>
      <c r="E60" s="283"/>
      <c r="F60" s="206"/>
    </row>
  </sheetData>
  <mergeCells count="2">
    <mergeCell ref="A8:D8"/>
    <mergeCell ref="A9:D9"/>
  </mergeCells>
  <printOptions horizontalCentered="1"/>
  <pageMargins left="1.1811023622047245" right="0.39370078740157483" top="0.78740157480314965" bottom="0.78740157480314965" header="0" footer="0"/>
  <pageSetup paperSize="9" scale="89" fitToHeight="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H61"/>
  <sheetViews>
    <sheetView zoomScale="80" zoomScaleNormal="80" zoomScaleSheetLayoutView="100" workbookViewId="0">
      <selection activeCell="E2" sqref="E2"/>
    </sheetView>
  </sheetViews>
  <sheetFormatPr defaultColWidth="9.140625" defaultRowHeight="18"/>
  <cols>
    <col min="1" max="1" width="6.140625" style="555" customWidth="1"/>
    <col min="2" max="2" width="9.140625" style="555" customWidth="1"/>
    <col min="3" max="3" width="62.140625" style="555" customWidth="1"/>
    <col min="4" max="4" width="14.7109375" style="633" customWidth="1"/>
    <col min="5" max="5" width="14.140625" style="555" customWidth="1"/>
    <col min="6" max="6" width="8.28515625" style="18" customWidth="1"/>
    <col min="7" max="7" width="22.85546875" style="18" customWidth="1"/>
    <col min="8" max="8" width="22.5703125" style="18" customWidth="1"/>
    <col min="9" max="16384" width="9.140625" style="18"/>
  </cols>
  <sheetData>
    <row r="1" spans="1:8" ht="18.75">
      <c r="A1" s="18"/>
      <c r="B1" s="18"/>
      <c r="C1" s="193"/>
      <c r="D1" s="193"/>
      <c r="E1" s="200" t="s">
        <v>983</v>
      </c>
    </row>
    <row r="2" spans="1:8" ht="18.75">
      <c r="A2" s="18"/>
      <c r="B2" s="18"/>
      <c r="C2" s="193"/>
      <c r="D2" s="193"/>
      <c r="E2" s="200" t="s">
        <v>1030</v>
      </c>
    </row>
    <row r="4" spans="1:8" ht="18.75">
      <c r="E4" s="200" t="s">
        <v>541</v>
      </c>
    </row>
    <row r="5" spans="1:8" ht="18.75">
      <c r="E5" s="495" t="s">
        <v>917</v>
      </c>
    </row>
    <row r="7" spans="1:8" ht="18.75">
      <c r="A7" s="632"/>
      <c r="B7" s="632"/>
      <c r="C7" s="632"/>
    </row>
    <row r="8" spans="1:8" ht="24.75" customHeight="1">
      <c r="A8" s="954" t="s">
        <v>181</v>
      </c>
      <c r="B8" s="954"/>
      <c r="C8" s="954"/>
      <c r="D8" s="954"/>
      <c r="E8" s="954"/>
      <c r="F8" s="96"/>
    </row>
    <row r="9" spans="1:8" ht="18.75">
      <c r="A9" s="954" t="s">
        <v>775</v>
      </c>
      <c r="B9" s="954"/>
      <c r="C9" s="954"/>
      <c r="D9" s="954"/>
      <c r="E9" s="954"/>
      <c r="F9" s="96"/>
    </row>
    <row r="10" spans="1:8" ht="18.75">
      <c r="A10" s="632"/>
      <c r="D10" s="555"/>
    </row>
    <row r="11" spans="1:8" ht="18.75">
      <c r="E11" s="508" t="s">
        <v>42</v>
      </c>
    </row>
    <row r="12" spans="1:8" ht="18.75">
      <c r="A12" s="957" t="s">
        <v>182</v>
      </c>
      <c r="B12" s="958" t="s">
        <v>388</v>
      </c>
      <c r="C12" s="958" t="s">
        <v>44</v>
      </c>
      <c r="D12" s="956" t="s">
        <v>33</v>
      </c>
      <c r="E12" s="956"/>
      <c r="F12" s="80"/>
    </row>
    <row r="13" spans="1:8" ht="25.9" customHeight="1">
      <c r="A13" s="957"/>
      <c r="B13" s="958"/>
      <c r="C13" s="958"/>
      <c r="D13" s="635" t="s">
        <v>580</v>
      </c>
      <c r="E13" s="635" t="s">
        <v>773</v>
      </c>
      <c r="F13" s="81"/>
    </row>
    <row r="14" spans="1:8" ht="18.75">
      <c r="A14" s="636">
        <v>1</v>
      </c>
      <c r="B14" s="636">
        <v>2</v>
      </c>
      <c r="C14" s="636">
        <v>3</v>
      </c>
      <c r="D14" s="637">
        <v>4</v>
      </c>
      <c r="E14" s="637">
        <v>5</v>
      </c>
      <c r="F14" s="79"/>
    </row>
    <row r="15" spans="1:8" ht="18.75">
      <c r="A15" s="535"/>
      <c r="B15" s="535"/>
      <c r="C15" s="536" t="s">
        <v>183</v>
      </c>
      <c r="D15" s="537">
        <f>D17+D24+D27+D31+D34+D40+D43+D47+D53+D55+D51</f>
        <v>1571867.3</v>
      </c>
      <c r="E15" s="537">
        <f>E17+E24+E27+E31+E34+E40+E43+E47+E53+E55+E51</f>
        <v>1512134.5</v>
      </c>
      <c r="G15" s="109">
        <f>D15-'прил13(ведом 22-23)'!M15</f>
        <v>0</v>
      </c>
      <c r="H15" s="109">
        <f>E15-'прил13(ведом 22-23)'!N15</f>
        <v>0</v>
      </c>
    </row>
    <row r="16" spans="1:8" ht="18.75">
      <c r="A16" s="535"/>
      <c r="B16" s="535"/>
      <c r="C16" s="539" t="s">
        <v>184</v>
      </c>
      <c r="D16" s="540"/>
      <c r="E16" s="540"/>
    </row>
    <row r="17" spans="1:7" ht="18.75">
      <c r="A17" s="638">
        <v>1</v>
      </c>
      <c r="B17" s="545" t="s">
        <v>185</v>
      </c>
      <c r="C17" s="541" t="s">
        <v>56</v>
      </c>
      <c r="D17" s="542">
        <f>SUM(D18:D23)</f>
        <v>140824.9</v>
      </c>
      <c r="E17" s="542">
        <f>SUM(E18:E23)</f>
        <v>140814.6</v>
      </c>
      <c r="G17" s="20"/>
    </row>
    <row r="18" spans="1:7" ht="56.25">
      <c r="A18" s="639"/>
      <c r="B18" s="544" t="s">
        <v>186</v>
      </c>
      <c r="C18" s="543" t="s">
        <v>187</v>
      </c>
      <c r="D18" s="540">
        <f>'прил13(ведом 22-23)'!M575</f>
        <v>2128.5</v>
      </c>
      <c r="E18" s="540">
        <f>'прил13(ведом 22-23)'!N575</f>
        <v>2128.5</v>
      </c>
    </row>
    <row r="19" spans="1:7" ht="75">
      <c r="A19" s="639"/>
      <c r="B19" s="544" t="s">
        <v>188</v>
      </c>
      <c r="C19" s="543" t="s">
        <v>71</v>
      </c>
      <c r="D19" s="540">
        <f>'прил13(ведом 22-23)'!M576</f>
        <v>72075.899999999994</v>
      </c>
      <c r="E19" s="540">
        <f>'прил13(ведом 22-23)'!N576</f>
        <v>72150.2</v>
      </c>
    </row>
    <row r="20" spans="1:7" ht="18.75">
      <c r="A20" s="639"/>
      <c r="B20" s="544" t="s">
        <v>495</v>
      </c>
      <c r="C20" s="163" t="s">
        <v>488</v>
      </c>
      <c r="D20" s="540">
        <f>'прил13(ведом 22-23)'!M577</f>
        <v>98.4</v>
      </c>
      <c r="E20" s="540">
        <f>'прил13(ведом 22-23)'!N577</f>
        <v>5.7</v>
      </c>
    </row>
    <row r="21" spans="1:7" ht="56.25">
      <c r="A21" s="639"/>
      <c r="B21" s="544" t="s">
        <v>189</v>
      </c>
      <c r="C21" s="543" t="s">
        <v>151</v>
      </c>
      <c r="D21" s="540">
        <f>'прил13(ведом 22-23)'!M578</f>
        <v>29332.200000000004</v>
      </c>
      <c r="E21" s="540">
        <f>'прил13(ведом 22-23)'!N578</f>
        <v>29333</v>
      </c>
    </row>
    <row r="22" spans="1:7" ht="18.75">
      <c r="A22" s="639"/>
      <c r="B22" s="544" t="s">
        <v>190</v>
      </c>
      <c r="C22" s="543" t="s">
        <v>87</v>
      </c>
      <c r="D22" s="540">
        <f>'прил13(ведом 22-23)'!M579</f>
        <v>5000</v>
      </c>
      <c r="E22" s="540">
        <f>'прил13(ведом 22-23)'!N579</f>
        <v>5000</v>
      </c>
    </row>
    <row r="23" spans="1:7" ht="18.75">
      <c r="A23" s="639"/>
      <c r="B23" s="544" t="s">
        <v>191</v>
      </c>
      <c r="C23" s="543" t="s">
        <v>91</v>
      </c>
      <c r="D23" s="540">
        <f>'прил13(ведом 22-23)'!M580</f>
        <v>32189.9</v>
      </c>
      <c r="E23" s="540">
        <f>'прил13(ведом 22-23)'!N580</f>
        <v>32197.200000000004</v>
      </c>
    </row>
    <row r="24" spans="1:7" ht="37.5">
      <c r="A24" s="638">
        <v>2</v>
      </c>
      <c r="B24" s="545" t="s">
        <v>192</v>
      </c>
      <c r="C24" s="541" t="s">
        <v>99</v>
      </c>
      <c r="D24" s="542">
        <f>SUM(D25:D26)</f>
        <v>12548</v>
      </c>
      <c r="E24" s="542">
        <f>SUM(E25:E26)</f>
        <v>12548.4</v>
      </c>
    </row>
    <row r="25" spans="1:7" ht="56.25">
      <c r="A25" s="639"/>
      <c r="B25" s="544" t="s">
        <v>791</v>
      </c>
      <c r="C25" s="543" t="s">
        <v>792</v>
      </c>
      <c r="D25" s="540">
        <f>'прил13(ведом 22-23)'!M583</f>
        <v>3437.6000000000004</v>
      </c>
      <c r="E25" s="540">
        <f>'прил13(ведом 22-23)'!N583</f>
        <v>3437.6000000000004</v>
      </c>
    </row>
    <row r="26" spans="1:7" ht="37.5">
      <c r="A26" s="639"/>
      <c r="B26" s="544" t="s">
        <v>193</v>
      </c>
      <c r="C26" s="543" t="s">
        <v>108</v>
      </c>
      <c r="D26" s="540">
        <f>'прил13(ведом 22-23)'!M584</f>
        <v>9110.4</v>
      </c>
      <c r="E26" s="540">
        <f>'прил13(ведом 22-23)'!N584</f>
        <v>9110.7999999999993</v>
      </c>
    </row>
    <row r="27" spans="1:7" ht="18.75">
      <c r="A27" s="638">
        <v>3</v>
      </c>
      <c r="B27" s="545" t="s">
        <v>194</v>
      </c>
      <c r="C27" s="541" t="s">
        <v>113</v>
      </c>
      <c r="D27" s="542">
        <f>SUM(D28:D30)</f>
        <v>23816.9</v>
      </c>
      <c r="E27" s="542">
        <f>SUM(E28:E30)</f>
        <v>24744.1</v>
      </c>
    </row>
    <row r="28" spans="1:7" ht="18.75">
      <c r="A28" s="638"/>
      <c r="B28" s="544" t="s">
        <v>195</v>
      </c>
      <c r="C28" s="543" t="s">
        <v>114</v>
      </c>
      <c r="D28" s="540">
        <f>'прил13(ведом 22-23)'!M587</f>
        <v>11258.5</v>
      </c>
      <c r="E28" s="540">
        <f>'прил13(ведом 22-23)'!N587</f>
        <v>11258.5</v>
      </c>
    </row>
    <row r="29" spans="1:7" ht="18.75">
      <c r="A29" s="639"/>
      <c r="B29" s="544" t="s">
        <v>196</v>
      </c>
      <c r="C29" s="543" t="s">
        <v>119</v>
      </c>
      <c r="D29" s="540">
        <f>'прил13(ведом 22-23)'!M588</f>
        <v>5907.9</v>
      </c>
      <c r="E29" s="540">
        <f>'прил13(ведом 22-23)'!N588</f>
        <v>6835.1</v>
      </c>
    </row>
    <row r="30" spans="1:7" ht="37.5">
      <c r="A30" s="639"/>
      <c r="B30" s="544" t="s">
        <v>197</v>
      </c>
      <c r="C30" s="543" t="s">
        <v>127</v>
      </c>
      <c r="D30" s="540">
        <f>'прил13(ведом 22-23)'!M589</f>
        <v>6650.5</v>
      </c>
      <c r="E30" s="540">
        <f>'прил13(ведом 22-23)'!N589</f>
        <v>6650.5</v>
      </c>
    </row>
    <row r="31" spans="1:7" s="22" customFormat="1" ht="18.75">
      <c r="A31" s="638">
        <v>4</v>
      </c>
      <c r="B31" s="545" t="s">
        <v>198</v>
      </c>
      <c r="C31" s="541" t="s">
        <v>199</v>
      </c>
      <c r="D31" s="542">
        <f>D33+D32</f>
        <v>12354.9</v>
      </c>
      <c r="E31" s="542">
        <f>E33+E32</f>
        <v>25766.9</v>
      </c>
    </row>
    <row r="32" spans="1:7" s="22" customFormat="1" ht="18.75">
      <c r="A32" s="638"/>
      <c r="B32" s="546" t="s">
        <v>824</v>
      </c>
      <c r="C32" s="547" t="s">
        <v>823</v>
      </c>
      <c r="D32" s="548">
        <f>'прил13(ведом 22-23)'!M592</f>
        <v>0</v>
      </c>
      <c r="E32" s="548">
        <f>'прил13(ведом 22-23)'!N592</f>
        <v>25766.9</v>
      </c>
    </row>
    <row r="33" spans="1:5" ht="18.75">
      <c r="A33" s="639"/>
      <c r="B33" s="544" t="s">
        <v>400</v>
      </c>
      <c r="C33" s="547" t="s">
        <v>398</v>
      </c>
      <c r="D33" s="540">
        <f>'прил13(ведом 22-23)'!M593</f>
        <v>12354.9</v>
      </c>
      <c r="E33" s="540">
        <f>'прил13(ведом 22-23)'!N593</f>
        <v>0</v>
      </c>
    </row>
    <row r="34" spans="1:5" ht="18.75">
      <c r="A34" s="638">
        <v>5</v>
      </c>
      <c r="B34" s="545" t="s">
        <v>200</v>
      </c>
      <c r="C34" s="541" t="s">
        <v>201</v>
      </c>
      <c r="D34" s="542">
        <f>SUM(D35:D39)</f>
        <v>1176247.3</v>
      </c>
      <c r="E34" s="542">
        <f>SUM(E35:E39)</f>
        <v>1064079.8999999999</v>
      </c>
    </row>
    <row r="35" spans="1:5" ht="18.75">
      <c r="A35" s="639"/>
      <c r="B35" s="544" t="s">
        <v>202</v>
      </c>
      <c r="C35" s="543" t="s">
        <v>203</v>
      </c>
      <c r="D35" s="540">
        <f>'прил13(ведом 22-23)'!M597</f>
        <v>409819.9</v>
      </c>
      <c r="E35" s="540">
        <f>'прил13(ведом 22-23)'!N597</f>
        <v>310578.99999999994</v>
      </c>
    </row>
    <row r="36" spans="1:5" ht="18.75">
      <c r="A36" s="639"/>
      <c r="B36" s="544" t="s">
        <v>204</v>
      </c>
      <c r="C36" s="543" t="s">
        <v>205</v>
      </c>
      <c r="D36" s="540">
        <f>'прил13(ведом 22-23)'!M598</f>
        <v>577605.49999999988</v>
      </c>
      <c r="E36" s="540">
        <f>'прил13(ведом 22-23)'!N598</f>
        <v>563979.39999999991</v>
      </c>
    </row>
    <row r="37" spans="1:5" ht="18.75">
      <c r="A37" s="639"/>
      <c r="B37" s="544" t="s">
        <v>423</v>
      </c>
      <c r="C37" s="543" t="s">
        <v>424</v>
      </c>
      <c r="D37" s="540">
        <f>'прил13(ведом 22-23)'!M599</f>
        <v>113704.3</v>
      </c>
      <c r="E37" s="540">
        <f>'прил13(ведом 22-23)'!N599</f>
        <v>114364.6</v>
      </c>
    </row>
    <row r="38" spans="1:5" ht="18.75">
      <c r="A38" s="638"/>
      <c r="B38" s="544" t="s">
        <v>206</v>
      </c>
      <c r="C38" s="543" t="s">
        <v>425</v>
      </c>
      <c r="D38" s="540">
        <f>'прил13(ведом 22-23)'!M601</f>
        <v>10086.099999999999</v>
      </c>
      <c r="E38" s="540">
        <f>'прил13(ведом 22-23)'!N601</f>
        <v>10086.099999999999</v>
      </c>
    </row>
    <row r="39" spans="1:5" ht="18.75">
      <c r="A39" s="639"/>
      <c r="B39" s="544" t="s">
        <v>207</v>
      </c>
      <c r="C39" s="543" t="s">
        <v>208</v>
      </c>
      <c r="D39" s="540">
        <f>'прил13(ведом 22-23)'!M602</f>
        <v>65031.5</v>
      </c>
      <c r="E39" s="540">
        <f>'прил13(ведом 22-23)'!N602</f>
        <v>65070.8</v>
      </c>
    </row>
    <row r="40" spans="1:5" ht="18.75">
      <c r="A40" s="640">
        <v>6</v>
      </c>
      <c r="B40" s="545" t="s">
        <v>209</v>
      </c>
      <c r="C40" s="541" t="s">
        <v>210</v>
      </c>
      <c r="D40" s="542">
        <f>SUM(D41:D42)</f>
        <v>33886.800000000003</v>
      </c>
      <c r="E40" s="542">
        <f>SUM(E41:E42)</f>
        <v>33978.600000000006</v>
      </c>
    </row>
    <row r="41" spans="1:5" ht="18.75">
      <c r="A41" s="639"/>
      <c r="B41" s="544" t="s">
        <v>211</v>
      </c>
      <c r="C41" s="543" t="s">
        <v>212</v>
      </c>
      <c r="D41" s="540">
        <f>'прил13(ведом 22-23)'!M605</f>
        <v>24640.7</v>
      </c>
      <c r="E41" s="540">
        <f>'прил13(ведом 22-23)'!N605</f>
        <v>24674.7</v>
      </c>
    </row>
    <row r="42" spans="1:5" ht="37.5">
      <c r="A42" s="639"/>
      <c r="B42" s="544" t="s">
        <v>213</v>
      </c>
      <c r="C42" s="543" t="s">
        <v>214</v>
      </c>
      <c r="D42" s="540">
        <f>'прил13(ведом 22-23)'!M606</f>
        <v>9246.1</v>
      </c>
      <c r="E42" s="540">
        <f>'прил13(ведом 22-23)'!N606</f>
        <v>9303.9000000000015</v>
      </c>
    </row>
    <row r="43" spans="1:5" s="22" customFormat="1" ht="18.75">
      <c r="A43" s="638">
        <v>7</v>
      </c>
      <c r="B43" s="638">
        <v>1000</v>
      </c>
      <c r="C43" s="541" t="s">
        <v>140</v>
      </c>
      <c r="D43" s="542">
        <f>SUM(D44:D46)</f>
        <v>117829.29999999999</v>
      </c>
      <c r="E43" s="542">
        <f>SUM(E44:E46)</f>
        <v>119212.09999999999</v>
      </c>
    </row>
    <row r="44" spans="1:5" ht="18.75">
      <c r="A44" s="639"/>
      <c r="B44" s="639">
        <v>1001</v>
      </c>
      <c r="C44" s="543" t="s">
        <v>432</v>
      </c>
      <c r="D44" s="540">
        <f>'прил13(ведом 22-23)'!M609</f>
        <v>552</v>
      </c>
      <c r="E44" s="540">
        <f>'прил13(ведом 22-23)'!N609</f>
        <v>552</v>
      </c>
    </row>
    <row r="45" spans="1:5" ht="18.75">
      <c r="A45" s="639"/>
      <c r="B45" s="639">
        <v>1004</v>
      </c>
      <c r="C45" s="543" t="s">
        <v>215</v>
      </c>
      <c r="D45" s="548">
        <f>'прил13(ведом 22-23)'!M610</f>
        <v>108756.9</v>
      </c>
      <c r="E45" s="548">
        <f>'прил13(ведом 22-23)'!N610</f>
        <v>110139.7</v>
      </c>
    </row>
    <row r="46" spans="1:5" ht="18.75">
      <c r="A46" s="639"/>
      <c r="B46" s="639">
        <v>1006</v>
      </c>
      <c r="C46" s="543" t="s">
        <v>216</v>
      </c>
      <c r="D46" s="548">
        <f>'прил13(ведом 22-23)'!M611</f>
        <v>8520.4</v>
      </c>
      <c r="E46" s="548">
        <f>'прил13(ведом 22-23)'!N611</f>
        <v>8520.4</v>
      </c>
    </row>
    <row r="47" spans="1:5" ht="18.75">
      <c r="A47" s="640">
        <v>8</v>
      </c>
      <c r="B47" s="641">
        <v>1100</v>
      </c>
      <c r="C47" s="536" t="s">
        <v>217</v>
      </c>
      <c r="D47" s="642">
        <f>SUM(D48:D50)</f>
        <v>21802.000000000004</v>
      </c>
      <c r="E47" s="642">
        <f>SUM(E48:E50)</f>
        <v>24529.200000000001</v>
      </c>
    </row>
    <row r="48" spans="1:5" ht="18.75">
      <c r="A48" s="643"/>
      <c r="B48" s="644">
        <v>1101</v>
      </c>
      <c r="C48" s="645" t="s">
        <v>443</v>
      </c>
      <c r="D48" s="548">
        <f>'прил13(ведом 22-23)'!M614</f>
        <v>19316.600000000002</v>
      </c>
      <c r="E48" s="548">
        <f>'прил13(ведом 22-23)'!N614</f>
        <v>18463.7</v>
      </c>
    </row>
    <row r="49" spans="1:8" ht="18.75">
      <c r="A49" s="643"/>
      <c r="B49" s="644">
        <v>1102</v>
      </c>
      <c r="C49" s="163" t="s">
        <v>219</v>
      </c>
      <c r="D49" s="548">
        <f>'прил13(ведом 22-23)'!M615</f>
        <v>0</v>
      </c>
      <c r="E49" s="548">
        <f>'прил13(ведом 22-23)'!N615</f>
        <v>3689.7999999999997</v>
      </c>
    </row>
    <row r="50" spans="1:8" ht="37.5">
      <c r="A50" s="639"/>
      <c r="B50" s="544" t="s">
        <v>220</v>
      </c>
      <c r="C50" s="647" t="s">
        <v>221</v>
      </c>
      <c r="D50" s="540">
        <f>'прил13(ведом 22-23)'!M616</f>
        <v>2485.4</v>
      </c>
      <c r="E50" s="540">
        <f>'прил13(ведом 22-23)'!N616</f>
        <v>2375.7000000000003</v>
      </c>
    </row>
    <row r="51" spans="1:8" ht="37.5">
      <c r="A51" s="638">
        <v>9</v>
      </c>
      <c r="B51" s="545" t="s">
        <v>484</v>
      </c>
      <c r="C51" s="297" t="s">
        <v>475</v>
      </c>
      <c r="D51" s="642">
        <f>D52</f>
        <v>9.4</v>
      </c>
      <c r="E51" s="642">
        <f>E52</f>
        <v>0</v>
      </c>
    </row>
    <row r="52" spans="1:8" ht="37.5">
      <c r="A52" s="639"/>
      <c r="B52" s="544" t="s">
        <v>485</v>
      </c>
      <c r="C52" s="647" t="s">
        <v>769</v>
      </c>
      <c r="D52" s="540">
        <f>'прил13(ведом 22-23)'!M619</f>
        <v>9.4</v>
      </c>
      <c r="E52" s="540">
        <f>'прил13(ведом 22-23)'!N619</f>
        <v>0</v>
      </c>
    </row>
    <row r="53" spans="1:8" ht="56.25">
      <c r="A53" s="638">
        <v>10</v>
      </c>
      <c r="B53" s="641">
        <v>1400</v>
      </c>
      <c r="C53" s="541" t="s">
        <v>222</v>
      </c>
      <c r="D53" s="648">
        <f>SUM(D54:D54)</f>
        <v>5500</v>
      </c>
      <c r="E53" s="648">
        <f>SUM(E54:E54)</f>
        <v>5500</v>
      </c>
    </row>
    <row r="54" spans="1:8" ht="56.25">
      <c r="A54" s="649"/>
      <c r="B54" s="644">
        <v>1401</v>
      </c>
      <c r="C54" s="543" t="s">
        <v>223</v>
      </c>
      <c r="D54" s="650">
        <f>'прил13(ведом 22-23)'!M622</f>
        <v>5500</v>
      </c>
      <c r="E54" s="650">
        <f>'прил13(ведом 22-23)'!N622</f>
        <v>5500</v>
      </c>
    </row>
    <row r="55" spans="1:8" ht="18.75">
      <c r="A55" s="638">
        <v>11</v>
      </c>
      <c r="B55" s="641"/>
      <c r="C55" s="541" t="s">
        <v>445</v>
      </c>
      <c r="D55" s="648">
        <f>SUM(D56:D56)</f>
        <v>27047.8</v>
      </c>
      <c r="E55" s="648">
        <f>SUM(E56:E56)</f>
        <v>60960.7</v>
      </c>
    </row>
    <row r="56" spans="1:8" ht="18.75">
      <c r="A56" s="649"/>
      <c r="B56" s="644"/>
      <c r="C56" s="543" t="s">
        <v>445</v>
      </c>
      <c r="D56" s="650">
        <f>'прил13(ведом 22-23)'!M625</f>
        <v>27047.8</v>
      </c>
      <c r="E56" s="650">
        <f>'прил13(ведом 22-23)'!N625</f>
        <v>60960.7</v>
      </c>
    </row>
    <row r="59" spans="1:8" s="24" customFormat="1" ht="18.75">
      <c r="A59" s="374" t="s">
        <v>467</v>
      </c>
      <c r="B59" s="282"/>
      <c r="C59" s="283"/>
      <c r="D59" s="283"/>
      <c r="E59" s="283"/>
      <c r="F59" s="28"/>
      <c r="G59" s="29"/>
      <c r="H59" s="25"/>
    </row>
    <row r="60" spans="1:8" s="24" customFormat="1" ht="18.75">
      <c r="A60" s="374" t="s">
        <v>468</v>
      </c>
      <c r="B60" s="282"/>
      <c r="C60" s="283"/>
      <c r="D60" s="283"/>
      <c r="E60" s="283"/>
      <c r="F60" s="28"/>
      <c r="G60" s="29"/>
      <c r="H60" s="25"/>
    </row>
    <row r="61" spans="1:8" s="24" customFormat="1" ht="18.75">
      <c r="A61" s="375" t="s">
        <v>469</v>
      </c>
      <c r="B61" s="282"/>
      <c r="C61" s="279"/>
      <c r="D61" s="279"/>
      <c r="E61" s="376" t="s">
        <v>494</v>
      </c>
      <c r="F61" s="28"/>
    </row>
  </sheetData>
  <mergeCells count="6">
    <mergeCell ref="A8:E8"/>
    <mergeCell ref="D12:E12"/>
    <mergeCell ref="A12:A13"/>
    <mergeCell ref="B12:B13"/>
    <mergeCell ref="C12:C13"/>
    <mergeCell ref="A9:E9"/>
  </mergeCells>
  <printOptions horizontalCentered="1"/>
  <pageMargins left="1.1811023622047245" right="0.39370078740157483" top="0.78740157480314965" bottom="0.78740157480314965" header="0" footer="0"/>
  <pageSetup paperSize="9" scale="8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32</vt:i4>
      </vt:variant>
    </vt:vector>
  </HeadingPairs>
  <TitlesOfParts>
    <vt:vector size="55" baseType="lpstr">
      <vt:lpstr>прил.1 (админ.)</vt:lpstr>
      <vt:lpstr>прил. 2 (поступл.21)</vt:lpstr>
      <vt:lpstr>прил. 3 (поступл. 22-23)</vt:lpstr>
      <vt:lpstr>прил.4 (пост.безв.21)</vt:lpstr>
      <vt:lpstr>прил.5 (пост.безв.22-23)</vt:lpstr>
      <vt:lpstr>прил.6 (безв.от пос.21) (2)</vt:lpstr>
      <vt:lpstr>прил.7 (норм.доходов)</vt:lpstr>
      <vt:lpstr>прил 8 (Рз,ПР 21)</vt:lpstr>
      <vt:lpstr>прил 9 (Рз,ПР 22-23)</vt:lpstr>
      <vt:lpstr>прил 10 (ЦС,ВР 21)</vt:lpstr>
      <vt:lpstr>прил 11 (ЦС,ВР 22-23)</vt:lpstr>
      <vt:lpstr>прил12(ведом 21)</vt:lpstr>
      <vt:lpstr>прил13(ведом 22-23)</vt:lpstr>
      <vt:lpstr>прил.14 (Источники 21)</vt:lpstr>
      <vt:lpstr>прил.15 (Источники 22-23)</vt:lpstr>
      <vt:lpstr>прил.16(безв.всего 21)</vt:lpstr>
      <vt:lpstr>прил.17(безв.всего 22-23)</vt:lpstr>
      <vt:lpstr>прил.18(дотация 21)</vt:lpstr>
      <vt:lpstr>прил.19(дотация 22-23)</vt:lpstr>
      <vt:lpstr>прил.20мун.внутр.заим.21-23)</vt:lpstr>
      <vt:lpstr>прил.21(гар. 21-23)</vt:lpstr>
      <vt:lpstr>прил.22мун.внеш.заим.21-23</vt:lpstr>
      <vt:lpstr>прил.23(гар.в ин.в.21-23)</vt:lpstr>
      <vt:lpstr>'прил 10 (ЦС,ВР 21)'!Заголовки_для_печати</vt:lpstr>
      <vt:lpstr>'прил 11 (ЦС,ВР 22-23)'!Заголовки_для_печати</vt:lpstr>
      <vt:lpstr>'прил 8 (Рз,ПР 21)'!Заголовки_для_печати</vt:lpstr>
      <vt:lpstr>'прил 9 (Рз,ПР 22-23)'!Заголовки_для_печати</vt:lpstr>
      <vt:lpstr>'прил. 2 (поступл.21)'!Заголовки_для_печати</vt:lpstr>
      <vt:lpstr>'прил. 3 (поступл. 22-23)'!Заголовки_для_печати</vt:lpstr>
      <vt:lpstr>'прил.1 (админ.)'!Заголовки_для_печати</vt:lpstr>
      <vt:lpstr>'прил.14 (Источники 21)'!Заголовки_для_печати</vt:lpstr>
      <vt:lpstr>'прил.15 (Источники 22-23)'!Заголовки_для_печати</vt:lpstr>
      <vt:lpstr>'прил.4 (пост.безв.21)'!Заголовки_для_печати</vt:lpstr>
      <vt:lpstr>'прил.5 (пост.безв.22-23)'!Заголовки_для_печати</vt:lpstr>
      <vt:lpstr>'прил.6 (безв.от пос.21) (2)'!Заголовки_для_печати</vt:lpstr>
      <vt:lpstr>'прил.7 (норм.доходов)'!Заголовки_для_печати</vt:lpstr>
      <vt:lpstr>'прил12(ведом 21)'!Заголовки_для_печати</vt:lpstr>
      <vt:lpstr>'прил13(ведом 22-23)'!Заголовки_для_печати</vt:lpstr>
      <vt:lpstr>'прил 10 (ЦС,ВР 21)'!Область_печати</vt:lpstr>
      <vt:lpstr>'прил 11 (ЦС,ВР 22-23)'!Область_печати</vt:lpstr>
      <vt:lpstr>'прил 8 (Рз,ПР 21)'!Область_печати</vt:lpstr>
      <vt:lpstr>'прил 9 (Рз,ПР 22-23)'!Область_печати</vt:lpstr>
      <vt:lpstr>'прил. 2 (поступл.21)'!Область_печати</vt:lpstr>
      <vt:lpstr>'прил. 3 (поступл. 22-23)'!Область_печати</vt:lpstr>
      <vt:lpstr>'прил.1 (админ.)'!Область_печати</vt:lpstr>
      <vt:lpstr>'прил.14 (Источники 21)'!Область_печати</vt:lpstr>
      <vt:lpstr>'прил.16(безв.всего 21)'!Область_печати</vt:lpstr>
      <vt:lpstr>'прил.18(дотация 21)'!Область_печати</vt:lpstr>
      <vt:lpstr>'прил.19(дотация 22-23)'!Область_печати</vt:lpstr>
      <vt:lpstr>'прил.4 (пост.безв.21)'!Область_печати</vt:lpstr>
      <vt:lpstr>'прил.5 (пост.безв.22-23)'!Область_печати</vt:lpstr>
      <vt:lpstr>'прил.6 (безв.от пос.21) (2)'!Область_печати</vt:lpstr>
      <vt:lpstr>'прил.7 (норм.доходов)'!Область_печати</vt:lpstr>
      <vt:lpstr>'прил12(ведом 21)'!Область_печати</vt:lpstr>
      <vt:lpstr>'прил13(ведом 22-23)'!Область_печати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2021-06-21T13:35:20Z</dcterms:modified>
</cp:coreProperties>
</file>