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3765" windowWidth="14805" windowHeight="4350" tabRatio="852" firstSheet="15" activeTab="19"/>
  </bookViews>
  <sheets>
    <sheet name="прил.1 (админ.)" sheetId="1" r:id="rId1"/>
    <sheet name="прил. 2 (поступл.21)" sheetId="5" r:id="rId2"/>
    <sheet name="прил. 3 (поступл. 22-23)" sheetId="15" r:id="rId3"/>
    <sheet name="прил.4 (пост.безв.21)" sheetId="2" r:id="rId4"/>
    <sheet name="прил.5 (пост.безв.22-23)" sheetId="16" r:id="rId5"/>
    <sheet name="прил.6 (безв.от пос.21) (2)" sheetId="27" r:id="rId6"/>
    <sheet name="прил.7 (норм.доходов)" sheetId="26" r:id="rId7"/>
    <sheet name="прил 8 (Рз,ПР 21)" sheetId="6" r:id="rId8"/>
    <sheet name="прил 9 (Рз,ПР 22-23)" sheetId="17" r:id="rId9"/>
    <sheet name="прил 10 (ЦС,ВР 21)" sheetId="7" r:id="rId10"/>
    <sheet name="прил 11 (ЦС,ВР 22-23)" sheetId="18" r:id="rId11"/>
    <sheet name="прил12(ведом 21)" sheetId="3" r:id="rId12"/>
    <sheet name="прил13(ведом 22-23)" sheetId="19" r:id="rId13"/>
    <sheet name="прил.14 (Источники 21)" sheetId="8" r:id="rId14"/>
    <sheet name="прил.15 (Источники 22-23)" sheetId="20" r:id="rId15"/>
    <sheet name="прил.16(безв.всего 21)" sheetId="9" r:id="rId16"/>
    <sheet name="прил.17(безв.всего 22-23)" sheetId="21" r:id="rId17"/>
    <sheet name="прил.18(дотация 21)" sheetId="11" r:id="rId18"/>
    <sheet name="прил.19(дотация 22-23)" sheetId="22" r:id="rId19"/>
    <sheet name="прил.20мун.внутр.заим.21-23)" sheetId="12" r:id="rId20"/>
    <sheet name="прил.21(гар. 21-23)" sheetId="13" r:id="rId21"/>
    <sheet name="прил.22мун.внеш.заим.21-23" sheetId="28" r:id="rId22"/>
    <sheet name="прил.23(гар.в ин.в.21-23)" sheetId="29" r:id="rId23"/>
  </sheets>
  <definedNames>
    <definedName name="_xlnm._FilterDatabase" localSheetId="9" hidden="1">'прил 10 (ЦС,ВР 21)'!$A$4:$J$585</definedName>
    <definedName name="_xlnm._FilterDatabase" localSheetId="10" hidden="1">'прил 11 (ЦС,ВР 22-23)'!$A$4:$L$430</definedName>
    <definedName name="_xlnm._FilterDatabase" localSheetId="7" hidden="1">'прил 8 (Рз,ПР 21)'!$A$12:$AI$54</definedName>
    <definedName name="_xlnm._FilterDatabase" localSheetId="8" hidden="1">'прил 9 (Рз,ПР 22-23)'!$A$1:$H$61</definedName>
    <definedName name="_xlnm._FilterDatabase" localSheetId="0" hidden="1">'прил.1 (админ.)'!$A$12:$H$218</definedName>
    <definedName name="_xlnm._FilterDatabase" localSheetId="3" hidden="1">'прил.4 (пост.безв.21)'!$A$4:$D$80</definedName>
    <definedName name="_xlnm._FilterDatabase" localSheetId="4" hidden="1">'прил.5 (пост.безв.22-23)'!$A$12:$J$74</definedName>
    <definedName name="_xlnm._FilterDatabase" localSheetId="11" hidden="1">'прил12(ведом 21)'!$A$4:$Y$875</definedName>
    <definedName name="_xlnm._FilterDatabase" localSheetId="12" hidden="1">'прил13(ведом 22-23)'!$A$4:$P$634</definedName>
    <definedName name="Z_168CADD9_CFDC_4445_BFE6_DAD4B9423C72_.wvu.FilterData" localSheetId="9" hidden="1">'прил 10 (ЦС,ВР 21)'!#REF!</definedName>
    <definedName name="Z_168CADD9_CFDC_4445_BFE6_DAD4B9423C72_.wvu.FilterData" localSheetId="10" hidden="1">'прил 11 (ЦС,ВР 22-23)'!#REF!</definedName>
    <definedName name="Z_1F25B6A1_C9F7_11D8_A2FD_006098EF8B30_.wvu.FilterData" localSheetId="9" hidden="1">'прил 10 (ЦС,ВР 21)'!#REF!</definedName>
    <definedName name="Z_1F25B6A1_C9F7_11D8_A2FD_006098EF8B30_.wvu.FilterData" localSheetId="10" hidden="1">'прил 11 (ЦС,ВР 22-23)'!#REF!</definedName>
    <definedName name="Z_29D950F2_21ED_48E6_BFC6_87DD89E0125A_.wvu.FilterData" localSheetId="9" hidden="1">'прил 10 (ЦС,ВР 21)'!#REF!</definedName>
    <definedName name="Z_29D950F2_21ED_48E6_BFC6_87DD89E0125A_.wvu.FilterData" localSheetId="10" hidden="1">'прил 11 (ЦС,ВР 22-23)'!#REF!</definedName>
    <definedName name="Z_2CA7FCD5_27A5_4474_9D49_7A7E23BD2FF9_.wvu.FilterData" localSheetId="9" hidden="1">'прил 10 (ЦС,ВР 21)'!#REF!</definedName>
    <definedName name="Z_2CA7FCD5_27A5_4474_9D49_7A7E23BD2FF9_.wvu.FilterData" localSheetId="10" hidden="1">'прил 11 (ЦС,ВР 22-23)'!#REF!</definedName>
    <definedName name="Z_48E28AC5_4E0A_4FBA_AE6D_340F9E8D4B3C_.wvu.FilterData" localSheetId="9" hidden="1">'прил 10 (ЦС,ВР 21)'!#REF!</definedName>
    <definedName name="Z_48E28AC5_4E0A_4FBA_AE6D_340F9E8D4B3C_.wvu.FilterData" localSheetId="10" hidden="1">'прил 11 (ЦС,ВР 22-23)'!#REF!</definedName>
    <definedName name="Z_6398E0F2_3205_40F4_BF0A_C9F4D0DA9A75_.wvu.FilterData" localSheetId="9" hidden="1">'прил 10 (ЦС,ВР 21)'!#REF!</definedName>
    <definedName name="Z_6398E0F2_3205_40F4_BF0A_C9F4D0DA9A75_.wvu.FilterData" localSheetId="10" hidden="1">'прил 11 (ЦС,ВР 22-23)'!#REF!</definedName>
    <definedName name="Z_64DF1B77_0EDD_4B56_A91C_5E003BE599EF_.wvu.FilterData" localSheetId="9" hidden="1">'прил 10 (ЦС,ВР 21)'!#REF!</definedName>
    <definedName name="Z_64DF1B77_0EDD_4B56_A91C_5E003BE599EF_.wvu.FilterData" localSheetId="10" hidden="1">'прил 11 (ЦС,ВР 22-23)'!#REF!</definedName>
    <definedName name="Z_6786C020_BCF1_463A_B3E9_7DE69D46EAB3_.wvu.FilterData" localSheetId="9" hidden="1">'прил 10 (ЦС,ВР 21)'!#REF!</definedName>
    <definedName name="Z_6786C020_BCF1_463A_B3E9_7DE69D46EAB3_.wvu.FilterData" localSheetId="10" hidden="1">'прил 11 (ЦС,ВР 22-23)'!#REF!</definedName>
    <definedName name="Z_8E2E7D81_C767_11D8_A2FD_006098EF8B30_.wvu.FilterData" localSheetId="9" hidden="1">'прил 10 (ЦС,ВР 21)'!#REF!</definedName>
    <definedName name="Z_8E2E7D81_C767_11D8_A2FD_006098EF8B30_.wvu.FilterData" localSheetId="10" hidden="1">'прил 11 (ЦС,ВР 22-23)'!#REF!</definedName>
    <definedName name="Z_97D0CDFA_8A34_4B3C_BA32_D4F0E3218B75_.wvu.FilterData" localSheetId="9" hidden="1">'прил 10 (ЦС,ВР 21)'!#REF!</definedName>
    <definedName name="Z_97D0CDFA_8A34_4B3C_BA32_D4F0E3218B75_.wvu.FilterData" localSheetId="10" hidden="1">'прил 11 (ЦС,ВР 22-23)'!#REF!</definedName>
    <definedName name="Z_B246FE0E_E986_4211_B02A_04E4565C0FED_.wvu.Cols" localSheetId="9" hidden="1">'прил 10 (ЦС,ВР 21)'!$A:$A,'прил 10 (ЦС,ВР 21)'!#REF!</definedName>
    <definedName name="Z_B246FE0E_E986_4211_B02A_04E4565C0FED_.wvu.Cols" localSheetId="10" hidden="1">'прил 11 (ЦС,ВР 22-23)'!$A:$A,'прил 11 (ЦС,ВР 22-23)'!#REF!</definedName>
    <definedName name="Z_B246FE0E_E986_4211_B02A_04E4565C0FED_.wvu.FilterData" localSheetId="9" hidden="1">'прил 10 (ЦС,ВР 21)'!#REF!</definedName>
    <definedName name="Z_B246FE0E_E986_4211_B02A_04E4565C0FED_.wvu.FilterData" localSheetId="10" hidden="1">'прил 11 (ЦС,ВР 22-23)'!#REF!</definedName>
    <definedName name="Z_B246FE0E_E986_4211_B02A_04E4565C0FED_.wvu.PrintArea" localSheetId="9" hidden="1">'прил 10 (ЦС,ВР 21)'!#REF!</definedName>
    <definedName name="Z_B246FE0E_E986_4211_B02A_04E4565C0FED_.wvu.PrintArea" localSheetId="10" hidden="1">'прил 11 (ЦС,ВР 22-23)'!#REF!</definedName>
    <definedName name="Z_B246FE0E_E986_4211_B02A_04E4565C0FED_.wvu.PrintTitles" localSheetId="9" hidden="1">'прил 10 (ЦС,ВР 21)'!#REF!</definedName>
    <definedName name="Z_B246FE0E_E986_4211_B02A_04E4565C0FED_.wvu.PrintTitles" localSheetId="10" hidden="1">'прил 11 (ЦС,ВР 22-23)'!#REF!</definedName>
    <definedName name="Z_C54CDF8B_FA5C_4A02_B343_3FEFD9721392_.wvu.FilterData" localSheetId="9" hidden="1">'прил 10 (ЦС,ВР 21)'!#REF!</definedName>
    <definedName name="Z_C54CDF8B_FA5C_4A02_B343_3FEFD9721392_.wvu.FilterData" localSheetId="10" hidden="1">'прил 11 (ЦС,ВР 22-23)'!#REF!</definedName>
    <definedName name="Z_D7174C22_B878_4584_A218_37ED88979064_.wvu.FilterData" localSheetId="9" hidden="1">'прил 10 (ЦС,ВР 21)'!#REF!</definedName>
    <definedName name="Z_D7174C22_B878_4584_A218_37ED88979064_.wvu.FilterData" localSheetId="10" hidden="1">'прил 11 (ЦС,ВР 22-23)'!#REF!</definedName>
    <definedName name="Z_DD7538FB_7299_4DEE_90D5_2739132A1616_.wvu.FilterData" localSheetId="9" hidden="1">'прил 10 (ЦС,ВР 21)'!#REF!</definedName>
    <definedName name="Z_DD7538FB_7299_4DEE_90D5_2739132A1616_.wvu.FilterData" localSheetId="10" hidden="1">'прил 11 (ЦС,ВР 22-23)'!#REF!</definedName>
    <definedName name="Z_E4B436A8_4A5B_422F_8C0E_9267F763D19D_.wvu.FilterData" localSheetId="9" hidden="1">'прил 10 (ЦС,ВР 21)'!#REF!</definedName>
    <definedName name="Z_E4B436A8_4A5B_422F_8C0E_9267F763D19D_.wvu.FilterData" localSheetId="10" hidden="1">'прил 11 (ЦС,ВР 22-23)'!#REF!</definedName>
    <definedName name="Z_E6BB4361_1D58_11D9_A2FD_006098EF8B30_.wvu.FilterData" localSheetId="9" hidden="1">'прил 10 (ЦС,ВР 21)'!#REF!</definedName>
    <definedName name="Z_E6BB4361_1D58_11D9_A2FD_006098EF8B30_.wvu.FilterData" localSheetId="10" hidden="1">'прил 11 (ЦС,ВР 22-23)'!#REF!</definedName>
    <definedName name="Z_EF486DA3_1DF3_11D9_A2FD_006098EF8B30_.wvu.FilterData" localSheetId="9" hidden="1">'прил 10 (ЦС,ВР 21)'!#REF!</definedName>
    <definedName name="Z_EF486DA3_1DF3_11D9_A2FD_006098EF8B30_.wvu.FilterData" localSheetId="10" hidden="1">'прил 11 (ЦС,ВР 22-23)'!#REF!</definedName>
    <definedName name="Z_EF486DA8_1DF3_11D9_A2FD_006098EF8B30_.wvu.FilterData" localSheetId="9" hidden="1">'прил 10 (ЦС,ВР 21)'!#REF!</definedName>
    <definedName name="Z_EF486DA8_1DF3_11D9_A2FD_006098EF8B30_.wvu.FilterData" localSheetId="10" hidden="1">'прил 11 (ЦС,ВР 22-23)'!#REF!</definedName>
    <definedName name="Z_EF486DAA_1DF3_11D9_A2FD_006098EF8B30_.wvu.FilterData" localSheetId="9" hidden="1">'прил 10 (ЦС,ВР 21)'!#REF!</definedName>
    <definedName name="Z_EF486DAA_1DF3_11D9_A2FD_006098EF8B30_.wvu.FilterData" localSheetId="10" hidden="1">'прил 11 (ЦС,ВР 22-23)'!#REF!</definedName>
    <definedName name="Z_EF486DAC_1DF3_11D9_A2FD_006098EF8B30_.wvu.FilterData" localSheetId="9" hidden="1">'прил 10 (ЦС,ВР 21)'!#REF!</definedName>
    <definedName name="Z_EF486DAC_1DF3_11D9_A2FD_006098EF8B30_.wvu.FilterData" localSheetId="10" hidden="1">'прил 11 (ЦС,ВР 22-23)'!#REF!</definedName>
    <definedName name="Z_EF5A4981_C8E4_11D8_A2FC_006098EF8BA8_.wvu.Cols" localSheetId="9" hidden="1">'прил 10 (ЦС,ВР 21)'!$A:$A,'прил 10 (ЦС,ВР 21)'!#REF!,'прил 10 (ЦС,ВР 21)'!#REF!</definedName>
    <definedName name="Z_EF5A4981_C8E4_11D8_A2FC_006098EF8BA8_.wvu.Cols" localSheetId="10" hidden="1">'прил 11 (ЦС,ВР 22-23)'!$A:$A,'прил 11 (ЦС,ВР 22-23)'!#REF!,'прил 11 (ЦС,ВР 22-23)'!#REF!</definedName>
    <definedName name="Z_EF5A4981_C8E4_11D8_A2FC_006098EF8BA8_.wvu.FilterData" localSheetId="9" hidden="1">'прил 10 (ЦС,ВР 21)'!#REF!</definedName>
    <definedName name="Z_EF5A4981_C8E4_11D8_A2FC_006098EF8BA8_.wvu.FilterData" localSheetId="10" hidden="1">'прил 11 (ЦС,ВР 22-23)'!#REF!</definedName>
    <definedName name="Z_EF5A4981_C8E4_11D8_A2FC_006098EF8BA8_.wvu.PrintArea" localSheetId="9" hidden="1">'прил 10 (ЦС,ВР 21)'!#REF!</definedName>
    <definedName name="Z_EF5A4981_C8E4_11D8_A2FC_006098EF8BA8_.wvu.PrintArea" localSheetId="10" hidden="1">'прил 11 (ЦС,ВР 22-23)'!#REF!</definedName>
    <definedName name="Z_EF5A4981_C8E4_11D8_A2FC_006098EF8BA8_.wvu.PrintTitles" localSheetId="9" hidden="1">'прил 10 (ЦС,ВР 21)'!#REF!</definedName>
    <definedName name="Z_EF5A4981_C8E4_11D8_A2FC_006098EF8BA8_.wvu.PrintTitles" localSheetId="10" hidden="1">'прил 11 (ЦС,ВР 22-23)'!#REF!</definedName>
    <definedName name="_xlnm.Print_Titles" localSheetId="9">'прил 10 (ЦС,ВР 21)'!$12:$12</definedName>
    <definedName name="_xlnm.Print_Titles" localSheetId="10">'прил 11 (ЦС,ВР 22-23)'!$13:$13</definedName>
    <definedName name="_xlnm.Print_Titles" localSheetId="7">'прил 8 (Рз,ПР 21)'!$13:$13</definedName>
    <definedName name="_xlnm.Print_Titles" localSheetId="8">'прил 9 (Рз,ПР 22-23)'!$14:$14</definedName>
    <definedName name="_xlnm.Print_Titles" localSheetId="1">'прил. 2 (поступл.21)'!$12:$12</definedName>
    <definedName name="_xlnm.Print_Titles" localSheetId="2">'прил. 3 (поступл. 22-23)'!$13:$13</definedName>
    <definedName name="_xlnm.Print_Titles" localSheetId="0">'прил.1 (админ.)'!$12:$12</definedName>
    <definedName name="_xlnm.Print_Titles" localSheetId="13">'прил.14 (Источники 21)'!$12:$12</definedName>
    <definedName name="_xlnm.Print_Titles" localSheetId="14">'прил.15 (Источники 22-23)'!$12:$12</definedName>
    <definedName name="_xlnm.Print_Titles" localSheetId="19">'прил.20мун.внутр.заим.21-23)'!#REF!</definedName>
    <definedName name="_xlnm.Print_Titles" localSheetId="3">'прил.4 (пост.безв.21)'!$12:$12</definedName>
    <definedName name="_xlnm.Print_Titles" localSheetId="4">'прил.5 (пост.безв.22-23)'!$12:$12</definedName>
    <definedName name="_xlnm.Print_Titles" localSheetId="5">'прил.6 (безв.от пос.21) (2)'!$12:$12</definedName>
    <definedName name="_xlnm.Print_Titles" localSheetId="6">'прил.7 (норм.доходов)'!$13:$13</definedName>
    <definedName name="_xlnm.Print_Titles" localSheetId="11">'прил12(ведом 21)'!$13:$13</definedName>
    <definedName name="_xlnm.Print_Titles" localSheetId="12">'прил13(ведом 22-23)'!$14:$14</definedName>
    <definedName name="_xlnm.Print_Area" localSheetId="9">'прил 10 (ЦС,ВР 21)'!$A$1:$H$574</definedName>
    <definedName name="_xlnm.Print_Area" localSheetId="10">'прил 11 (ЦС,ВР 22-23)'!$A$1:$I$416</definedName>
    <definedName name="_xlnm.Print_Area" localSheetId="7">'прил 8 (Рз,ПР 21)'!$A$1:$D$60</definedName>
    <definedName name="_xlnm.Print_Area" localSheetId="8">'прил 9 (Рз,ПР 22-23)'!$A$1:$E$61</definedName>
    <definedName name="_xlnm.Print_Area" localSheetId="1">'прил. 2 (поступл.21)'!$A$1:$C$50</definedName>
    <definedName name="_xlnm.Print_Area" localSheetId="2">'прил. 3 (поступл. 22-23)'!$A$1:$D$46</definedName>
    <definedName name="_xlnm.Print_Area" localSheetId="0">'прил.1 (админ.)'!$A$1:$C$225</definedName>
    <definedName name="_xlnm.Print_Area" localSheetId="13">'прил.14 (Источники 21)'!$A$1:$C$31</definedName>
    <definedName name="_xlnm.Print_Area" localSheetId="15">'прил.16(безв.всего 21)'!$A$1:$B$20</definedName>
    <definedName name="_xlnm.Print_Area" localSheetId="17">'прил.18(дотация 21)'!$A$1:$F$25</definedName>
    <definedName name="_xlnm.Print_Area" localSheetId="18">'прил.19(дотация 22-23)'!$A$1:$G$26</definedName>
    <definedName name="_xlnm.Print_Area" localSheetId="3">'прил.4 (пост.безв.21)'!$A$1:$C$80</definedName>
    <definedName name="_xlnm.Print_Area" localSheetId="4">'прил.5 (пост.безв.22-23)'!$A$1:$D$79</definedName>
    <definedName name="_xlnm.Print_Area" localSheetId="5">'прил.6 (безв.от пос.21) (2)'!$A$4:$C$56</definedName>
    <definedName name="_xlnm.Print_Area" localSheetId="6">'прил.7 (норм.доходов)'!$A$1:$E$70</definedName>
    <definedName name="_xlnm.Print_Area" localSheetId="11">'прил12(ведом 21)'!$A$1:$M$764</definedName>
    <definedName name="_xlnm.Print_Area" localSheetId="12">'прил13(ведом 22-23)'!$A$1:$N$571</definedName>
  </definedNames>
  <calcPr calcId="124519" iterate="1"/>
</workbook>
</file>

<file path=xl/calcChain.xml><?xml version="1.0" encoding="utf-8"?>
<calcChain xmlns="http://schemas.openxmlformats.org/spreadsheetml/2006/main">
  <c r="M628" i="3"/>
  <c r="M626"/>
  <c r="M332" l="1"/>
  <c r="M445" l="1"/>
  <c r="M495"/>
  <c r="M446"/>
  <c r="M418"/>
  <c r="M70" l="1"/>
  <c r="M29"/>
  <c r="M56" l="1"/>
  <c r="H375" i="7" l="1"/>
  <c r="H374" s="1"/>
  <c r="L394" i="3"/>
  <c r="L393" s="1"/>
  <c r="M393"/>
  <c r="K393"/>
  <c r="M290" l="1"/>
  <c r="M291"/>
  <c r="M117" l="1"/>
  <c r="M453"/>
  <c r="M311" l="1"/>
  <c r="M308"/>
  <c r="D26" i="16"/>
  <c r="D24"/>
  <c r="M566" i="19" l="1"/>
  <c r="N155"/>
  <c r="N153"/>
  <c r="M282" i="3" l="1"/>
  <c r="H414" i="7" l="1"/>
  <c r="H413" s="1"/>
  <c r="K136" i="3" l="1"/>
  <c r="M136"/>
  <c r="L137" l="1"/>
  <c r="L136" s="1"/>
  <c r="C17" i="5"/>
  <c r="M364" i="3" l="1"/>
  <c r="K241" l="1"/>
  <c r="K238"/>
  <c r="K237" s="1"/>
  <c r="H562" i="7"/>
  <c r="H561" s="1"/>
  <c r="H560" s="1"/>
  <c r="L242" i="3"/>
  <c r="M241"/>
  <c r="M240" s="1"/>
  <c r="M218"/>
  <c r="L241" l="1"/>
  <c r="L240" s="1"/>
  <c r="K240"/>
  <c r="M166"/>
  <c r="M165"/>
  <c r="K566" i="19" l="1"/>
  <c r="K565" s="1"/>
  <c r="K562"/>
  <c r="K559"/>
  <c r="K556"/>
  <c r="K555" s="1"/>
  <c r="K554" s="1"/>
  <c r="K553" s="1"/>
  <c r="K552" s="1"/>
  <c r="K549"/>
  <c r="K546"/>
  <c r="K543"/>
  <c r="K540"/>
  <c r="K533"/>
  <c r="K532" s="1"/>
  <c r="K531" s="1"/>
  <c r="K530" s="1"/>
  <c r="K529" s="1"/>
  <c r="K528" s="1"/>
  <c r="K522"/>
  <c r="K521" s="1"/>
  <c r="K520" s="1"/>
  <c r="K519" s="1"/>
  <c r="K518" s="1"/>
  <c r="K514"/>
  <c r="K513" s="1"/>
  <c r="K512" s="1"/>
  <c r="K511" s="1"/>
  <c r="K510" s="1"/>
  <c r="K509" s="1"/>
  <c r="K507"/>
  <c r="K506" s="1"/>
  <c r="K504"/>
  <c r="K503" s="1"/>
  <c r="K501"/>
  <c r="K500" s="1"/>
  <c r="K490"/>
  <c r="K489" s="1"/>
  <c r="K488" s="1"/>
  <c r="K487" s="1"/>
  <c r="K486" s="1"/>
  <c r="K484"/>
  <c r="K483" s="1"/>
  <c r="K482" s="1"/>
  <c r="K481" s="1"/>
  <c r="K480" s="1"/>
  <c r="K478"/>
  <c r="K476"/>
  <c r="K472"/>
  <c r="K468"/>
  <c r="K467"/>
  <c r="K466" s="1"/>
  <c r="K461"/>
  <c r="K460"/>
  <c r="K459" s="1"/>
  <c r="K458" s="1"/>
  <c r="K457" s="1"/>
  <c r="K456" s="1"/>
  <c r="K450"/>
  <c r="K445" s="1"/>
  <c r="K444" s="1"/>
  <c r="K443" s="1"/>
  <c r="K442" s="1"/>
  <c r="K446"/>
  <c r="K440"/>
  <c r="K438"/>
  <c r="K437"/>
  <c r="K436" s="1"/>
  <c r="K432"/>
  <c r="K431" s="1"/>
  <c r="K429"/>
  <c r="K426" s="1"/>
  <c r="K427"/>
  <c r="K421"/>
  <c r="K420"/>
  <c r="K419" s="1"/>
  <c r="K418" s="1"/>
  <c r="K417" s="1"/>
  <c r="K416" s="1"/>
  <c r="K414"/>
  <c r="K412"/>
  <c r="K405"/>
  <c r="K404" s="1"/>
  <c r="K403" s="1"/>
  <c r="K402" s="1"/>
  <c r="K401" s="1"/>
  <c r="K396"/>
  <c r="K395" s="1"/>
  <c r="K394" s="1"/>
  <c r="K393" s="1"/>
  <c r="K392" s="1"/>
  <c r="K391" s="1"/>
  <c r="K388"/>
  <c r="K383"/>
  <c r="K379"/>
  <c r="K373"/>
  <c r="K372" s="1"/>
  <c r="K371" s="1"/>
  <c r="K370" s="1"/>
  <c r="K369" s="1"/>
  <c r="K367"/>
  <c r="K366" s="1"/>
  <c r="K365" s="1"/>
  <c r="K364" s="1"/>
  <c r="K362"/>
  <c r="K360"/>
  <c r="K358"/>
  <c r="K357"/>
  <c r="K356"/>
  <c r="K355"/>
  <c r="K354"/>
  <c r="K346"/>
  <c r="K345" s="1"/>
  <c r="K344" s="1"/>
  <c r="K343" s="1"/>
  <c r="K340"/>
  <c r="K339" s="1"/>
  <c r="K338" s="1"/>
  <c r="K335"/>
  <c r="K332"/>
  <c r="K328"/>
  <c r="K324"/>
  <c r="K321"/>
  <c r="K318"/>
  <c r="K316"/>
  <c r="K313" s="1"/>
  <c r="K307"/>
  <c r="K306" s="1"/>
  <c r="K305" s="1"/>
  <c r="K304" s="1"/>
  <c r="K302"/>
  <c r="K300"/>
  <c r="K298"/>
  <c r="K291"/>
  <c r="K290" s="1"/>
  <c r="K288"/>
  <c r="K287" s="1"/>
  <c r="K285"/>
  <c r="K284" s="1"/>
  <c r="K276"/>
  <c r="K274"/>
  <c r="K273" s="1"/>
  <c r="K272" s="1"/>
  <c r="K271" s="1"/>
  <c r="K270" s="1"/>
  <c r="K269" s="1"/>
  <c r="K267"/>
  <c r="K266"/>
  <c r="K265" s="1"/>
  <c r="K264" s="1"/>
  <c r="K263" s="1"/>
  <c r="K262"/>
  <c r="K261" s="1"/>
  <c r="K260" s="1"/>
  <c r="K259" s="1"/>
  <c r="K258" s="1"/>
  <c r="K257" s="1"/>
  <c r="K256" s="1"/>
  <c r="K254"/>
  <c r="K253" s="1"/>
  <c r="K252" s="1"/>
  <c r="K251" s="1"/>
  <c r="K250" s="1"/>
  <c r="K249" s="1"/>
  <c r="K245"/>
  <c r="K244" s="1"/>
  <c r="K243" s="1"/>
  <c r="K242" s="1"/>
  <c r="K240"/>
  <c r="K239"/>
  <c r="K237"/>
  <c r="K236" s="1"/>
  <c r="K234"/>
  <c r="K230"/>
  <c r="K225" s="1"/>
  <c r="K226"/>
  <c r="K223"/>
  <c r="K222" s="1"/>
  <c r="K220"/>
  <c r="K209"/>
  <c r="K208" s="1"/>
  <c r="K207" s="1"/>
  <c r="K206" s="1"/>
  <c r="K205" s="1"/>
  <c r="K204" s="1"/>
  <c r="K201"/>
  <c r="K200" s="1"/>
  <c r="K199" s="1"/>
  <c r="K198" s="1"/>
  <c r="K197" s="1"/>
  <c r="K196" s="1"/>
  <c r="K194"/>
  <c r="K193" s="1"/>
  <c r="K191"/>
  <c r="K190" s="1"/>
  <c r="K183"/>
  <c r="K182" s="1"/>
  <c r="K181" s="1"/>
  <c r="K180" s="1"/>
  <c r="K179" s="1"/>
  <c r="K174"/>
  <c r="K173" s="1"/>
  <c r="K172" s="1"/>
  <c r="K171" s="1"/>
  <c r="K170" s="1"/>
  <c r="K169" s="1"/>
  <c r="K167"/>
  <c r="K166"/>
  <c r="K165" s="1"/>
  <c r="K164" s="1"/>
  <c r="K163" s="1"/>
  <c r="K161"/>
  <c r="K160" s="1"/>
  <c r="K159" s="1"/>
  <c r="K158" s="1"/>
  <c r="K157" s="1"/>
  <c r="K154"/>
  <c r="K152"/>
  <c r="K151" s="1"/>
  <c r="K150" s="1"/>
  <c r="K144"/>
  <c r="K143" s="1"/>
  <c r="K142" s="1"/>
  <c r="K141" s="1"/>
  <c r="K139"/>
  <c r="K137"/>
  <c r="K132"/>
  <c r="K131" s="1"/>
  <c r="K130" s="1"/>
  <c r="K128"/>
  <c r="K127" s="1"/>
  <c r="K126" s="1"/>
  <c r="K122"/>
  <c r="K121" s="1"/>
  <c r="K120" s="1"/>
  <c r="K119" s="1"/>
  <c r="K118" s="1"/>
  <c r="K116"/>
  <c r="K115" s="1"/>
  <c r="K113"/>
  <c r="K112"/>
  <c r="K104"/>
  <c r="K103" s="1"/>
  <c r="K102" s="1"/>
  <c r="K100"/>
  <c r="K99" s="1"/>
  <c r="K97"/>
  <c r="K96" s="1"/>
  <c r="K91"/>
  <c r="K89"/>
  <c r="K87"/>
  <c r="K80"/>
  <c r="K79" s="1"/>
  <c r="K77"/>
  <c r="K76" s="1"/>
  <c r="K74"/>
  <c r="K72"/>
  <c r="K68"/>
  <c r="K67" s="1"/>
  <c r="K63"/>
  <c r="K62" s="1"/>
  <c r="K61" s="1"/>
  <c r="K60" s="1"/>
  <c r="K57"/>
  <c r="K56" s="1"/>
  <c r="K55" s="1"/>
  <c r="K54" s="1"/>
  <c r="K52"/>
  <c r="K51" s="1"/>
  <c r="K50" s="1"/>
  <c r="K49" s="1"/>
  <c r="K48" s="1"/>
  <c r="K46"/>
  <c r="K45" s="1"/>
  <c r="K43"/>
  <c r="K40"/>
  <c r="K37"/>
  <c r="K35"/>
  <c r="K33"/>
  <c r="K29"/>
  <c r="K23"/>
  <c r="K22" s="1"/>
  <c r="K21" s="1"/>
  <c r="K20" s="1"/>
  <c r="K19" s="1"/>
  <c r="K224" l="1"/>
  <c r="K189"/>
  <c r="K188" s="1"/>
  <c r="K187" s="1"/>
  <c r="K283"/>
  <c r="K282" s="1"/>
  <c r="K281" s="1"/>
  <c r="K280" s="1"/>
  <c r="K297"/>
  <c r="K296" s="1"/>
  <c r="K295" s="1"/>
  <c r="K71"/>
  <c r="K66" s="1"/>
  <c r="K65" s="1"/>
  <c r="K59" s="1"/>
  <c r="K18" s="1"/>
  <c r="K86"/>
  <c r="K85" s="1"/>
  <c r="K84" s="1"/>
  <c r="K83" s="1"/>
  <c r="K539"/>
  <c r="K538" s="1"/>
  <c r="K537" s="1"/>
  <c r="K536" s="1"/>
  <c r="K28"/>
  <c r="K27" s="1"/>
  <c r="K26" s="1"/>
  <c r="K25" s="1"/>
  <c r="K219"/>
  <c r="K218" s="1"/>
  <c r="K217" s="1"/>
  <c r="K216" s="1"/>
  <c r="K215" s="1"/>
  <c r="K214" s="1"/>
  <c r="K312"/>
  <c r="K311" s="1"/>
  <c r="K310" s="1"/>
  <c r="K309" s="1"/>
  <c r="K411"/>
  <c r="K410" s="1"/>
  <c r="K409" s="1"/>
  <c r="K408" s="1"/>
  <c r="K407" s="1"/>
  <c r="K471"/>
  <c r="K470" s="1"/>
  <c r="K465" s="1"/>
  <c r="K464" s="1"/>
  <c r="K463" s="1"/>
  <c r="K455" s="1"/>
  <c r="K378"/>
  <c r="K377" s="1"/>
  <c r="K376" s="1"/>
  <c r="K375" s="1"/>
  <c r="K535"/>
  <c r="K527" s="1"/>
  <c r="K136"/>
  <c r="K135" s="1"/>
  <c r="K134" s="1"/>
  <c r="K156"/>
  <c r="K178"/>
  <c r="K177" s="1"/>
  <c r="K353"/>
  <c r="K352" s="1"/>
  <c r="K351" s="1"/>
  <c r="K350" s="1"/>
  <c r="K349" s="1"/>
  <c r="K425"/>
  <c r="K424" s="1"/>
  <c r="K423" s="1"/>
  <c r="K422" s="1"/>
  <c r="K111"/>
  <c r="K110" s="1"/>
  <c r="K109" s="1"/>
  <c r="K95"/>
  <c r="K94"/>
  <c r="K93" s="1"/>
  <c r="K294"/>
  <c r="K499"/>
  <c r="K498" s="1"/>
  <c r="K497" s="1"/>
  <c r="K496" s="1"/>
  <c r="K495" s="1"/>
  <c r="K125"/>
  <c r="K149"/>
  <c r="K148" s="1"/>
  <c r="K147" s="1"/>
  <c r="K82" l="1"/>
  <c r="K17" s="1"/>
  <c r="K15" s="1"/>
  <c r="K124"/>
  <c r="K108" s="1"/>
  <c r="K400"/>
  <c r="K293"/>
  <c r="K279" s="1"/>
  <c r="C25" i="5" l="1"/>
  <c r="C32" l="1"/>
  <c r="C31"/>
  <c r="C30"/>
  <c r="C29"/>
  <c r="C24"/>
  <c r="C20"/>
  <c r="C19"/>
  <c r="M457" i="3" l="1"/>
  <c r="M337"/>
  <c r="H351" i="7" s="1"/>
  <c r="L337" i="3"/>
  <c r="M496" l="1"/>
  <c r="M501" l="1"/>
  <c r="M458" l="1"/>
  <c r="M450"/>
  <c r="M420" l="1"/>
  <c r="M499"/>
  <c r="M449"/>
  <c r="C49" i="2" l="1"/>
  <c r="C66"/>
  <c r="C41"/>
  <c r="C59"/>
  <c r="M573" i="3" l="1"/>
  <c r="M577"/>
  <c r="M338"/>
  <c r="M320"/>
  <c r="M303" l="1"/>
  <c r="H274" i="7" s="1"/>
  <c r="H273" s="1"/>
  <c r="K302" i="3"/>
  <c r="K301" s="1"/>
  <c r="K300" s="1"/>
  <c r="K299" s="1"/>
  <c r="M302"/>
  <c r="M301" s="1"/>
  <c r="M300" s="1"/>
  <c r="M299" s="1"/>
  <c r="M706"/>
  <c r="M692"/>
  <c r="M655"/>
  <c r="M674"/>
  <c r="M634"/>
  <c r="M606"/>
  <c r="K612"/>
  <c r="M613"/>
  <c r="M612" s="1"/>
  <c r="L303" l="1"/>
  <c r="L302" s="1"/>
  <c r="L301" s="1"/>
  <c r="L300" s="1"/>
  <c r="L299" s="1"/>
  <c r="L613"/>
  <c r="M600"/>
  <c r="M631"/>
  <c r="M566"/>
  <c r="H196" i="7" s="1"/>
  <c r="H195" s="1"/>
  <c r="H194" s="1"/>
  <c r="K565" i="3"/>
  <c r="K564" s="1"/>
  <c r="M329"/>
  <c r="M324"/>
  <c r="M321"/>
  <c r="M565" l="1"/>
  <c r="M564" s="1"/>
  <c r="L566"/>
  <c r="L565" s="1"/>
  <c r="L564" s="1"/>
  <c r="M326"/>
  <c r="H340" i="7" s="1"/>
  <c r="H339" s="1"/>
  <c r="L326" i="3"/>
  <c r="L325" s="1"/>
  <c r="M325"/>
  <c r="K325"/>
  <c r="M317"/>
  <c r="M116"/>
  <c r="M204" l="1"/>
  <c r="L204" s="1"/>
  <c r="L203" s="1"/>
  <c r="L202" s="1"/>
  <c r="L201" s="1"/>
  <c r="L200" s="1"/>
  <c r="L199" s="1"/>
  <c r="L198" s="1"/>
  <c r="M203"/>
  <c r="M202" s="1"/>
  <c r="M201" s="1"/>
  <c r="M200" s="1"/>
  <c r="M199" s="1"/>
  <c r="M198" s="1"/>
  <c r="K203"/>
  <c r="K202" s="1"/>
  <c r="K201" s="1"/>
  <c r="K200" s="1"/>
  <c r="K199" s="1"/>
  <c r="K198" s="1"/>
  <c r="M121" l="1"/>
  <c r="M74"/>
  <c r="M522" l="1"/>
  <c r="M554"/>
  <c r="M553"/>
  <c r="M509"/>
  <c r="M472"/>
  <c r="M471"/>
  <c r="M465"/>
  <c r="M464"/>
  <c r="M463"/>
  <c r="M426"/>
  <c r="M488"/>
  <c r="M487"/>
  <c r="C52" i="2" l="1"/>
  <c r="M396" i="3"/>
  <c r="H559" i="7"/>
  <c r="M238" i="3"/>
  <c r="L238" s="1"/>
  <c r="L237" s="1"/>
  <c r="L239"/>
  <c r="H558" i="7" l="1"/>
  <c r="H557" s="1"/>
  <c r="M237" i="3"/>
  <c r="H569" i="7"/>
  <c r="H568" s="1"/>
  <c r="M656" i="3" l="1"/>
  <c r="K245"/>
  <c r="K244" s="1"/>
  <c r="K243" s="1"/>
  <c r="M245"/>
  <c r="M244" s="1"/>
  <c r="M243" s="1"/>
  <c r="L246"/>
  <c r="L245" s="1"/>
  <c r="L244" s="1"/>
  <c r="L243" s="1"/>
  <c r="K759"/>
  <c r="K757" s="1"/>
  <c r="K756"/>
  <c r="K754" s="1"/>
  <c r="K751"/>
  <c r="K745"/>
  <c r="K744" s="1"/>
  <c r="K743"/>
  <c r="K741" s="1"/>
  <c r="K740"/>
  <c r="K738" s="1"/>
  <c r="K735"/>
  <c r="K732"/>
  <c r="K725"/>
  <c r="K724" s="1"/>
  <c r="K723" s="1"/>
  <c r="K722" s="1"/>
  <c r="K721" s="1"/>
  <c r="K720" s="1"/>
  <c r="K716"/>
  <c r="K715"/>
  <c r="K709"/>
  <c r="K708" s="1"/>
  <c r="K707"/>
  <c r="K706"/>
  <c r="K705"/>
  <c r="K697"/>
  <c r="K696" s="1"/>
  <c r="K694"/>
  <c r="K693" s="1"/>
  <c r="K691"/>
  <c r="K690" s="1"/>
  <c r="K680"/>
  <c r="K679" s="1"/>
  <c r="K678" s="1"/>
  <c r="K677" s="1"/>
  <c r="K676" s="1"/>
  <c r="K675"/>
  <c r="K674"/>
  <c r="K668"/>
  <c r="K667" s="1"/>
  <c r="K666" s="1"/>
  <c r="K665" s="1"/>
  <c r="K663"/>
  <c r="K661"/>
  <c r="K660"/>
  <c r="K659" s="1"/>
  <c r="K657"/>
  <c r="K655"/>
  <c r="K654"/>
  <c r="K649"/>
  <c r="K648" s="1"/>
  <c r="K647" s="1"/>
  <c r="K642"/>
  <c r="K641" s="1"/>
  <c r="K640" s="1"/>
  <c r="K639" s="1"/>
  <c r="K638" s="1"/>
  <c r="K637" s="1"/>
  <c r="K634"/>
  <c r="K633" s="1"/>
  <c r="K631"/>
  <c r="K630"/>
  <c r="K627"/>
  <c r="K626"/>
  <c r="K622"/>
  <c r="K621" s="1"/>
  <c r="K620" s="1"/>
  <c r="K619" s="1"/>
  <c r="K615"/>
  <c r="K608"/>
  <c r="K607"/>
  <c r="K606"/>
  <c r="K601"/>
  <c r="K600"/>
  <c r="K599" s="1"/>
  <c r="K597"/>
  <c r="K596"/>
  <c r="K595" s="1"/>
  <c r="K589"/>
  <c r="K588" s="1"/>
  <c r="K587" s="1"/>
  <c r="K586" s="1"/>
  <c r="K585" s="1"/>
  <c r="K584" s="1"/>
  <c r="K582"/>
  <c r="K581" s="1"/>
  <c r="K580" s="1"/>
  <c r="K579" s="1"/>
  <c r="K578" s="1"/>
  <c r="K577"/>
  <c r="K576" s="1"/>
  <c r="K575"/>
  <c r="K574" s="1"/>
  <c r="K573"/>
  <c r="K572" s="1"/>
  <c r="K563"/>
  <c r="K562" s="1"/>
  <c r="K561" s="1"/>
  <c r="K552"/>
  <c r="K551" s="1"/>
  <c r="K550" s="1"/>
  <c r="K549" s="1"/>
  <c r="K548" s="1"/>
  <c r="K547" s="1"/>
  <c r="K544"/>
  <c r="K542"/>
  <c r="K540"/>
  <c r="K537"/>
  <c r="K536"/>
  <c r="K534"/>
  <c r="K533"/>
  <c r="K527"/>
  <c r="K526" s="1"/>
  <c r="K525" s="1"/>
  <c r="K521"/>
  <c r="K520"/>
  <c r="K519" s="1"/>
  <c r="K513"/>
  <c r="K512" s="1"/>
  <c r="K510"/>
  <c r="K508"/>
  <c r="K507"/>
  <c r="K506" s="1"/>
  <c r="K504"/>
  <c r="K503" s="1"/>
  <c r="K502"/>
  <c r="K501"/>
  <c r="K498"/>
  <c r="K497"/>
  <c r="K496"/>
  <c r="K495"/>
  <c r="K494"/>
  <c r="K486"/>
  <c r="K485" s="1"/>
  <c r="K484" s="1"/>
  <c r="K482"/>
  <c r="K481" s="1"/>
  <c r="K480"/>
  <c r="K479" s="1"/>
  <c r="K476"/>
  <c r="K473"/>
  <c r="K470"/>
  <c r="K468"/>
  <c r="K467"/>
  <c r="K462"/>
  <c r="K459"/>
  <c r="K458"/>
  <c r="K457"/>
  <c r="K456"/>
  <c r="K455"/>
  <c r="K453"/>
  <c r="K452"/>
  <c r="K450"/>
  <c r="K449"/>
  <c r="K447"/>
  <c r="K446"/>
  <c r="K445"/>
  <c r="K437"/>
  <c r="K436" s="1"/>
  <c r="K435" s="1"/>
  <c r="K434" s="1"/>
  <c r="K432"/>
  <c r="K431" s="1"/>
  <c r="K429"/>
  <c r="K427"/>
  <c r="K425"/>
  <c r="K423"/>
  <c r="K422"/>
  <c r="K421" s="1"/>
  <c r="K420"/>
  <c r="K419" s="1"/>
  <c r="K418"/>
  <c r="K417" s="1"/>
  <c r="K410"/>
  <c r="K409" s="1"/>
  <c r="K407"/>
  <c r="K406" s="1"/>
  <c r="K405"/>
  <c r="K404" s="1"/>
  <c r="K403" s="1"/>
  <c r="K396"/>
  <c r="K395" s="1"/>
  <c r="K387"/>
  <c r="K386" s="1"/>
  <c r="K385" s="1"/>
  <c r="K384" s="1"/>
  <c r="K383" s="1"/>
  <c r="K382" s="1"/>
  <c r="K381"/>
  <c r="K380" s="1"/>
  <c r="K379"/>
  <c r="K378" s="1"/>
  <c r="K371"/>
  <c r="K370"/>
  <c r="K369"/>
  <c r="K363"/>
  <c r="K362" s="1"/>
  <c r="K361" s="1"/>
  <c r="K360" s="1"/>
  <c r="K357"/>
  <c r="K356" s="1"/>
  <c r="K355" s="1"/>
  <c r="K354" s="1"/>
  <c r="K353" s="1"/>
  <c r="K352" s="1"/>
  <c r="K351" s="1"/>
  <c r="K349"/>
  <c r="K348" s="1"/>
  <c r="K347" s="1"/>
  <c r="K346" s="1"/>
  <c r="K342"/>
  <c r="K341" s="1"/>
  <c r="K340" s="1"/>
  <c r="K339" s="1"/>
  <c r="K336"/>
  <c r="K332"/>
  <c r="K331" s="1"/>
  <c r="K330" s="1"/>
  <c r="K328"/>
  <c r="K327" s="1"/>
  <c r="K323"/>
  <c r="K321"/>
  <c r="K320"/>
  <c r="K315"/>
  <c r="K312"/>
  <c r="K311"/>
  <c r="K308"/>
  <c r="K307" s="1"/>
  <c r="K306" s="1"/>
  <c r="K293"/>
  <c r="K289"/>
  <c r="K281"/>
  <c r="K280" s="1"/>
  <c r="K275"/>
  <c r="K274" s="1"/>
  <c r="K273" s="1"/>
  <c r="K272" s="1"/>
  <c r="K271" s="1"/>
  <c r="K268"/>
  <c r="K267" s="1"/>
  <c r="K266"/>
  <c r="K265" s="1"/>
  <c r="K264" s="1"/>
  <c r="K259"/>
  <c r="K258" s="1"/>
  <c r="K256"/>
  <c r="K255"/>
  <c r="K235"/>
  <c r="K234" s="1"/>
  <c r="K233"/>
  <c r="K232" s="1"/>
  <c r="K231" s="1"/>
  <c r="K230"/>
  <c r="K229" s="1"/>
  <c r="K228" s="1"/>
  <c r="K226"/>
  <c r="K225" s="1"/>
  <c r="K223"/>
  <c r="K222" s="1"/>
  <c r="K220"/>
  <c r="K219" s="1"/>
  <c r="K218"/>
  <c r="K217" s="1"/>
  <c r="K216" s="1"/>
  <c r="K210"/>
  <c r="K209" s="1"/>
  <c r="K208" s="1"/>
  <c r="K207" s="1"/>
  <c r="K206" s="1"/>
  <c r="K205" s="1"/>
  <c r="K196"/>
  <c r="K195" s="1"/>
  <c r="K194" s="1"/>
  <c r="K193" s="1"/>
  <c r="K192" s="1"/>
  <c r="K190"/>
  <c r="K189"/>
  <c r="K187"/>
  <c r="K186" s="1"/>
  <c r="K181"/>
  <c r="K180" s="1"/>
  <c r="K179" s="1"/>
  <c r="K178" s="1"/>
  <c r="K177" s="1"/>
  <c r="K174"/>
  <c r="K173" s="1"/>
  <c r="K172" s="1"/>
  <c r="K171" s="1"/>
  <c r="K170" s="1"/>
  <c r="K169" s="1"/>
  <c r="K167"/>
  <c r="K164"/>
  <c r="K159"/>
  <c r="K157"/>
  <c r="K152"/>
  <c r="K151" s="1"/>
  <c r="K150" s="1"/>
  <c r="K148"/>
  <c r="K147" s="1"/>
  <c r="K146" s="1"/>
  <c r="K143"/>
  <c r="K142" s="1"/>
  <c r="K141" s="1"/>
  <c r="K140" s="1"/>
  <c r="K139" s="1"/>
  <c r="K138" s="1"/>
  <c r="K135"/>
  <c r="K134" s="1"/>
  <c r="K133" s="1"/>
  <c r="K131"/>
  <c r="K130" s="1"/>
  <c r="K124"/>
  <c r="K123" s="1"/>
  <c r="K122" s="1"/>
  <c r="K120"/>
  <c r="K119" s="1"/>
  <c r="K117"/>
  <c r="K116"/>
  <c r="K111"/>
  <c r="K110" s="1"/>
  <c r="K108"/>
  <c r="K106"/>
  <c r="K100"/>
  <c r="K98"/>
  <c r="K96"/>
  <c r="K95"/>
  <c r="K94" s="1"/>
  <c r="K88"/>
  <c r="K87" s="1"/>
  <c r="K86" s="1"/>
  <c r="K85"/>
  <c r="K84" s="1"/>
  <c r="K83" s="1"/>
  <c r="K82"/>
  <c r="K81" s="1"/>
  <c r="K80" s="1"/>
  <c r="K78"/>
  <c r="K77" s="1"/>
  <c r="K76"/>
  <c r="K75" s="1"/>
  <c r="K74"/>
  <c r="K73" s="1"/>
  <c r="K70"/>
  <c r="K69" s="1"/>
  <c r="K68" s="1"/>
  <c r="K66"/>
  <c r="K65" s="1"/>
  <c r="K62"/>
  <c r="K61" s="1"/>
  <c r="K60" s="1"/>
  <c r="K59" s="1"/>
  <c r="K58" s="1"/>
  <c r="K56"/>
  <c r="K55" s="1"/>
  <c r="K54" s="1"/>
  <c r="K53" s="1"/>
  <c r="K52" s="1"/>
  <c r="K50"/>
  <c r="K49" s="1"/>
  <c r="K48" s="1"/>
  <c r="K47" s="1"/>
  <c r="K46" s="1"/>
  <c r="K45"/>
  <c r="K44" s="1"/>
  <c r="K43" s="1"/>
  <c r="K41"/>
  <c r="K38"/>
  <c r="K35"/>
  <c r="K33"/>
  <c r="K31"/>
  <c r="K29"/>
  <c r="K28"/>
  <c r="K21"/>
  <c r="K20" s="1"/>
  <c r="K19" s="1"/>
  <c r="K18" s="1"/>
  <c r="K17" s="1"/>
  <c r="K535" l="1"/>
  <c r="K319"/>
  <c r="K314" s="1"/>
  <c r="K313" s="1"/>
  <c r="K629"/>
  <c r="K392"/>
  <c r="K391" s="1"/>
  <c r="K390" s="1"/>
  <c r="K389" s="1"/>
  <c r="K388" s="1"/>
  <c r="K215"/>
  <c r="K335"/>
  <c r="K334" s="1"/>
  <c r="K333" s="1"/>
  <c r="K560"/>
  <c r="K558" s="1"/>
  <c r="K557" s="1"/>
  <c r="K653"/>
  <c r="K652" s="1"/>
  <c r="K651" s="1"/>
  <c r="K646" s="1"/>
  <c r="K645" s="1"/>
  <c r="K368"/>
  <c r="K367" s="1"/>
  <c r="K366" s="1"/>
  <c r="K365" s="1"/>
  <c r="K359" s="1"/>
  <c r="K358" s="1"/>
  <c r="K310"/>
  <c r="K309" s="1"/>
  <c r="K305" s="1"/>
  <c r="K466"/>
  <c r="K27"/>
  <c r="K26" s="1"/>
  <c r="K25" s="1"/>
  <c r="K24" s="1"/>
  <c r="K23" s="1"/>
  <c r="K115"/>
  <c r="K114" s="1"/>
  <c r="K113" s="1"/>
  <c r="K443"/>
  <c r="K451"/>
  <c r="K531"/>
  <c r="K714"/>
  <c r="K713" s="1"/>
  <c r="K712" s="1"/>
  <c r="K711" s="1"/>
  <c r="K710" s="1"/>
  <c r="K254"/>
  <c r="K253" s="1"/>
  <c r="K252" s="1"/>
  <c r="K251" s="1"/>
  <c r="K250" s="1"/>
  <c r="K448"/>
  <c r="K454"/>
  <c r="K493"/>
  <c r="K500"/>
  <c r="K604"/>
  <c r="K603" s="1"/>
  <c r="K673"/>
  <c r="K672" s="1"/>
  <c r="K671" s="1"/>
  <c r="K670" s="1"/>
  <c r="K669" s="1"/>
  <c r="K625"/>
  <c r="K704"/>
  <c r="K703" s="1"/>
  <c r="K702" s="1"/>
  <c r="K701" s="1"/>
  <c r="K700" s="1"/>
  <c r="K156"/>
  <c r="K155" s="1"/>
  <c r="K154" s="1"/>
  <c r="K288"/>
  <c r="K287" s="1"/>
  <c r="K286" s="1"/>
  <c r="K285" s="1"/>
  <c r="K284" s="1"/>
  <c r="K279"/>
  <c r="K278" s="1"/>
  <c r="K277" s="1"/>
  <c r="K270" s="1"/>
  <c r="K518"/>
  <c r="K517" s="1"/>
  <c r="K516" s="1"/>
  <c r="K515" s="1"/>
  <c r="K731"/>
  <c r="K730" s="1"/>
  <c r="K729" s="1"/>
  <c r="K728" s="1"/>
  <c r="K163"/>
  <c r="K162" s="1"/>
  <c r="K161" s="1"/>
  <c r="K72"/>
  <c r="K64" s="1"/>
  <c r="K63" s="1"/>
  <c r="K57" s="1"/>
  <c r="K571"/>
  <c r="K570" s="1"/>
  <c r="K569" s="1"/>
  <c r="K568" s="1"/>
  <c r="K567" s="1"/>
  <c r="K93"/>
  <c r="K92" s="1"/>
  <c r="K91" s="1"/>
  <c r="K90" s="1"/>
  <c r="K185"/>
  <c r="K184" s="1"/>
  <c r="K183" s="1"/>
  <c r="K176" s="1"/>
  <c r="K594"/>
  <c r="K611"/>
  <c r="K610" s="1"/>
  <c r="K750"/>
  <c r="K749" s="1"/>
  <c r="K748" s="1"/>
  <c r="K747" s="1"/>
  <c r="K214"/>
  <c r="K213" s="1"/>
  <c r="K212" s="1"/>
  <c r="K689"/>
  <c r="K688" s="1"/>
  <c r="K687" s="1"/>
  <c r="K686" s="1"/>
  <c r="K129"/>
  <c r="K128" s="1"/>
  <c r="K127" s="1"/>
  <c r="K145"/>
  <c r="K377"/>
  <c r="K376" s="1"/>
  <c r="K375" s="1"/>
  <c r="K374" s="1"/>
  <c r="K373" s="1"/>
  <c r="K416"/>
  <c r="K415" s="1"/>
  <c r="K414" s="1"/>
  <c r="K413" s="1"/>
  <c r="K105"/>
  <c r="K104" s="1"/>
  <c r="K402"/>
  <c r="K401" s="1"/>
  <c r="K400" s="1"/>
  <c r="K399" s="1"/>
  <c r="K263"/>
  <c r="K262" s="1"/>
  <c r="K261" s="1"/>
  <c r="K530" l="1"/>
  <c r="K529" s="1"/>
  <c r="K524" s="1"/>
  <c r="K523" s="1"/>
  <c r="K624"/>
  <c r="K623" s="1"/>
  <c r="K618" s="1"/>
  <c r="K617" s="1"/>
  <c r="K559"/>
  <c r="K492"/>
  <c r="K491" s="1"/>
  <c r="K490" s="1"/>
  <c r="K489" s="1"/>
  <c r="K699"/>
  <c r="K685" s="1"/>
  <c r="K442"/>
  <c r="K441" s="1"/>
  <c r="K440" s="1"/>
  <c r="K439" s="1"/>
  <c r="K593"/>
  <c r="K592" s="1"/>
  <c r="K591" s="1"/>
  <c r="K103"/>
  <c r="K102" s="1"/>
  <c r="K89" s="1"/>
  <c r="K144"/>
  <c r="K126" s="1"/>
  <c r="K644"/>
  <c r="K636" s="1"/>
  <c r="K16"/>
  <c r="K727"/>
  <c r="K719" s="1"/>
  <c r="K249"/>
  <c r="K248" s="1"/>
  <c r="K304"/>
  <c r="K590" l="1"/>
  <c r="K556" s="1"/>
  <c r="K298"/>
  <c r="K297" s="1"/>
  <c r="K296" s="1"/>
  <c r="K15"/>
  <c r="K412"/>
  <c r="K398" s="1"/>
  <c r="K14" l="1"/>
  <c r="C18" i="2"/>
  <c r="M281" i="3" l="1"/>
  <c r="M280" s="1"/>
  <c r="H305" i="7"/>
  <c r="H304" s="1"/>
  <c r="L282" i="3"/>
  <c r="L281" s="1"/>
  <c r="L280" s="1"/>
  <c r="M468" l="1"/>
  <c r="M467"/>
  <c r="M622" l="1"/>
  <c r="H175" i="7" s="1"/>
  <c r="M504" i="3" l="1"/>
  <c r="H87" i="7"/>
  <c r="H86" s="1"/>
  <c r="M498" i="3"/>
  <c r="L499"/>
  <c r="L498" s="1"/>
  <c r="M189" l="1"/>
  <c r="H25" i="7" l="1"/>
  <c r="M262" i="19"/>
  <c r="M379" i="3"/>
  <c r="M381"/>
  <c r="H37" i="18"/>
  <c r="M267" i="19"/>
  <c r="M266" s="1"/>
  <c r="M265" s="1"/>
  <c r="M264" s="1"/>
  <c r="M263" s="1"/>
  <c r="L268"/>
  <c r="L267" s="1"/>
  <c r="L266" s="1"/>
  <c r="L265" s="1"/>
  <c r="L264" s="1"/>
  <c r="L263" s="1"/>
  <c r="M357" i="3"/>
  <c r="M654" l="1"/>
  <c r="H325" i="7"/>
  <c r="M363" i="3"/>
  <c r="M362" s="1"/>
  <c r="M361" s="1"/>
  <c r="M360" s="1"/>
  <c r="L364" l="1"/>
  <c r="L363" s="1"/>
  <c r="L362" s="1"/>
  <c r="L361" s="1"/>
  <c r="L360" s="1"/>
  <c r="H352" i="7"/>
  <c r="L338" i="3"/>
  <c r="M336"/>
  <c r="M335" s="1"/>
  <c r="M502"/>
  <c r="C20" i="16"/>
  <c r="I28" i="18"/>
  <c r="I27" s="1"/>
  <c r="H28"/>
  <c r="H27" s="1"/>
  <c r="H36" i="7"/>
  <c r="H35" s="1"/>
  <c r="N261" i="19" l="1"/>
  <c r="N260" s="1"/>
  <c r="N259" s="1"/>
  <c r="N258" s="1"/>
  <c r="N257" s="1"/>
  <c r="N256" s="1"/>
  <c r="M261"/>
  <c r="M260" s="1"/>
  <c r="M259" s="1"/>
  <c r="M258" s="1"/>
  <c r="M257" s="1"/>
  <c r="M256" s="1"/>
  <c r="M254"/>
  <c r="L262"/>
  <c r="L261" s="1"/>
  <c r="L260" s="1"/>
  <c r="L259" s="1"/>
  <c r="L258" s="1"/>
  <c r="L257" s="1"/>
  <c r="L256" s="1"/>
  <c r="M380" i="3"/>
  <c r="L381"/>
  <c r="L380" s="1"/>
  <c r="D20" i="16"/>
  <c r="C22" i="2"/>
  <c r="M45" i="3" l="1"/>
  <c r="M28"/>
  <c r="H556" i="7"/>
  <c r="H555" s="1"/>
  <c r="H554" s="1"/>
  <c r="M349" i="3"/>
  <c r="M348" s="1"/>
  <c r="H553" i="7"/>
  <c r="H552" s="1"/>
  <c r="H551" s="1"/>
  <c r="H457"/>
  <c r="H456" s="1"/>
  <c r="H168"/>
  <c r="H167" s="1"/>
  <c r="H157"/>
  <c r="H156" s="1"/>
  <c r="M223" i="19"/>
  <c r="M596" i="3" l="1"/>
  <c r="M660"/>
  <c r="M668" l="1"/>
  <c r="M369"/>
  <c r="H396" i="7" s="1"/>
  <c r="M370" i="3"/>
  <c r="M82"/>
  <c r="M85"/>
  <c r="M266"/>
  <c r="M630"/>
  <c r="L598"/>
  <c r="L597" s="1"/>
  <c r="M597"/>
  <c r="M575"/>
  <c r="M608"/>
  <c r="L609"/>
  <c r="L608" s="1"/>
  <c r="M456"/>
  <c r="M455"/>
  <c r="M497"/>
  <c r="M447"/>
  <c r="M536"/>
  <c r="M423"/>
  <c r="L424"/>
  <c r="L423" s="1"/>
  <c r="M387"/>
  <c r="M66"/>
  <c r="M65" s="1"/>
  <c r="L67"/>
  <c r="L66" s="1"/>
  <c r="L65" s="1"/>
  <c r="M62"/>
  <c r="H444" i="7" s="1"/>
  <c r="M88" i="3"/>
  <c r="L369" l="1"/>
  <c r="M368"/>
  <c r="M520"/>
  <c r="M452"/>
  <c r="M422"/>
  <c r="M675"/>
  <c r="M347"/>
  <c r="M346" s="1"/>
  <c r="L350"/>
  <c r="L236"/>
  <c r="L235" s="1"/>
  <c r="L234" s="1"/>
  <c r="M233"/>
  <c r="M230"/>
  <c r="B15" i="9" s="1"/>
  <c r="L349" i="3" l="1"/>
  <c r="L348" s="1"/>
  <c r="L347" s="1"/>
  <c r="L346" s="1"/>
  <c r="M235"/>
  <c r="M234" s="1"/>
  <c r="M135" l="1"/>
  <c r="C54" i="2"/>
  <c r="C28" l="1"/>
  <c r="M480" i="3"/>
  <c r="L480" s="1"/>
  <c r="L479" s="1"/>
  <c r="M479" l="1"/>
  <c r="H75" i="7"/>
  <c r="H74" s="1"/>
  <c r="M405" i="3"/>
  <c r="M533" l="1"/>
  <c r="M732" l="1"/>
  <c r="H34" i="7" l="1"/>
  <c r="L430" i="3"/>
  <c r="L429" s="1"/>
  <c r="M429"/>
  <c r="H350" i="7" l="1"/>
  <c r="H349" s="1"/>
  <c r="M334" i="3"/>
  <c r="M333" s="1"/>
  <c r="L336"/>
  <c r="L335" s="1"/>
  <c r="L334" l="1"/>
  <c r="L333" s="1"/>
  <c r="H348" i="7"/>
  <c r="H347" s="1"/>
  <c r="H70"/>
  <c r="H69"/>
  <c r="M473" i="3"/>
  <c r="L475"/>
  <c r="L474"/>
  <c r="H33" i="7"/>
  <c r="H68" l="1"/>
  <c r="L473" i="3"/>
  <c r="C74" i="2" l="1"/>
  <c r="M312" i="3" l="1"/>
  <c r="M76"/>
  <c r="H531" i="7" l="1"/>
  <c r="H538"/>
  <c r="H550" l="1"/>
  <c r="H549" s="1"/>
  <c r="H548" s="1"/>
  <c r="H547"/>
  <c r="H546" s="1"/>
  <c r="H545" s="1"/>
  <c r="M229" i="3"/>
  <c r="M228" s="1"/>
  <c r="M232"/>
  <c r="M231" s="1"/>
  <c r="L233"/>
  <c r="L232" s="1"/>
  <c r="L231" s="1"/>
  <c r="L230"/>
  <c r="L229" s="1"/>
  <c r="L228" s="1"/>
  <c r="M709"/>
  <c r="N360" i="19" l="1"/>
  <c r="M360"/>
  <c r="M507" i="3" l="1"/>
  <c r="D54" i="16"/>
  <c r="N275" i="19"/>
  <c r="C38" i="2"/>
  <c r="M705" i="3" l="1"/>
  <c r="M716"/>
  <c r="M607"/>
  <c r="M627"/>
  <c r="M95" l="1"/>
  <c r="M256" l="1"/>
  <c r="M519"/>
  <c r="M508"/>
  <c r="M745" l="1"/>
  <c r="L746"/>
  <c r="L745" l="1"/>
  <c r="H373" i="7"/>
  <c r="H372" s="1"/>
  <c r="M744" i="3"/>
  <c r="L744" s="1"/>
  <c r="H530" i="7" l="1"/>
  <c r="H529" s="1"/>
  <c r="H528"/>
  <c r="H527" s="1"/>
  <c r="H526" s="1"/>
  <c r="M187" i="3"/>
  <c r="M190"/>
  <c r="L190" s="1"/>
  <c r="L188"/>
  <c r="L191"/>
  <c r="L189" s="1"/>
  <c r="L187" l="1"/>
  <c r="L186" s="1"/>
  <c r="M186"/>
  <c r="M715"/>
  <c r="M707"/>
  <c r="H508" i="7" l="1"/>
  <c r="H507" s="1"/>
  <c r="H506" s="1"/>
  <c r="L88" i="3"/>
  <c r="L87" s="1"/>
  <c r="L86" s="1"/>
  <c r="M87"/>
  <c r="M86" s="1"/>
  <c r="M27"/>
  <c r="H544" i="7" l="1"/>
  <c r="H543" s="1"/>
  <c r="H542" s="1"/>
  <c r="H541"/>
  <c r="H540" s="1"/>
  <c r="H539" s="1"/>
  <c r="M226" i="3"/>
  <c r="M225" s="1"/>
  <c r="L227"/>
  <c r="L226" s="1"/>
  <c r="L225" s="1"/>
  <c r="M223"/>
  <c r="M222" s="1"/>
  <c r="L224"/>
  <c r="L223" s="1"/>
  <c r="L222" s="1"/>
  <c r="M279" l="1"/>
  <c r="M278" s="1"/>
  <c r="M277" s="1"/>
  <c r="L279"/>
  <c r="L278" s="1"/>
  <c r="L277" s="1"/>
  <c r="M534"/>
  <c r="M316" i="19" l="1"/>
  <c r="H24" i="7" l="1"/>
  <c r="H23" s="1"/>
  <c r="M410" i="3"/>
  <c r="M342"/>
  <c r="M315"/>
  <c r="M310"/>
  <c r="M289"/>
  <c r="M164"/>
  <c r="M69"/>
  <c r="M50"/>
  <c r="M44"/>
  <c r="M35"/>
  <c r="M21"/>
  <c r="M454" l="1"/>
  <c r="L457" l="1"/>
  <c r="H51" i="7" l="1"/>
  <c r="H118"/>
  <c r="H117" s="1"/>
  <c r="L541" i="3"/>
  <c r="L540" s="1"/>
  <c r="M540"/>
  <c r="L185" l="1"/>
  <c r="L184" s="1"/>
  <c r="L183" s="1"/>
  <c r="M185"/>
  <c r="M184" s="1"/>
  <c r="M183" s="1"/>
  <c r="H525" i="7"/>
  <c r="M804" i="3" l="1"/>
  <c r="D44" i="6" s="1"/>
  <c r="M55" i="3" l="1"/>
  <c r="M54" s="1"/>
  <c r="M61" l="1"/>
  <c r="H537" i="7" l="1"/>
  <c r="H536" s="1"/>
  <c r="L221" i="3"/>
  <c r="M220"/>
  <c r="M219" s="1"/>
  <c r="L220" l="1"/>
  <c r="L219" s="1"/>
  <c r="M143" l="1"/>
  <c r="H403" i="7" l="1"/>
  <c r="H402" s="1"/>
  <c r="H401" s="1"/>
  <c r="H400" s="1"/>
  <c r="N479" i="19" l="1"/>
  <c r="H52" i="7"/>
  <c r="M319" i="3"/>
  <c r="M115"/>
  <c r="L175"/>
  <c r="L174" s="1"/>
  <c r="L173" s="1"/>
  <c r="L172" s="1"/>
  <c r="L171" s="1"/>
  <c r="L170" s="1"/>
  <c r="L169" s="1"/>
  <c r="M174"/>
  <c r="M173" s="1"/>
  <c r="M172" s="1"/>
  <c r="M171" s="1"/>
  <c r="M170" s="1"/>
  <c r="M788" s="1"/>
  <c r="D32" i="6" s="1"/>
  <c r="M169" i="3" l="1"/>
  <c r="L456"/>
  <c r="H535" i="7" l="1"/>
  <c r="H534" s="1"/>
  <c r="H533" s="1"/>
  <c r="H532" s="1"/>
  <c r="M217" i="3"/>
  <c r="M216" s="1"/>
  <c r="M215" s="1"/>
  <c r="H524" i="7" l="1"/>
  <c r="M214" i="3"/>
  <c r="M213" s="1"/>
  <c r="L213" l="1"/>
  <c r="M819"/>
  <c r="M212"/>
  <c r="L212" s="1"/>
  <c r="L214"/>
  <c r="L216"/>
  <c r="L215" s="1"/>
  <c r="L217"/>
  <c r="L218"/>
  <c r="N354" i="19" l="1"/>
  <c r="M354"/>
  <c r="N355"/>
  <c r="M355"/>
  <c r="N356"/>
  <c r="M356"/>
  <c r="N357"/>
  <c r="M357"/>
  <c r="I66" i="18"/>
  <c r="I65" s="1"/>
  <c r="H66"/>
  <c r="H65" s="1"/>
  <c r="L361" i="19"/>
  <c r="L360" s="1"/>
  <c r="M537" i="3" l="1"/>
  <c r="H97" i="7"/>
  <c r="H96" s="1"/>
  <c r="L509" i="3"/>
  <c r="L508" s="1"/>
  <c r="H128" i="7"/>
  <c r="H127" s="1"/>
  <c r="L520" i="3"/>
  <c r="L519" s="1"/>
  <c r="M494"/>
  <c r="M493" s="1"/>
  <c r="L566" i="19" l="1"/>
  <c r="L565" s="1"/>
  <c r="L564"/>
  <c r="L563"/>
  <c r="L561"/>
  <c r="L560"/>
  <c r="L558"/>
  <c r="L557"/>
  <c r="L551"/>
  <c r="L550"/>
  <c r="L548"/>
  <c r="L547"/>
  <c r="L545"/>
  <c r="L544"/>
  <c r="L542"/>
  <c r="L541"/>
  <c r="L525"/>
  <c r="L534"/>
  <c r="L533" s="1"/>
  <c r="L532" s="1"/>
  <c r="L531" s="1"/>
  <c r="L530" s="1"/>
  <c r="L529" s="1"/>
  <c r="L528" s="1"/>
  <c r="L524"/>
  <c r="L516"/>
  <c r="L523"/>
  <c r="L517"/>
  <c r="L515"/>
  <c r="L508"/>
  <c r="L507" s="1"/>
  <c r="L506" s="1"/>
  <c r="L505"/>
  <c r="L504" s="1"/>
  <c r="L503" s="1"/>
  <c r="L502"/>
  <c r="L501" s="1"/>
  <c r="L500" s="1"/>
  <c r="L493"/>
  <c r="L492"/>
  <c r="L491"/>
  <c r="L485"/>
  <c r="L484" s="1"/>
  <c r="L483" s="1"/>
  <c r="L482" s="1"/>
  <c r="L481" s="1"/>
  <c r="L480" s="1"/>
  <c r="L479"/>
  <c r="L478" s="1"/>
  <c r="L477"/>
  <c r="L476" s="1"/>
  <c r="L475"/>
  <c r="L474"/>
  <c r="L473"/>
  <c r="L469"/>
  <c r="L468" s="1"/>
  <c r="L467" s="1"/>
  <c r="L466" s="1"/>
  <c r="L462"/>
  <c r="L461" s="1"/>
  <c r="L460" s="1"/>
  <c r="L459" s="1"/>
  <c r="L458" s="1"/>
  <c r="L457" s="1"/>
  <c r="L456" s="1"/>
  <c r="L453"/>
  <c r="L452"/>
  <c r="L451"/>
  <c r="L449"/>
  <c r="L448"/>
  <c r="L447"/>
  <c r="L441"/>
  <c r="L440" s="1"/>
  <c r="L439"/>
  <c r="L438" s="1"/>
  <c r="L435"/>
  <c r="L434"/>
  <c r="L433"/>
  <c r="L430"/>
  <c r="L429" s="1"/>
  <c r="L428"/>
  <c r="L427" s="1"/>
  <c r="L415"/>
  <c r="L414" s="1"/>
  <c r="L413"/>
  <c r="L412" s="1"/>
  <c r="L406"/>
  <c r="L405" s="1"/>
  <c r="L404" s="1"/>
  <c r="L403" s="1"/>
  <c r="L402" s="1"/>
  <c r="L401" s="1"/>
  <c r="L398"/>
  <c r="L389"/>
  <c r="L397"/>
  <c r="L390"/>
  <c r="L387"/>
  <c r="L386"/>
  <c r="L385"/>
  <c r="L384"/>
  <c r="L382"/>
  <c r="L381"/>
  <c r="L380"/>
  <c r="L374"/>
  <c r="L373" s="1"/>
  <c r="L372" s="1"/>
  <c r="L371" s="1"/>
  <c r="L370" s="1"/>
  <c r="L369" s="1"/>
  <c r="L368"/>
  <c r="L367" s="1"/>
  <c r="L366" s="1"/>
  <c r="L365" s="1"/>
  <c r="L364" s="1"/>
  <c r="L363"/>
  <c r="L362" s="1"/>
  <c r="L359"/>
  <c r="L358" s="1"/>
  <c r="L357"/>
  <c r="L356"/>
  <c r="L355"/>
  <c r="L354"/>
  <c r="L348"/>
  <c r="L347"/>
  <c r="L342"/>
  <c r="L341"/>
  <c r="L337"/>
  <c r="L336"/>
  <c r="L334"/>
  <c r="L333"/>
  <c r="L331"/>
  <c r="L330"/>
  <c r="L329"/>
  <c r="L327"/>
  <c r="L326"/>
  <c r="L325"/>
  <c r="L323"/>
  <c r="L322"/>
  <c r="L320"/>
  <c r="L319"/>
  <c r="L317"/>
  <c r="L316"/>
  <c r="L315"/>
  <c r="L314"/>
  <c r="L308"/>
  <c r="L307" s="1"/>
  <c r="L306" s="1"/>
  <c r="L305" s="1"/>
  <c r="L304" s="1"/>
  <c r="L303"/>
  <c r="L302" s="1"/>
  <c r="L301"/>
  <c r="L300" s="1"/>
  <c r="L299"/>
  <c r="L298" s="1"/>
  <c r="L292"/>
  <c r="L291" s="1"/>
  <c r="L290" s="1"/>
  <c r="L289"/>
  <c r="L288" s="1"/>
  <c r="L287" s="1"/>
  <c r="L286"/>
  <c r="L285" s="1"/>
  <c r="L284" s="1"/>
  <c r="L277"/>
  <c r="L276" s="1"/>
  <c r="L275"/>
  <c r="L274" s="1"/>
  <c r="L255"/>
  <c r="L254" s="1"/>
  <c r="L253" s="1"/>
  <c r="L252" s="1"/>
  <c r="L251" s="1"/>
  <c r="L250" s="1"/>
  <c r="L249" s="1"/>
  <c r="L248"/>
  <c r="L247"/>
  <c r="L246"/>
  <c r="L241"/>
  <c r="L240" s="1"/>
  <c r="L239" s="1"/>
  <c r="L238"/>
  <c r="L237" s="1"/>
  <c r="L236" s="1"/>
  <c r="L235"/>
  <c r="L234" s="1"/>
  <c r="L233"/>
  <c r="L232"/>
  <c r="L231"/>
  <c r="L229"/>
  <c r="L228"/>
  <c r="L227"/>
  <c r="L223"/>
  <c r="L222" s="1"/>
  <c r="L221"/>
  <c r="L220" s="1"/>
  <c r="L211"/>
  <c r="L212"/>
  <c r="L210"/>
  <c r="L195"/>
  <c r="L194" s="1"/>
  <c r="L193" s="1"/>
  <c r="L202"/>
  <c r="L201" s="1"/>
  <c r="L200" s="1"/>
  <c r="L199" s="1"/>
  <c r="L198" s="1"/>
  <c r="L197" s="1"/>
  <c r="L196" s="1"/>
  <c r="L192"/>
  <c r="L191" s="1"/>
  <c r="L190" s="1"/>
  <c r="L186"/>
  <c r="L185"/>
  <c r="L184"/>
  <c r="L175"/>
  <c r="L174" s="1"/>
  <c r="L173" s="1"/>
  <c r="L172" s="1"/>
  <c r="L171" s="1"/>
  <c r="L170" s="1"/>
  <c r="L169" s="1"/>
  <c r="L168"/>
  <c r="L167" s="1"/>
  <c r="L166" s="1"/>
  <c r="L165" s="1"/>
  <c r="L164" s="1"/>
  <c r="L163" s="1"/>
  <c r="L162"/>
  <c r="L161" s="1"/>
  <c r="L160" s="1"/>
  <c r="L159" s="1"/>
  <c r="L158" s="1"/>
  <c r="L157" s="1"/>
  <c r="L155"/>
  <c r="L154" s="1"/>
  <c r="L153"/>
  <c r="L152" s="1"/>
  <c r="L146"/>
  <c r="L145"/>
  <c r="L140"/>
  <c r="L139" s="1"/>
  <c r="L138"/>
  <c r="L137" s="1"/>
  <c r="L133"/>
  <c r="L132" s="1"/>
  <c r="L131" s="1"/>
  <c r="L130" s="1"/>
  <c r="L129"/>
  <c r="L128" s="1"/>
  <c r="L127" s="1"/>
  <c r="L126" s="1"/>
  <c r="L123"/>
  <c r="L122" s="1"/>
  <c r="L121" s="1"/>
  <c r="L120" s="1"/>
  <c r="L119" s="1"/>
  <c r="L118" s="1"/>
  <c r="L117"/>
  <c r="L116" s="1"/>
  <c r="L115" s="1"/>
  <c r="L114"/>
  <c r="L113" s="1"/>
  <c r="L112" s="1"/>
  <c r="L107"/>
  <c r="L106"/>
  <c r="L105"/>
  <c r="L101"/>
  <c r="L100" s="1"/>
  <c r="L99" s="1"/>
  <c r="L98"/>
  <c r="L97" s="1"/>
  <c r="L96" s="1"/>
  <c r="L92"/>
  <c r="L91" s="1"/>
  <c r="L90"/>
  <c r="L89" s="1"/>
  <c r="L88"/>
  <c r="L87" s="1"/>
  <c r="L73"/>
  <c r="L72" s="1"/>
  <c r="L81"/>
  <c r="L80" s="1"/>
  <c r="L79" s="1"/>
  <c r="L78"/>
  <c r="L77" s="1"/>
  <c r="L76" s="1"/>
  <c r="L75"/>
  <c r="L74" s="1"/>
  <c r="L70"/>
  <c r="L69"/>
  <c r="L53"/>
  <c r="L52" s="1"/>
  <c r="L51" s="1"/>
  <c r="L50" s="1"/>
  <c r="L49" s="1"/>
  <c r="L48" s="1"/>
  <c r="L64"/>
  <c r="L63" s="1"/>
  <c r="L62" s="1"/>
  <c r="L61" s="1"/>
  <c r="L60" s="1"/>
  <c r="L58"/>
  <c r="L57" s="1"/>
  <c r="L56" s="1"/>
  <c r="L55" s="1"/>
  <c r="L54" s="1"/>
  <c r="L47"/>
  <c r="L46" s="1"/>
  <c r="L45" s="1"/>
  <c r="L44"/>
  <c r="L43" s="1"/>
  <c r="L42"/>
  <c r="L41"/>
  <c r="L39"/>
  <c r="L38"/>
  <c r="L36"/>
  <c r="L35" s="1"/>
  <c r="L34"/>
  <c r="L33" s="1"/>
  <c r="L32"/>
  <c r="L31"/>
  <c r="L30"/>
  <c r="L24"/>
  <c r="L23" s="1"/>
  <c r="L22" s="1"/>
  <c r="L21" s="1"/>
  <c r="L20" s="1"/>
  <c r="L19" s="1"/>
  <c r="L758" i="3"/>
  <c r="L755"/>
  <c r="L753"/>
  <c r="L752"/>
  <c r="L742"/>
  <c r="L739"/>
  <c r="L737"/>
  <c r="L736"/>
  <c r="L734"/>
  <c r="L733"/>
  <c r="L726"/>
  <c r="L725" s="1"/>
  <c r="L724" s="1"/>
  <c r="L723" s="1"/>
  <c r="L722" s="1"/>
  <c r="L721" s="1"/>
  <c r="L720" s="1"/>
  <c r="L717"/>
  <c r="L716"/>
  <c r="L715"/>
  <c r="L709"/>
  <c r="L708" s="1"/>
  <c r="L707"/>
  <c r="L706"/>
  <c r="L705"/>
  <c r="L698"/>
  <c r="L697" s="1"/>
  <c r="L696" s="1"/>
  <c r="L695"/>
  <c r="L694" s="1"/>
  <c r="L693" s="1"/>
  <c r="L692"/>
  <c r="L691" s="1"/>
  <c r="L690" s="1"/>
  <c r="L683"/>
  <c r="L682"/>
  <c r="L681"/>
  <c r="L675"/>
  <c r="L674"/>
  <c r="L668"/>
  <c r="L667" s="1"/>
  <c r="L666" s="1"/>
  <c r="L665" s="1"/>
  <c r="L664"/>
  <c r="L663" s="1"/>
  <c r="L662"/>
  <c r="L661" s="1"/>
  <c r="L660"/>
  <c r="L659" s="1"/>
  <c r="L658"/>
  <c r="L657" s="1"/>
  <c r="L656"/>
  <c r="L650"/>
  <c r="L649" s="1"/>
  <c r="L648" s="1"/>
  <c r="L647" s="1"/>
  <c r="L643"/>
  <c r="L642" s="1"/>
  <c r="L641" s="1"/>
  <c r="L640" s="1"/>
  <c r="L639" s="1"/>
  <c r="L638" s="1"/>
  <c r="L637" s="1"/>
  <c r="L634"/>
  <c r="L633" s="1"/>
  <c r="L632"/>
  <c r="L630"/>
  <c r="L628"/>
  <c r="L627"/>
  <c r="L626"/>
  <c r="L622"/>
  <c r="L621" s="1"/>
  <c r="L620" s="1"/>
  <c r="L619" s="1"/>
  <c r="L616"/>
  <c r="L615" s="1"/>
  <c r="L614"/>
  <c r="L612" s="1"/>
  <c r="L607"/>
  <c r="L605"/>
  <c r="L602"/>
  <c r="L601" s="1"/>
  <c r="L600"/>
  <c r="L599" s="1"/>
  <c r="L583"/>
  <c r="L582" s="1"/>
  <c r="L581" s="1"/>
  <c r="L580" s="1"/>
  <c r="L579" s="1"/>
  <c r="L578" s="1"/>
  <c r="L577"/>
  <c r="L576" s="1"/>
  <c r="L575"/>
  <c r="L574" s="1"/>
  <c r="L573"/>
  <c r="L572" s="1"/>
  <c r="L554"/>
  <c r="L553"/>
  <c r="L546"/>
  <c r="L545"/>
  <c r="L543"/>
  <c r="L542" s="1"/>
  <c r="L539"/>
  <c r="L538"/>
  <c r="L537"/>
  <c r="L536"/>
  <c r="L534"/>
  <c r="L532"/>
  <c r="L528"/>
  <c r="L527" s="1"/>
  <c r="L526" s="1"/>
  <c r="L525" s="1"/>
  <c r="L522"/>
  <c r="L521" s="1"/>
  <c r="L514"/>
  <c r="L513" s="1"/>
  <c r="L512" s="1"/>
  <c r="L511"/>
  <c r="L510" s="1"/>
  <c r="L507"/>
  <c r="L506" s="1"/>
  <c r="L505"/>
  <c r="L504"/>
  <c r="L502"/>
  <c r="L501"/>
  <c r="L497"/>
  <c r="L496"/>
  <c r="L488"/>
  <c r="L487"/>
  <c r="L483"/>
  <c r="L482" s="1"/>
  <c r="L481" s="1"/>
  <c r="L478"/>
  <c r="L477"/>
  <c r="L472"/>
  <c r="L471"/>
  <c r="L469"/>
  <c r="L468"/>
  <c r="L467"/>
  <c r="L465"/>
  <c r="L464"/>
  <c r="L463"/>
  <c r="L461"/>
  <c r="L460"/>
  <c r="L453"/>
  <c r="L452"/>
  <c r="L449"/>
  <c r="L447"/>
  <c r="L444"/>
  <c r="L438"/>
  <c r="L437" s="1"/>
  <c r="L436" s="1"/>
  <c r="L433"/>
  <c r="L432" s="1"/>
  <c r="L431" s="1"/>
  <c r="L428"/>
  <c r="L427" s="1"/>
  <c r="L426"/>
  <c r="L425" s="1"/>
  <c r="L422"/>
  <c r="L421" s="1"/>
  <c r="L418"/>
  <c r="L417" s="1"/>
  <c r="L411"/>
  <c r="L410" s="1"/>
  <c r="L409" s="1"/>
  <c r="L408"/>
  <c r="L407" s="1"/>
  <c r="L406" s="1"/>
  <c r="L396"/>
  <c r="L395" s="1"/>
  <c r="L392" s="1"/>
  <c r="L387"/>
  <c r="L386" s="1"/>
  <c r="L385" s="1"/>
  <c r="L384" s="1"/>
  <c r="L383" s="1"/>
  <c r="L382" s="1"/>
  <c r="L379"/>
  <c r="L372"/>
  <c r="L371" s="1"/>
  <c r="L370"/>
  <c r="L368" s="1"/>
  <c r="L357"/>
  <c r="L356" s="1"/>
  <c r="L355" s="1"/>
  <c r="L354" s="1"/>
  <c r="L353" s="1"/>
  <c r="L352" s="1"/>
  <c r="L351" s="1"/>
  <c r="L345"/>
  <c r="L344"/>
  <c r="L343"/>
  <c r="L332"/>
  <c r="L331" s="1"/>
  <c r="L330" s="1"/>
  <c r="L329"/>
  <c r="L328" s="1"/>
  <c r="L327" s="1"/>
  <c r="L324"/>
  <c r="L323" s="1"/>
  <c r="L322"/>
  <c r="L321"/>
  <c r="L320"/>
  <c r="L318"/>
  <c r="L317"/>
  <c r="L316"/>
  <c r="L312"/>
  <c r="L311"/>
  <c r="L308"/>
  <c r="L307" s="1"/>
  <c r="L306" s="1"/>
  <c r="L294"/>
  <c r="L293" s="1"/>
  <c r="L292"/>
  <c r="L291"/>
  <c r="L290"/>
  <c r="L276"/>
  <c r="L275" s="1"/>
  <c r="L274" s="1"/>
  <c r="L273" s="1"/>
  <c r="L272" s="1"/>
  <c r="L271" s="1"/>
  <c r="L270" s="1"/>
  <c r="L269"/>
  <c r="L268" s="1"/>
  <c r="L267" s="1"/>
  <c r="L266"/>
  <c r="L265" s="1"/>
  <c r="L264" s="1"/>
  <c r="L260"/>
  <c r="L259" s="1"/>
  <c r="L258" s="1"/>
  <c r="L257"/>
  <c r="L256"/>
  <c r="L211"/>
  <c r="L210" s="1"/>
  <c r="L209" s="1"/>
  <c r="L208" s="1"/>
  <c r="L207" s="1"/>
  <c r="L206" s="1"/>
  <c r="L205" s="1"/>
  <c r="L197"/>
  <c r="L196" s="1"/>
  <c r="L195" s="1"/>
  <c r="L194" s="1"/>
  <c r="L193" s="1"/>
  <c r="L192" s="1"/>
  <c r="L182"/>
  <c r="L181" s="1"/>
  <c r="L180" s="1"/>
  <c r="L179" s="1"/>
  <c r="L178" s="1"/>
  <c r="L177" s="1"/>
  <c r="L168"/>
  <c r="L167" s="1"/>
  <c r="L166"/>
  <c r="L165"/>
  <c r="L160"/>
  <c r="L159" s="1"/>
  <c r="L158"/>
  <c r="L157" s="1"/>
  <c r="L153"/>
  <c r="L152" s="1"/>
  <c r="L151" s="1"/>
  <c r="L150" s="1"/>
  <c r="L149"/>
  <c r="L148" s="1"/>
  <c r="L147" s="1"/>
  <c r="L146" s="1"/>
  <c r="L143"/>
  <c r="L142" s="1"/>
  <c r="L141" s="1"/>
  <c r="L140" s="1"/>
  <c r="L139" s="1"/>
  <c r="L138" s="1"/>
  <c r="L135"/>
  <c r="L134" s="1"/>
  <c r="L133" s="1"/>
  <c r="L132"/>
  <c r="L131" s="1"/>
  <c r="L130" s="1"/>
  <c r="L125"/>
  <c r="L124" s="1"/>
  <c r="L123" s="1"/>
  <c r="L122" s="1"/>
  <c r="L121"/>
  <c r="L120" s="1"/>
  <c r="L119" s="1"/>
  <c r="L118"/>
  <c r="L116"/>
  <c r="L112"/>
  <c r="L111" s="1"/>
  <c r="L110" s="1"/>
  <c r="L109"/>
  <c r="L108" s="1"/>
  <c r="L107"/>
  <c r="L106" s="1"/>
  <c r="L101"/>
  <c r="L100" s="1"/>
  <c r="L99"/>
  <c r="L98" s="1"/>
  <c r="L97"/>
  <c r="L96" s="1"/>
  <c r="L95"/>
  <c r="L94" s="1"/>
  <c r="L85"/>
  <c r="L84" s="1"/>
  <c r="L83" s="1"/>
  <c r="L82"/>
  <c r="L81" s="1"/>
  <c r="L80" s="1"/>
  <c r="L79"/>
  <c r="L78" s="1"/>
  <c r="L77" s="1"/>
  <c r="L76"/>
  <c r="L75" s="1"/>
  <c r="L74"/>
  <c r="L73" s="1"/>
  <c r="L71"/>
  <c r="L70"/>
  <c r="L62"/>
  <c r="L61" s="1"/>
  <c r="L60" s="1"/>
  <c r="L59" s="1"/>
  <c r="L58" s="1"/>
  <c r="L56"/>
  <c r="L55" s="1"/>
  <c r="L54" s="1"/>
  <c r="L53" s="1"/>
  <c r="L52" s="1"/>
  <c r="L51"/>
  <c r="L50" s="1"/>
  <c r="L49" s="1"/>
  <c r="L48" s="1"/>
  <c r="L47" s="1"/>
  <c r="L46" s="1"/>
  <c r="L45"/>
  <c r="L44" s="1"/>
  <c r="L43" s="1"/>
  <c r="L42"/>
  <c r="L41" s="1"/>
  <c r="L40"/>
  <c r="L39"/>
  <c r="L37"/>
  <c r="L36"/>
  <c r="L34"/>
  <c r="L33" s="1"/>
  <c r="L32"/>
  <c r="L31" s="1"/>
  <c r="L30"/>
  <c r="L29"/>
  <c r="L28"/>
  <c r="L495"/>
  <c r="L22"/>
  <c r="L21" s="1"/>
  <c r="L20" s="1"/>
  <c r="L19" s="1"/>
  <c r="L18" s="1"/>
  <c r="L17" s="1"/>
  <c r="L151" i="19" l="1"/>
  <c r="L156"/>
  <c r="L378" i="3"/>
  <c r="L435"/>
  <c r="L434" s="1"/>
  <c r="L176"/>
  <c r="L35"/>
  <c r="L27"/>
  <c r="L546" i="19"/>
  <c r="L732" i="3"/>
  <c r="L38"/>
  <c r="L543" i="19"/>
  <c r="L321"/>
  <c r="L562"/>
  <c r="L751" i="3"/>
  <c r="L544"/>
  <c r="L494"/>
  <c r="L493" s="1"/>
  <c r="L156"/>
  <c r="L155" s="1"/>
  <c r="L154" s="1"/>
  <c r="L310"/>
  <c r="L309" s="1"/>
  <c r="L305" s="1"/>
  <c r="L289"/>
  <c r="L288" s="1"/>
  <c r="L287" s="1"/>
  <c r="L286" s="1"/>
  <c r="L285" s="1"/>
  <c r="L284" s="1"/>
  <c r="L462"/>
  <c r="L673"/>
  <c r="L672" s="1"/>
  <c r="L671" s="1"/>
  <c r="L670" s="1"/>
  <c r="L669" s="1"/>
  <c r="L69"/>
  <c r="L68" s="1"/>
  <c r="L476"/>
  <c r="L342"/>
  <c r="L341" s="1"/>
  <c r="L340" s="1"/>
  <c r="L339" s="1"/>
  <c r="L625"/>
  <c r="L450" i="19"/>
  <c r="L559"/>
  <c r="L37"/>
  <c r="L346"/>
  <c r="L345" s="1"/>
  <c r="L344" s="1"/>
  <c r="L343" s="1"/>
  <c r="L68"/>
  <c r="L67" s="1"/>
  <c r="L104"/>
  <c r="L103" s="1"/>
  <c r="L102" s="1"/>
  <c r="L226"/>
  <c r="L324"/>
  <c r="L332"/>
  <c r="L388"/>
  <c r="L490"/>
  <c r="L489" s="1"/>
  <c r="L488" s="1"/>
  <c r="L487" s="1"/>
  <c r="L486" s="1"/>
  <c r="L549"/>
  <c r="L29"/>
  <c r="L183"/>
  <c r="L182" s="1"/>
  <c r="L181" s="1"/>
  <c r="L180" s="1"/>
  <c r="L179" s="1"/>
  <c r="L396"/>
  <c r="L395" s="1"/>
  <c r="L394" s="1"/>
  <c r="L393" s="1"/>
  <c r="L392" s="1"/>
  <c r="L391" s="1"/>
  <c r="L318"/>
  <c r="L328"/>
  <c r="L209"/>
  <c r="L208" s="1"/>
  <c r="L207" s="1"/>
  <c r="L206" s="1"/>
  <c r="L205" s="1"/>
  <c r="L204" s="1"/>
  <c r="L230"/>
  <c r="L245"/>
  <c r="L244" s="1"/>
  <c r="L243" s="1"/>
  <c r="L242" s="1"/>
  <c r="L335"/>
  <c r="L432"/>
  <c r="L431" s="1"/>
  <c r="L472"/>
  <c r="L471" s="1"/>
  <c r="L470" s="1"/>
  <c r="L465" s="1"/>
  <c r="L464" s="1"/>
  <c r="L522"/>
  <c r="L521" s="1"/>
  <c r="L520" s="1"/>
  <c r="L519" s="1"/>
  <c r="L518" s="1"/>
  <c r="L40"/>
  <c r="L144"/>
  <c r="L143" s="1"/>
  <c r="L142" s="1"/>
  <c r="L141" s="1"/>
  <c r="L340"/>
  <c r="L339" s="1"/>
  <c r="L338" s="1"/>
  <c r="L379"/>
  <c r="L540"/>
  <c r="L556"/>
  <c r="L514"/>
  <c r="L513" s="1"/>
  <c r="L512" s="1"/>
  <c r="L511" s="1"/>
  <c r="L510" s="1"/>
  <c r="L446"/>
  <c r="L383"/>
  <c r="L353"/>
  <c r="L313"/>
  <c r="L219"/>
  <c r="L218" s="1"/>
  <c r="L71"/>
  <c r="L95"/>
  <c r="L411"/>
  <c r="L410" s="1"/>
  <c r="L189"/>
  <c r="L188" s="1"/>
  <c r="L187" s="1"/>
  <c r="L273"/>
  <c r="L272" s="1"/>
  <c r="L271" s="1"/>
  <c r="L270" s="1"/>
  <c r="L269" s="1"/>
  <c r="L426"/>
  <c r="L111"/>
  <c r="L110" s="1"/>
  <c r="L109" s="1"/>
  <c r="L86"/>
  <c r="L85" s="1"/>
  <c r="L84" s="1"/>
  <c r="L83" s="1"/>
  <c r="L125"/>
  <c r="L297"/>
  <c r="L296" s="1"/>
  <c r="L295" s="1"/>
  <c r="L294" s="1"/>
  <c r="L283"/>
  <c r="L282" s="1"/>
  <c r="L281" s="1"/>
  <c r="L280" s="1"/>
  <c r="L437"/>
  <c r="L436" s="1"/>
  <c r="L136"/>
  <c r="L135" s="1"/>
  <c r="L134" s="1"/>
  <c r="L499"/>
  <c r="L498" s="1"/>
  <c r="L497" s="1"/>
  <c r="L496" s="1"/>
  <c r="L704" i="3"/>
  <c r="L703" s="1"/>
  <c r="L702" s="1"/>
  <c r="L701" s="1"/>
  <c r="L700" s="1"/>
  <c r="L714"/>
  <c r="L713" s="1"/>
  <c r="L712" s="1"/>
  <c r="L711" s="1"/>
  <c r="L710" s="1"/>
  <c r="L72"/>
  <c r="L451"/>
  <c r="L459"/>
  <c r="L470"/>
  <c r="L391"/>
  <c r="L390" s="1"/>
  <c r="L389" s="1"/>
  <c r="L388" s="1"/>
  <c r="L164"/>
  <c r="L163" s="1"/>
  <c r="L162" s="1"/>
  <c r="L161" s="1"/>
  <c r="L315"/>
  <c r="L466"/>
  <c r="L486"/>
  <c r="L485" s="1"/>
  <c r="L484" s="1"/>
  <c r="L503"/>
  <c r="L552"/>
  <c r="L551" s="1"/>
  <c r="L550" s="1"/>
  <c r="L549" s="1"/>
  <c r="L548" s="1"/>
  <c r="L547" s="1"/>
  <c r="L680"/>
  <c r="L679" s="1"/>
  <c r="L678" s="1"/>
  <c r="L677" s="1"/>
  <c r="L676" s="1"/>
  <c r="L735"/>
  <c r="L535"/>
  <c r="L319"/>
  <c r="L500"/>
  <c r="L367"/>
  <c r="L366" s="1"/>
  <c r="L365" s="1"/>
  <c r="L611"/>
  <c r="L610" s="1"/>
  <c r="L518"/>
  <c r="L517" s="1"/>
  <c r="L516" s="1"/>
  <c r="L515" s="1"/>
  <c r="L93"/>
  <c r="L92" s="1"/>
  <c r="L91" s="1"/>
  <c r="L90" s="1"/>
  <c r="L571"/>
  <c r="L570" s="1"/>
  <c r="L569" s="1"/>
  <c r="L568" s="1"/>
  <c r="L689"/>
  <c r="L688" s="1"/>
  <c r="L687" s="1"/>
  <c r="L686" s="1"/>
  <c r="L263"/>
  <c r="L262" s="1"/>
  <c r="L261" s="1"/>
  <c r="L145"/>
  <c r="L129"/>
  <c r="L128" s="1"/>
  <c r="L127" s="1"/>
  <c r="L105"/>
  <c r="L104" s="1"/>
  <c r="L314" l="1"/>
  <c r="L313" s="1"/>
  <c r="L149" i="19"/>
  <c r="L148" s="1"/>
  <c r="L147" s="1"/>
  <c r="L150"/>
  <c r="L492" i="3"/>
  <c r="L491" s="1"/>
  <c r="L490" s="1"/>
  <c r="L489" s="1"/>
  <c r="L359"/>
  <c r="L358" s="1"/>
  <c r="L377"/>
  <c r="L376" s="1"/>
  <c r="L375" s="1"/>
  <c r="L374" s="1"/>
  <c r="L373" s="1"/>
  <c r="L64"/>
  <c r="L63" s="1"/>
  <c r="L57" s="1"/>
  <c r="L509" i="19"/>
  <c r="L495" s="1"/>
  <c r="L445"/>
  <c r="L444" s="1"/>
  <c r="L443" s="1"/>
  <c r="L442" s="1"/>
  <c r="L26" i="3"/>
  <c r="L25" s="1"/>
  <c r="L24" s="1"/>
  <c r="L23" s="1"/>
  <c r="L312" i="19"/>
  <c r="L178"/>
  <c r="L177" s="1"/>
  <c r="L352"/>
  <c r="L351" s="1"/>
  <c r="L350" s="1"/>
  <c r="L349" s="1"/>
  <c r="L555"/>
  <c r="L554" s="1"/>
  <c r="L553" s="1"/>
  <c r="L552" s="1"/>
  <c r="L94"/>
  <c r="L93" s="1"/>
  <c r="L82" s="1"/>
  <c r="L378"/>
  <c r="L377" s="1"/>
  <c r="L376" s="1"/>
  <c r="L375" s="1"/>
  <c r="L463"/>
  <c r="L455" s="1"/>
  <c r="L225"/>
  <c r="L224" s="1"/>
  <c r="L217" s="1"/>
  <c r="L216" s="1"/>
  <c r="L215" s="1"/>
  <c r="L214" s="1"/>
  <c r="L66"/>
  <c r="L65" s="1"/>
  <c r="L59" s="1"/>
  <c r="L539"/>
  <c r="L538" s="1"/>
  <c r="L537" s="1"/>
  <c r="L536" s="1"/>
  <c r="L28"/>
  <c r="L27" s="1"/>
  <c r="L26" s="1"/>
  <c r="L25" s="1"/>
  <c r="L425"/>
  <c r="L424" s="1"/>
  <c r="L423" s="1"/>
  <c r="L409"/>
  <c r="L408" s="1"/>
  <c r="L124"/>
  <c r="L108" s="1"/>
  <c r="L699" i="3"/>
  <c r="L685" s="1"/>
  <c r="L144"/>
  <c r="L126" s="1"/>
  <c r="L304" l="1"/>
  <c r="L298" s="1"/>
  <c r="L311" i="19"/>
  <c r="L310" s="1"/>
  <c r="L309" s="1"/>
  <c r="L293" s="1"/>
  <c r="L279" s="1"/>
  <c r="L16" i="3"/>
  <c r="L422" i="19"/>
  <c r="L18"/>
  <c r="L17" s="1"/>
  <c r="L535"/>
  <c r="L527" s="1"/>
  <c r="L297" i="3" l="1"/>
  <c r="L296" s="1"/>
  <c r="D24" i="15"/>
  <c r="D14" s="1"/>
  <c r="C24"/>
  <c r="C14" s="1"/>
  <c r="C23" i="5"/>
  <c r="C13" s="1"/>
  <c r="L445" i="3" l="1"/>
  <c r="L655" l="1"/>
  <c r="L631"/>
  <c r="L629" s="1"/>
  <c r="L624" s="1"/>
  <c r="L623" s="1"/>
  <c r="L618" s="1"/>
  <c r="L617" s="1"/>
  <c r="L606"/>
  <c r="L604" s="1"/>
  <c r="L603" s="1"/>
  <c r="L596"/>
  <c r="L595" s="1"/>
  <c r="L594" s="1"/>
  <c r="M589"/>
  <c r="L589" s="1"/>
  <c r="L588" s="1"/>
  <c r="L587" s="1"/>
  <c r="L586" s="1"/>
  <c r="L585" s="1"/>
  <c r="L584" s="1"/>
  <c r="L567" s="1"/>
  <c r="M563"/>
  <c r="L563" s="1"/>
  <c r="L562" s="1"/>
  <c r="L561" s="1"/>
  <c r="L560" s="1"/>
  <c r="L455"/>
  <c r="L458"/>
  <c r="L420"/>
  <c r="L419" s="1"/>
  <c r="L416" s="1"/>
  <c r="L533"/>
  <c r="L531" s="1"/>
  <c r="N316" i="19"/>
  <c r="H499" i="7"/>
  <c r="H498" s="1"/>
  <c r="M167" i="3"/>
  <c r="H292" i="7"/>
  <c r="H291" s="1"/>
  <c r="H290" s="1"/>
  <c r="H289" s="1"/>
  <c r="M124" i="3"/>
  <c r="M123" s="1"/>
  <c r="M122" s="1"/>
  <c r="L117"/>
  <c r="L115" s="1"/>
  <c r="L114" s="1"/>
  <c r="L113" s="1"/>
  <c r="L103" s="1"/>
  <c r="L102" s="1"/>
  <c r="H146" i="18"/>
  <c r="H145" s="1"/>
  <c r="H144" s="1"/>
  <c r="L415" i="3" l="1"/>
  <c r="L414" s="1"/>
  <c r="L413" s="1"/>
  <c r="L405"/>
  <c r="L404" s="1"/>
  <c r="L403" s="1"/>
  <c r="L402" s="1"/>
  <c r="L401" s="1"/>
  <c r="L400" s="1"/>
  <c r="L399" s="1"/>
  <c r="M404"/>
  <c r="L89"/>
  <c r="L15" s="1"/>
  <c r="L454"/>
  <c r="L558"/>
  <c r="L557" s="1"/>
  <c r="L559"/>
  <c r="L530"/>
  <c r="L529" s="1"/>
  <c r="L524" s="1"/>
  <c r="L523" s="1"/>
  <c r="L593"/>
  <c r="L592" s="1"/>
  <c r="L591" s="1"/>
  <c r="L590" s="1"/>
  <c r="L654"/>
  <c r="L653" s="1"/>
  <c r="L652" s="1"/>
  <c r="L651" s="1"/>
  <c r="L646" s="1"/>
  <c r="L645" s="1"/>
  <c r="N492" i="19"/>
  <c r="N485"/>
  <c r="I146" i="18" s="1"/>
  <c r="I145" s="1"/>
  <c r="I144" s="1"/>
  <c r="H493" i="7"/>
  <c r="H492" s="1"/>
  <c r="H491" s="1"/>
  <c r="M78" i="3"/>
  <c r="M77" s="1"/>
  <c r="L644" l="1"/>
  <c r="L636" s="1"/>
  <c r="L556"/>
  <c r="N484" i="19"/>
  <c r="N483" s="1"/>
  <c r="N482" s="1"/>
  <c r="N481" s="1"/>
  <c r="N480" s="1"/>
  <c r="N615" s="1"/>
  <c r="E49" i="17" s="1"/>
  <c r="M484" i="19"/>
  <c r="M483" s="1"/>
  <c r="M482" s="1"/>
  <c r="M481" s="1"/>
  <c r="M480" s="1"/>
  <c r="M615" s="1"/>
  <c r="D49" i="17" s="1"/>
  <c r="H55" i="7"/>
  <c r="H56"/>
  <c r="H40" i="18"/>
  <c r="I40"/>
  <c r="I41"/>
  <c r="H41"/>
  <c r="H39" l="1"/>
  <c r="I39"/>
  <c r="H54" i="7"/>
  <c r="C69" i="2"/>
  <c r="M255" i="3"/>
  <c r="M759"/>
  <c r="L759" s="1"/>
  <c r="L757" s="1"/>
  <c r="M756"/>
  <c r="L756" s="1"/>
  <c r="L754" s="1"/>
  <c r="M743"/>
  <c r="L743" s="1"/>
  <c r="L741" s="1"/>
  <c r="M740"/>
  <c r="L740" s="1"/>
  <c r="L738" s="1"/>
  <c r="L255" l="1"/>
  <c r="L254" s="1"/>
  <c r="L253" s="1"/>
  <c r="L252" s="1"/>
  <c r="L251" s="1"/>
  <c r="L250" s="1"/>
  <c r="M254"/>
  <c r="L731"/>
  <c r="L750"/>
  <c r="L749" s="1"/>
  <c r="L748" s="1"/>
  <c r="L747" s="1"/>
  <c r="N321" i="19"/>
  <c r="M321"/>
  <c r="M459" i="3"/>
  <c r="D27" i="16"/>
  <c r="C27"/>
  <c r="L249" i="3" l="1"/>
  <c r="L248" s="1"/>
  <c r="L730"/>
  <c r="L729" s="1"/>
  <c r="L728" s="1"/>
  <c r="L727" s="1"/>
  <c r="L719" s="1"/>
  <c r="C72" i="2"/>
  <c r="C71" s="1"/>
  <c r="D73" i="16"/>
  <c r="D72" s="1"/>
  <c r="D39" i="15" s="1"/>
  <c r="C73" i="16"/>
  <c r="C72" s="1"/>
  <c r="C39" i="15" s="1"/>
  <c r="C42" i="2" l="1"/>
  <c r="D42" i="16"/>
  <c r="C40" i="2"/>
  <c r="C39"/>
  <c r="L450" i="3" l="1"/>
  <c r="L448" s="1"/>
  <c r="I300" i="18" l="1"/>
  <c r="I299" s="1"/>
  <c r="I298" s="1"/>
  <c r="H300"/>
  <c r="H299" s="1"/>
  <c r="H298" s="1"/>
  <c r="I302"/>
  <c r="I301" s="1"/>
  <c r="H302"/>
  <c r="H301" s="1"/>
  <c r="I297" l="1"/>
  <c r="H297"/>
  <c r="C16" i="8" l="1"/>
  <c r="C15" s="1"/>
  <c r="C14" s="1"/>
  <c r="L446" i="3" l="1"/>
  <c r="L443" s="1"/>
  <c r="L442" s="1"/>
  <c r="L441" l="1"/>
  <c r="L440" s="1"/>
  <c r="L439" s="1"/>
  <c r="L412" s="1"/>
  <c r="L398" s="1"/>
  <c r="L14" s="1"/>
  <c r="N152" i="19"/>
  <c r="N154"/>
  <c r="M152"/>
  <c r="M154"/>
  <c r="M151" s="1"/>
  <c r="N151" l="1"/>
  <c r="N150"/>
  <c r="N149" s="1"/>
  <c r="N148" s="1"/>
  <c r="N147" s="1"/>
  <c r="M149" l="1"/>
  <c r="M148" s="1"/>
  <c r="M592" s="1"/>
  <c r="D32" i="17" s="1"/>
  <c r="M150" i="19"/>
  <c r="N592"/>
  <c r="E32" i="17" s="1"/>
  <c r="I91" i="18"/>
  <c r="I90" s="1"/>
  <c r="I89" s="1"/>
  <c r="H91"/>
  <c r="H90" s="1"/>
  <c r="H89" s="1"/>
  <c r="I94"/>
  <c r="I93" s="1"/>
  <c r="I92" s="1"/>
  <c r="H94"/>
  <c r="H93" s="1"/>
  <c r="H92" s="1"/>
  <c r="I97"/>
  <c r="I96" s="1"/>
  <c r="I95" s="1"/>
  <c r="H97"/>
  <c r="H96" s="1"/>
  <c r="H95" s="1"/>
  <c r="I203"/>
  <c r="H203"/>
  <c r="N367" i="19"/>
  <c r="N366" s="1"/>
  <c r="N365" s="1"/>
  <c r="N364" s="1"/>
  <c r="M367"/>
  <c r="M366" s="1"/>
  <c r="M365" s="1"/>
  <c r="M364" s="1"/>
  <c r="H68" i="18"/>
  <c r="I68"/>
  <c r="H54"/>
  <c r="I54"/>
  <c r="I55"/>
  <c r="H55"/>
  <c r="N335" i="19"/>
  <c r="M335"/>
  <c r="H36" i="18"/>
  <c r="I36"/>
  <c r="I38"/>
  <c r="H38"/>
  <c r="N318" i="19"/>
  <c r="M318"/>
  <c r="N285"/>
  <c r="N284" s="1"/>
  <c r="M285"/>
  <c r="M284" s="1"/>
  <c r="N288"/>
  <c r="N287" s="1"/>
  <c r="M288"/>
  <c r="M287" s="1"/>
  <c r="N291"/>
  <c r="N290" s="1"/>
  <c r="M291"/>
  <c r="M290" s="1"/>
  <c r="M147" l="1"/>
  <c r="I35" i="18"/>
  <c r="H35"/>
  <c r="H53"/>
  <c r="I53"/>
  <c r="N283" i="19"/>
  <c r="N282" s="1"/>
  <c r="N281" s="1"/>
  <c r="N280" s="1"/>
  <c r="M283"/>
  <c r="M282" s="1"/>
  <c r="M281" s="1"/>
  <c r="M280" s="1"/>
  <c r="H133" i="7" l="1"/>
  <c r="H132" s="1"/>
  <c r="H131" s="1"/>
  <c r="H136"/>
  <c r="H135" s="1"/>
  <c r="H134" s="1"/>
  <c r="H139"/>
  <c r="H138" s="1"/>
  <c r="H137" s="1"/>
  <c r="M403" i="3"/>
  <c r="M407"/>
  <c r="M406" s="1"/>
  <c r="M409"/>
  <c r="H120" i="7"/>
  <c r="H119" s="1"/>
  <c r="M542" i="3"/>
  <c r="H130" i="7"/>
  <c r="H129" s="1"/>
  <c r="H126" l="1"/>
  <c r="M402" i="3"/>
  <c r="M401" s="1"/>
  <c r="M400" s="1"/>
  <c r="M399" s="1"/>
  <c r="M521"/>
  <c r="H105" i="7"/>
  <c r="H104" s="1"/>
  <c r="H103" s="1"/>
  <c r="M513" i="3"/>
  <c r="M512" s="1"/>
  <c r="H78" i="7"/>
  <c r="H77" s="1"/>
  <c r="H76" s="1"/>
  <c r="M482" i="3"/>
  <c r="M481" s="1"/>
  <c r="M432"/>
  <c r="M431" s="1"/>
  <c r="M518" l="1"/>
  <c r="M517" s="1"/>
  <c r="M516" s="1"/>
  <c r="M515" s="1"/>
  <c r="I164" i="18"/>
  <c r="I163" s="1"/>
  <c r="I162" s="1"/>
  <c r="H164"/>
  <c r="H163" s="1"/>
  <c r="H162" s="1"/>
  <c r="I161"/>
  <c r="I160" s="1"/>
  <c r="H161"/>
  <c r="H160" s="1"/>
  <c r="N478" i="19"/>
  <c r="M478"/>
  <c r="N476"/>
  <c r="M476"/>
  <c r="N461"/>
  <c r="N460" s="1"/>
  <c r="N459" s="1"/>
  <c r="N458" s="1"/>
  <c r="N457" s="1"/>
  <c r="N456" s="1"/>
  <c r="M461"/>
  <c r="M460" s="1"/>
  <c r="M459" s="1"/>
  <c r="M458" s="1"/>
  <c r="M457" s="1"/>
  <c r="M456" s="1"/>
  <c r="H232" i="7"/>
  <c r="H231" s="1"/>
  <c r="H230" s="1"/>
  <c r="H229" s="1"/>
  <c r="H228"/>
  <c r="H227" s="1"/>
  <c r="H226" s="1"/>
  <c r="I122" i="18" l="1"/>
  <c r="I121" s="1"/>
  <c r="H122"/>
  <c r="H121" s="1"/>
  <c r="N438" i="19"/>
  <c r="M438"/>
  <c r="I118" i="18"/>
  <c r="N420" i="19"/>
  <c r="I117" i="18" s="1"/>
  <c r="M421" i="19"/>
  <c r="I105" i="18"/>
  <c r="H105"/>
  <c r="N414" i="19"/>
  <c r="I104" i="18" s="1"/>
  <c r="M414" i="19"/>
  <c r="H104" i="18" s="1"/>
  <c r="I137"/>
  <c r="I136" s="1"/>
  <c r="I135" s="1"/>
  <c r="H137"/>
  <c r="H136" s="1"/>
  <c r="H135" s="1"/>
  <c r="N405" i="19"/>
  <c r="N404" s="1"/>
  <c r="N403" s="1"/>
  <c r="N402" s="1"/>
  <c r="N401" s="1"/>
  <c r="M405"/>
  <c r="M404" s="1"/>
  <c r="M403" s="1"/>
  <c r="M402" s="1"/>
  <c r="M401" s="1"/>
  <c r="I341" i="18"/>
  <c r="H341"/>
  <c r="H340" s="1"/>
  <c r="H339" s="1"/>
  <c r="H338" s="1"/>
  <c r="H337" s="1"/>
  <c r="N167" i="19"/>
  <c r="N166" s="1"/>
  <c r="N165" s="1"/>
  <c r="N164" s="1"/>
  <c r="N163" s="1"/>
  <c r="M167"/>
  <c r="M166" s="1"/>
  <c r="M165" s="1"/>
  <c r="M164" s="1"/>
  <c r="M163" s="1"/>
  <c r="I333" i="18"/>
  <c r="I332" s="1"/>
  <c r="H333"/>
  <c r="H332" s="1"/>
  <c r="N137" i="19"/>
  <c r="M137"/>
  <c r="I323" i="18"/>
  <c r="I322" s="1"/>
  <c r="I321" s="1"/>
  <c r="I320" s="1"/>
  <c r="H323"/>
  <c r="H322" s="1"/>
  <c r="H321" s="1"/>
  <c r="H320" s="1"/>
  <c r="N128" i="19"/>
  <c r="N127" s="1"/>
  <c r="N126" s="1"/>
  <c r="M128"/>
  <c r="M127" s="1"/>
  <c r="M126" s="1"/>
  <c r="I207" i="18"/>
  <c r="I206" s="1"/>
  <c r="I205" s="1"/>
  <c r="H207"/>
  <c r="H206" s="1"/>
  <c r="H205" s="1"/>
  <c r="I201"/>
  <c r="I200" s="1"/>
  <c r="H201"/>
  <c r="H200" s="1"/>
  <c r="N100" i="19"/>
  <c r="N99" s="1"/>
  <c r="M100"/>
  <c r="M99" s="1"/>
  <c r="N97"/>
  <c r="N96" s="1"/>
  <c r="M97"/>
  <c r="M96" s="1"/>
  <c r="I392" i="18"/>
  <c r="I391" s="1"/>
  <c r="I390" s="1"/>
  <c r="H392"/>
  <c r="H391" s="1"/>
  <c r="H390" s="1"/>
  <c r="I395"/>
  <c r="I394" s="1"/>
  <c r="I393" s="1"/>
  <c r="H395"/>
  <c r="H394" s="1"/>
  <c r="H393" s="1"/>
  <c r="I377"/>
  <c r="H377"/>
  <c r="H371"/>
  <c r="I371"/>
  <c r="I372"/>
  <c r="H372"/>
  <c r="I375"/>
  <c r="I374" s="1"/>
  <c r="H375"/>
  <c r="H374" s="1"/>
  <c r="I340"/>
  <c r="I339" s="1"/>
  <c r="I338" s="1"/>
  <c r="I337" s="1"/>
  <c r="N80" i="19"/>
  <c r="N79" s="1"/>
  <c r="M80"/>
  <c r="M79" s="1"/>
  <c r="N77"/>
  <c r="N76" s="1"/>
  <c r="M77"/>
  <c r="M76" s="1"/>
  <c r="N74"/>
  <c r="I376" i="18" s="1"/>
  <c r="M74" i="19"/>
  <c r="M72"/>
  <c r="N72"/>
  <c r="N68"/>
  <c r="N67" s="1"/>
  <c r="M68"/>
  <c r="M67" s="1"/>
  <c r="N63"/>
  <c r="N62" s="1"/>
  <c r="N61" s="1"/>
  <c r="N60" s="1"/>
  <c r="M63"/>
  <c r="M62" s="1"/>
  <c r="M61" s="1"/>
  <c r="M60" s="1"/>
  <c r="I364" i="18"/>
  <c r="H364"/>
  <c r="N40" i="19"/>
  <c r="M40"/>
  <c r="H118" i="18" l="1"/>
  <c r="L421" i="19"/>
  <c r="L420" s="1"/>
  <c r="L419" s="1"/>
  <c r="L418" s="1"/>
  <c r="L417" s="1"/>
  <c r="L416" s="1"/>
  <c r="L407" s="1"/>
  <c r="L400" s="1"/>
  <c r="L15" s="1"/>
  <c r="M420"/>
  <c r="H117" i="18" s="1"/>
  <c r="N419" i="19"/>
  <c r="N418" s="1"/>
  <c r="N417" s="1"/>
  <c r="N416" s="1"/>
  <c r="N95"/>
  <c r="M95"/>
  <c r="N71"/>
  <c r="N66" s="1"/>
  <c r="N65" s="1"/>
  <c r="N59" s="1"/>
  <c r="M71"/>
  <c r="M66" s="1"/>
  <c r="M65" s="1"/>
  <c r="M59" s="1"/>
  <c r="I373" i="18"/>
  <c r="H376"/>
  <c r="H373" s="1"/>
  <c r="H370"/>
  <c r="I370"/>
  <c r="M653" i="3"/>
  <c r="M642"/>
  <c r="M641" s="1"/>
  <c r="M640" s="1"/>
  <c r="M639" s="1"/>
  <c r="M638" s="1"/>
  <c r="M637" s="1"/>
  <c r="M419" i="19" l="1"/>
  <c r="M418" s="1"/>
  <c r="M417" s="1"/>
  <c r="M416" s="1"/>
  <c r="I116" i="18"/>
  <c r="H288" i="7"/>
  <c r="H287" s="1"/>
  <c r="H286" s="1"/>
  <c r="H502"/>
  <c r="H501" s="1"/>
  <c r="H500" s="1"/>
  <c r="H505"/>
  <c r="H504" s="1"/>
  <c r="H503" s="1"/>
  <c r="M81" i="3"/>
  <c r="M80" s="1"/>
  <c r="M84"/>
  <c r="M83" s="1"/>
  <c r="H477" i="7"/>
  <c r="H116" i="18" l="1"/>
  <c r="I248"/>
  <c r="I247" s="1"/>
  <c r="H248"/>
  <c r="H247" s="1"/>
  <c r="I251"/>
  <c r="I250" s="1"/>
  <c r="I249" s="1"/>
  <c r="H251"/>
  <c r="H250" s="1"/>
  <c r="H249" s="1"/>
  <c r="I254"/>
  <c r="I253" s="1"/>
  <c r="I252" s="1"/>
  <c r="H254"/>
  <c r="H253" s="1"/>
  <c r="H252" s="1"/>
  <c r="I382"/>
  <c r="H382"/>
  <c r="N245" i="19"/>
  <c r="M245"/>
  <c r="N240"/>
  <c r="N239" s="1"/>
  <c r="M240"/>
  <c r="M239" s="1"/>
  <c r="N237"/>
  <c r="N236" s="1"/>
  <c r="M237"/>
  <c r="M236" s="1"/>
  <c r="N234"/>
  <c r="M234"/>
  <c r="M331" i="3"/>
  <c r="H147" i="7" l="1"/>
  <c r="H146" s="1"/>
  <c r="M574" i="3"/>
  <c r="H190" i="7" l="1"/>
  <c r="H189" s="1"/>
  <c r="H171"/>
  <c r="H170" s="1"/>
  <c r="H169" s="1"/>
  <c r="I172" i="18"/>
  <c r="H172"/>
  <c r="H193" i="7"/>
  <c r="H192" s="1"/>
  <c r="H191" s="1"/>
  <c r="I181" i="18"/>
  <c r="I180" s="1"/>
  <c r="I179" s="1"/>
  <c r="H181"/>
  <c r="H180" s="1"/>
  <c r="H179" s="1"/>
  <c r="I184"/>
  <c r="I183" s="1"/>
  <c r="I182" s="1"/>
  <c r="H184"/>
  <c r="H183" s="1"/>
  <c r="H182" s="1"/>
  <c r="I187"/>
  <c r="I186" s="1"/>
  <c r="I185" s="1"/>
  <c r="H187"/>
  <c r="H186" s="1"/>
  <c r="H185" s="1"/>
  <c r="H250" i="7"/>
  <c r="H249" s="1"/>
  <c r="H248" s="1"/>
  <c r="H253"/>
  <c r="H252" s="1"/>
  <c r="H251" s="1"/>
  <c r="H256"/>
  <c r="H255" s="1"/>
  <c r="H254" s="1"/>
  <c r="N514" i="19" l="1"/>
  <c r="M514"/>
  <c r="N507"/>
  <c r="N506" s="1"/>
  <c r="M507"/>
  <c r="M506" s="1"/>
  <c r="N504"/>
  <c r="N503" s="1"/>
  <c r="M504"/>
  <c r="M503" s="1"/>
  <c r="N501"/>
  <c r="N500" s="1"/>
  <c r="M501"/>
  <c r="M500" s="1"/>
  <c r="M697" i="3"/>
  <c r="M696" s="1"/>
  <c r="M694"/>
  <c r="M693" s="1"/>
  <c r="M691"/>
  <c r="M690" s="1"/>
  <c r="N499" i="19" l="1"/>
  <c r="N498" s="1"/>
  <c r="N497" s="1"/>
  <c r="N496" s="1"/>
  <c r="M499"/>
  <c r="M498" s="1"/>
  <c r="M497" s="1"/>
  <c r="M496" s="1"/>
  <c r="M689" i="3"/>
  <c r="M688" s="1"/>
  <c r="M687" s="1"/>
  <c r="M686" s="1"/>
  <c r="N209" i="19"/>
  <c r="N208" s="1"/>
  <c r="M209"/>
  <c r="M208" s="1"/>
  <c r="M633" i="3"/>
  <c r="M582" l="1"/>
  <c r="M581" s="1"/>
  <c r="M580" s="1"/>
  <c r="M579" s="1"/>
  <c r="M578" s="1"/>
  <c r="M562"/>
  <c r="M561" s="1"/>
  <c r="M560" s="1"/>
  <c r="M558" l="1"/>
  <c r="M557" s="1"/>
  <c r="M559"/>
  <c r="C25" i="16"/>
  <c r="D25"/>
  <c r="D55" i="6" l="1"/>
  <c r="I230" i="18" l="1"/>
  <c r="I229" s="1"/>
  <c r="I228" s="1"/>
  <c r="H230"/>
  <c r="H229" s="1"/>
  <c r="H228" s="1"/>
  <c r="I227"/>
  <c r="I226" s="1"/>
  <c r="I225" s="1"/>
  <c r="H227"/>
  <c r="H226" s="1"/>
  <c r="H225" s="1"/>
  <c r="N194" i="19"/>
  <c r="N193" s="1"/>
  <c r="M194"/>
  <c r="M193" s="1"/>
  <c r="H314" i="7"/>
  <c r="H313" s="1"/>
  <c r="H312" s="1"/>
  <c r="M268" i="3"/>
  <c r="M267" s="1"/>
  <c r="N191" i="19" l="1"/>
  <c r="N190" s="1"/>
  <c r="N189" s="1"/>
  <c r="N188" s="1"/>
  <c r="N187" s="1"/>
  <c r="M191"/>
  <c r="M190" s="1"/>
  <c r="M189" s="1"/>
  <c r="M188" l="1"/>
  <c r="M187" s="1"/>
  <c r="M588" i="3" l="1"/>
  <c r="M587" s="1"/>
  <c r="M586" s="1"/>
  <c r="M585" s="1"/>
  <c r="M584" s="1"/>
  <c r="M559" i="19" l="1"/>
  <c r="D23" i="16" l="1"/>
  <c r="C23"/>
  <c r="D29"/>
  <c r="C29"/>
  <c r="D32"/>
  <c r="C32"/>
  <c r="M20" i="3" l="1"/>
  <c r="M19" s="1"/>
  <c r="M18" s="1"/>
  <c r="M17" s="1"/>
  <c r="M768" s="1"/>
  <c r="M31"/>
  <c r="M33"/>
  <c r="M41"/>
  <c r="M43"/>
  <c r="M49"/>
  <c r="M48" s="1"/>
  <c r="M47" s="1"/>
  <c r="M46" s="1"/>
  <c r="M770" s="1"/>
  <c r="M53"/>
  <c r="M52" s="1"/>
  <c r="M60"/>
  <c r="M59" s="1"/>
  <c r="M58" s="1"/>
  <c r="M68"/>
  <c r="M73"/>
  <c r="M75"/>
  <c r="M94"/>
  <c r="M96"/>
  <c r="M98"/>
  <c r="M100"/>
  <c r="M106"/>
  <c r="M108"/>
  <c r="M111"/>
  <c r="M110" s="1"/>
  <c r="M131"/>
  <c r="M130" s="1"/>
  <c r="M134"/>
  <c r="M133" s="1"/>
  <c r="M142"/>
  <c r="M141" s="1"/>
  <c r="M140" s="1"/>
  <c r="M139" s="1"/>
  <c r="M138" s="1"/>
  <c r="M781" s="1"/>
  <c r="M148"/>
  <c r="M147" s="1"/>
  <c r="M146" s="1"/>
  <c r="M152"/>
  <c r="M151" s="1"/>
  <c r="M150" s="1"/>
  <c r="M157"/>
  <c r="M159"/>
  <c r="M181"/>
  <c r="M180" s="1"/>
  <c r="M179" s="1"/>
  <c r="M178" s="1"/>
  <c r="M177" s="1"/>
  <c r="M196"/>
  <c r="M195" s="1"/>
  <c r="M194" s="1"/>
  <c r="M193" s="1"/>
  <c r="M192" s="1"/>
  <c r="M253"/>
  <c r="M259"/>
  <c r="M258" s="1"/>
  <c r="M265"/>
  <c r="M264" s="1"/>
  <c r="M263" s="1"/>
  <c r="M275"/>
  <c r="M274" s="1"/>
  <c r="M273" s="1"/>
  <c r="M272" s="1"/>
  <c r="M271" s="1"/>
  <c r="M270" s="1"/>
  <c r="M293"/>
  <c r="M288" s="1"/>
  <c r="M307"/>
  <c r="M306" s="1"/>
  <c r="M323"/>
  <c r="M314" s="1"/>
  <c r="M328"/>
  <c r="M327" s="1"/>
  <c r="M341"/>
  <c r="M340" s="1"/>
  <c r="M339" s="1"/>
  <c r="M356"/>
  <c r="M355" s="1"/>
  <c r="M354" s="1"/>
  <c r="M353" s="1"/>
  <c r="M352" s="1"/>
  <c r="M351" s="1"/>
  <c r="M371"/>
  <c r="M378"/>
  <c r="M386"/>
  <c r="M385" s="1"/>
  <c r="M384" s="1"/>
  <c r="M383" s="1"/>
  <c r="M382" s="1"/>
  <c r="M395"/>
  <c r="M392" s="1"/>
  <c r="M417"/>
  <c r="M419"/>
  <c r="M421"/>
  <c r="M425"/>
  <c r="M427"/>
  <c r="M437"/>
  <c r="M436" s="1"/>
  <c r="M462"/>
  <c r="M500"/>
  <c r="M503"/>
  <c r="M506"/>
  <c r="M510"/>
  <c r="M544"/>
  <c r="M572"/>
  <c r="M576"/>
  <c r="M595"/>
  <c r="M599"/>
  <c r="M601"/>
  <c r="M657"/>
  <c r="M659"/>
  <c r="M661"/>
  <c r="M663"/>
  <c r="M667"/>
  <c r="M666" s="1"/>
  <c r="M665" s="1"/>
  <c r="M673"/>
  <c r="M672" s="1"/>
  <c r="M671" s="1"/>
  <c r="M670" s="1"/>
  <c r="M680"/>
  <c r="M679" s="1"/>
  <c r="M678" s="1"/>
  <c r="M677" s="1"/>
  <c r="M676" s="1"/>
  <c r="M811" s="1"/>
  <c r="M714"/>
  <c r="M713" s="1"/>
  <c r="M712" s="1"/>
  <c r="M711" s="1"/>
  <c r="M710" s="1"/>
  <c r="M725"/>
  <c r="M724" s="1"/>
  <c r="M723" s="1"/>
  <c r="M722" s="1"/>
  <c r="M721" s="1"/>
  <c r="M720" s="1"/>
  <c r="M735"/>
  <c r="M738"/>
  <c r="M741"/>
  <c r="M751"/>
  <c r="M754"/>
  <c r="M757"/>
  <c r="M23" i="19"/>
  <c r="M22" s="1"/>
  <c r="M21" s="1"/>
  <c r="M20" s="1"/>
  <c r="M19" s="1"/>
  <c r="M29"/>
  <c r="M33"/>
  <c r="M35"/>
  <c r="M37"/>
  <c r="M43"/>
  <c r="M46"/>
  <c r="M45" s="1"/>
  <c r="M52"/>
  <c r="M51" s="1"/>
  <c r="M50" s="1"/>
  <c r="M49" s="1"/>
  <c r="M48" s="1"/>
  <c r="M577" s="1"/>
  <c r="M87"/>
  <c r="M89"/>
  <c r="M91"/>
  <c r="M113"/>
  <c r="M112" s="1"/>
  <c r="M116"/>
  <c r="M115" s="1"/>
  <c r="M122"/>
  <c r="M121" s="1"/>
  <c r="M120" s="1"/>
  <c r="M119" s="1"/>
  <c r="M118" s="1"/>
  <c r="M588" s="1"/>
  <c r="M132"/>
  <c r="M131" s="1"/>
  <c r="M130" s="1"/>
  <c r="M125" s="1"/>
  <c r="M139"/>
  <c r="M161"/>
  <c r="M160" s="1"/>
  <c r="M159" s="1"/>
  <c r="M158" s="1"/>
  <c r="M157" s="1"/>
  <c r="M156" s="1"/>
  <c r="M174"/>
  <c r="M173" s="1"/>
  <c r="M172" s="1"/>
  <c r="M171" s="1"/>
  <c r="M170" s="1"/>
  <c r="M169" s="1"/>
  <c r="M183"/>
  <c r="M182" s="1"/>
  <c r="M181" s="1"/>
  <c r="M180" s="1"/>
  <c r="M179" s="1"/>
  <c r="M178" s="1"/>
  <c r="M201"/>
  <c r="M200" s="1"/>
  <c r="M199" s="1"/>
  <c r="M198" s="1"/>
  <c r="M197" s="1"/>
  <c r="M220"/>
  <c r="M222"/>
  <c r="M226"/>
  <c r="M230"/>
  <c r="M244"/>
  <c r="M243" s="1"/>
  <c r="M242" s="1"/>
  <c r="M274"/>
  <c r="M276"/>
  <c r="M298"/>
  <c r="M300"/>
  <c r="M302"/>
  <c r="M307"/>
  <c r="M306" s="1"/>
  <c r="M305" s="1"/>
  <c r="M304" s="1"/>
  <c r="M313"/>
  <c r="M324"/>
  <c r="M328"/>
  <c r="M332"/>
  <c r="M340"/>
  <c r="M339" s="1"/>
  <c r="M338" s="1"/>
  <c r="M346"/>
  <c r="M345" s="1"/>
  <c r="M344" s="1"/>
  <c r="M343" s="1"/>
  <c r="M358"/>
  <c r="M362"/>
  <c r="M373"/>
  <c r="M372" s="1"/>
  <c r="M371" s="1"/>
  <c r="M370" s="1"/>
  <c r="M369" s="1"/>
  <c r="M379"/>
  <c r="M388"/>
  <c r="M396"/>
  <c r="M395" s="1"/>
  <c r="M394" s="1"/>
  <c r="M393" s="1"/>
  <c r="M392" s="1"/>
  <c r="M391" s="1"/>
  <c r="M412"/>
  <c r="M427"/>
  <c r="M429"/>
  <c r="M432"/>
  <c r="M431" s="1"/>
  <c r="M440"/>
  <c r="M446"/>
  <c r="M450"/>
  <c r="M468"/>
  <c r="M467" s="1"/>
  <c r="M466" s="1"/>
  <c r="M472"/>
  <c r="M471" s="1"/>
  <c r="M490"/>
  <c r="M489" s="1"/>
  <c r="M488" s="1"/>
  <c r="M487" s="1"/>
  <c r="M486" s="1"/>
  <c r="M513"/>
  <c r="M512" s="1"/>
  <c r="M511" s="1"/>
  <c r="M510" s="1"/>
  <c r="M522"/>
  <c r="M521" s="1"/>
  <c r="M520" s="1"/>
  <c r="M519" s="1"/>
  <c r="M518" s="1"/>
  <c r="M533"/>
  <c r="M532" s="1"/>
  <c r="M531" s="1"/>
  <c r="M530" s="1"/>
  <c r="M529" s="1"/>
  <c r="M528" s="1"/>
  <c r="M540"/>
  <c r="M543"/>
  <c r="M546"/>
  <c r="M549"/>
  <c r="M556"/>
  <c r="M562"/>
  <c r="M565"/>
  <c r="M625" s="1"/>
  <c r="M492" i="3" l="1"/>
  <c r="M377"/>
  <c r="M376" s="1"/>
  <c r="M375" s="1"/>
  <c r="M374" s="1"/>
  <c r="M373" s="1"/>
  <c r="M594"/>
  <c r="M416"/>
  <c r="M415" s="1"/>
  <c r="M414" s="1"/>
  <c r="M435"/>
  <c r="M434" s="1"/>
  <c r="M176"/>
  <c r="M163"/>
  <c r="M162" s="1"/>
  <c r="M161" s="1"/>
  <c r="M312" i="19"/>
  <c r="M616"/>
  <c r="M437"/>
  <c r="M436" s="1"/>
  <c r="M601"/>
  <c r="M411"/>
  <c r="M410" s="1"/>
  <c r="M136"/>
  <c r="M135" s="1"/>
  <c r="M134" s="1"/>
  <c r="M225"/>
  <c r="M224" s="1"/>
  <c r="M803" i="3"/>
  <c r="M772"/>
  <c r="M571"/>
  <c r="M619" i="19"/>
  <c r="M620" s="1"/>
  <c r="M262" i="3"/>
  <c r="M261" s="1"/>
  <c r="M470" i="19"/>
  <c r="M465" s="1"/>
  <c r="M464" s="1"/>
  <c r="M426"/>
  <c r="M425" s="1"/>
  <c r="M424" s="1"/>
  <c r="M423" s="1"/>
  <c r="M605" s="1"/>
  <c r="M817" i="3"/>
  <c r="M93"/>
  <c r="M92" s="1"/>
  <c r="M91" s="1"/>
  <c r="M90" s="1"/>
  <c r="M555" i="19"/>
  <c r="M554" s="1"/>
  <c r="M553" s="1"/>
  <c r="M552" s="1"/>
  <c r="M611" s="1"/>
  <c r="M539"/>
  <c r="M538" s="1"/>
  <c r="M537" s="1"/>
  <c r="M536" s="1"/>
  <c r="M86"/>
  <c r="M85" s="1"/>
  <c r="M84" s="1"/>
  <c r="M83" s="1"/>
  <c r="M583" s="1"/>
  <c r="M273"/>
  <c r="M272" s="1"/>
  <c r="M271" s="1"/>
  <c r="M270" s="1"/>
  <c r="M269" s="1"/>
  <c r="M219"/>
  <c r="M218" s="1"/>
  <c r="M207"/>
  <c r="M206" s="1"/>
  <c r="M205" s="1"/>
  <c r="M204" s="1"/>
  <c r="M391" i="3"/>
  <c r="M390" s="1"/>
  <c r="M389" s="1"/>
  <c r="M388" s="1"/>
  <c r="M330"/>
  <c r="M731"/>
  <c r="M730" s="1"/>
  <c r="M750"/>
  <c r="M749" s="1"/>
  <c r="M748" s="1"/>
  <c r="M747" s="1"/>
  <c r="M552"/>
  <c r="M551" s="1"/>
  <c r="M550" s="1"/>
  <c r="M549" s="1"/>
  <c r="M548" s="1"/>
  <c r="M547" s="1"/>
  <c r="M287"/>
  <c r="M286" s="1"/>
  <c r="M285" s="1"/>
  <c r="M284" s="1"/>
  <c r="M156"/>
  <c r="M155" s="1"/>
  <c r="M154" s="1"/>
  <c r="M129"/>
  <c r="M128" s="1"/>
  <c r="M127" s="1"/>
  <c r="M780" s="1"/>
  <c r="M105"/>
  <c r="M104" s="1"/>
  <c r="M708"/>
  <c r="M704"/>
  <c r="M604"/>
  <c r="M603" s="1"/>
  <c r="M448"/>
  <c r="M309"/>
  <c r="M305" s="1"/>
  <c r="M669"/>
  <c r="M810" s="1"/>
  <c r="M652"/>
  <c r="M651" s="1"/>
  <c r="M649"/>
  <c r="M648" s="1"/>
  <c r="M647" s="1"/>
  <c r="M629"/>
  <c r="M625"/>
  <c r="M621"/>
  <c r="M620" s="1"/>
  <c r="M619" s="1"/>
  <c r="M615"/>
  <c r="M535"/>
  <c r="M531"/>
  <c r="M527"/>
  <c r="M526" s="1"/>
  <c r="M525" s="1"/>
  <c r="M486"/>
  <c r="M485" s="1"/>
  <c r="M484" s="1"/>
  <c r="M476"/>
  <c r="M470"/>
  <c r="M466"/>
  <c r="M451"/>
  <c r="M443"/>
  <c r="M367"/>
  <c r="M366" s="1"/>
  <c r="M365" s="1"/>
  <c r="M359" s="1"/>
  <c r="M252"/>
  <c r="M251" s="1"/>
  <c r="M250" s="1"/>
  <c r="M210"/>
  <c r="M209" s="1"/>
  <c r="M208" s="1"/>
  <c r="M207" s="1"/>
  <c r="M206" s="1"/>
  <c r="M120"/>
  <c r="M119" s="1"/>
  <c r="M145"/>
  <c r="M114"/>
  <c r="M72"/>
  <c r="M64" s="1"/>
  <c r="M38"/>
  <c r="M26" s="1"/>
  <c r="M196" i="19"/>
  <c r="M177" s="1"/>
  <c r="M622"/>
  <c r="M623" s="1"/>
  <c r="M609"/>
  <c r="M509"/>
  <c r="M495" s="1"/>
  <c r="M575"/>
  <c r="M144"/>
  <c r="M143" s="1"/>
  <c r="M142" s="1"/>
  <c r="M141" s="1"/>
  <c r="M445"/>
  <c r="M444" s="1"/>
  <c r="M443" s="1"/>
  <c r="M442" s="1"/>
  <c r="M606" s="1"/>
  <c r="M383"/>
  <c r="M378" s="1"/>
  <c r="M377" s="1"/>
  <c r="M376" s="1"/>
  <c r="M375" s="1"/>
  <c r="M602" s="1"/>
  <c r="M353"/>
  <c r="M352" s="1"/>
  <c r="M297"/>
  <c r="M253"/>
  <c r="M252" s="1"/>
  <c r="M251" s="1"/>
  <c r="M250" s="1"/>
  <c r="M57"/>
  <c r="M56" s="1"/>
  <c r="M55" s="1"/>
  <c r="M54" s="1"/>
  <c r="M579" s="1"/>
  <c r="M111"/>
  <c r="M110" s="1"/>
  <c r="M109" s="1"/>
  <c r="M104"/>
  <c r="M103" s="1"/>
  <c r="M102" s="1"/>
  <c r="M28"/>
  <c r="M27" s="1"/>
  <c r="M26" s="1"/>
  <c r="M25" s="1"/>
  <c r="M576" s="1"/>
  <c r="M442" i="3" l="1"/>
  <c r="M441" s="1"/>
  <c r="M440" s="1"/>
  <c r="M413"/>
  <c r="M791" s="1"/>
  <c r="M311" i="19"/>
  <c r="M310" s="1"/>
  <c r="M309" s="1"/>
  <c r="M598" s="1"/>
  <c r="M530" i="3"/>
  <c r="M529" s="1"/>
  <c r="M524" s="1"/>
  <c r="M523" s="1"/>
  <c r="M463" i="19"/>
  <c r="M455" s="1"/>
  <c r="M729" i="3"/>
  <c r="M728" s="1"/>
  <c r="M113"/>
  <c r="M103" s="1"/>
  <c r="M351" i="19"/>
  <c r="M350" s="1"/>
  <c r="M349" s="1"/>
  <c r="M296"/>
  <c r="M295" s="1"/>
  <c r="M294" s="1"/>
  <c r="M597" s="1"/>
  <c r="M409"/>
  <c r="M408" s="1"/>
  <c r="M407" s="1"/>
  <c r="M124"/>
  <c r="M589" s="1"/>
  <c r="M94"/>
  <c r="M93" s="1"/>
  <c r="M18"/>
  <c r="M570" i="3"/>
  <c r="M569" s="1"/>
  <c r="M568" s="1"/>
  <c r="M567" s="1"/>
  <c r="M593"/>
  <c r="M624"/>
  <c r="M623" s="1"/>
  <c r="M618" s="1"/>
  <c r="M617" s="1"/>
  <c r="M800" s="1"/>
  <c r="M217" i="19"/>
  <c r="M216" s="1"/>
  <c r="M580" s="1"/>
  <c r="M610"/>
  <c r="M612" s="1"/>
  <c r="M820" i="3"/>
  <c r="M535" i="19"/>
  <c r="M527" s="1"/>
  <c r="M578"/>
  <c r="M144" i="3"/>
  <c r="M782" s="1"/>
  <c r="M783" s="1"/>
  <c r="M776"/>
  <c r="M646"/>
  <c r="M645" s="1"/>
  <c r="M809" s="1"/>
  <c r="M63"/>
  <c r="M57" s="1"/>
  <c r="M313"/>
  <c r="M304" s="1"/>
  <c r="M298" s="1"/>
  <c r="M806"/>
  <c r="M703"/>
  <c r="M702" s="1"/>
  <c r="M701" s="1"/>
  <c r="M700" s="1"/>
  <c r="M795" s="1"/>
  <c r="M814"/>
  <c r="M815" s="1"/>
  <c r="M205"/>
  <c r="M249"/>
  <c r="M248" s="1"/>
  <c r="M771"/>
  <c r="M611"/>
  <c r="M610" s="1"/>
  <c r="M25"/>
  <c r="M24" s="1"/>
  <c r="M23" s="1"/>
  <c r="M358"/>
  <c r="M786"/>
  <c r="M789" s="1"/>
  <c r="M587" i="19"/>
  <c r="M422"/>
  <c r="M614"/>
  <c r="M617" s="1"/>
  <c r="M593"/>
  <c r="M595" s="1"/>
  <c r="M249"/>
  <c r="M607"/>
  <c r="M805" i="3" l="1"/>
  <c r="M807" s="1"/>
  <c r="M727"/>
  <c r="M719" s="1"/>
  <c r="M293" i="19"/>
  <c r="M279" s="1"/>
  <c r="M491" i="3"/>
  <c r="M490" s="1"/>
  <c r="M489" s="1"/>
  <c r="M793" s="1"/>
  <c r="M796"/>
  <c r="M439"/>
  <c r="M792" s="1"/>
  <c r="M599" i="19"/>
  <c r="M400"/>
  <c r="M590"/>
  <c r="M108"/>
  <c r="M584"/>
  <c r="M585" s="1"/>
  <c r="M82"/>
  <c r="M102" i="3"/>
  <c r="M777" s="1"/>
  <c r="M778" s="1"/>
  <c r="M16"/>
  <c r="M644"/>
  <c r="M636" s="1"/>
  <c r="M812"/>
  <c r="M773"/>
  <c r="D22" i="6" s="1"/>
  <c r="M699" i="3"/>
  <c r="M685" s="1"/>
  <c r="M592"/>
  <c r="M591" s="1"/>
  <c r="M799" s="1"/>
  <c r="M801" s="1"/>
  <c r="M215" i="19"/>
  <c r="M214" s="1"/>
  <c r="M581"/>
  <c r="M126" i="3"/>
  <c r="M769"/>
  <c r="M17" i="19" l="1"/>
  <c r="M15" s="1"/>
  <c r="M603"/>
  <c r="M412" i="3"/>
  <c r="M398" s="1"/>
  <c r="M89"/>
  <c r="M15" s="1"/>
  <c r="M797"/>
  <c r="M590"/>
  <c r="M556" s="1"/>
  <c r="M774"/>
  <c r="M297"/>
  <c r="M296" s="1"/>
  <c r="M14" l="1"/>
  <c r="C26" i="8" s="1"/>
  <c r="M821" i="3"/>
  <c r="H93" i="7"/>
  <c r="I236" i="18" l="1"/>
  <c r="I235" s="1"/>
  <c r="I234" s="1"/>
  <c r="H236"/>
  <c r="H235" s="1"/>
  <c r="H234" s="1"/>
  <c r="N220" i="19"/>
  <c r="C25" i="2" l="1"/>
  <c r="H72" i="7" l="1"/>
  <c r="H73"/>
  <c r="H71" l="1"/>
  <c r="H397" l="1"/>
  <c r="H395" s="1"/>
  <c r="H223" l="1"/>
  <c r="H222" s="1"/>
  <c r="H221" l="1"/>
  <c r="H220" s="1"/>
  <c r="H92" l="1"/>
  <c r="H91" s="1"/>
  <c r="H469" l="1"/>
  <c r="N556" i="19" l="1"/>
  <c r="H239" i="7" l="1"/>
  <c r="N373" i="19" l="1"/>
  <c r="N372" s="1"/>
  <c r="N371" s="1"/>
  <c r="N370" s="1"/>
  <c r="N369" s="1"/>
  <c r="H88" i="18" l="1"/>
  <c r="H87" s="1"/>
  <c r="H86" s="1"/>
  <c r="I88"/>
  <c r="I87" s="1"/>
  <c r="I86" s="1"/>
  <c r="H95" i="7" l="1"/>
  <c r="H94" s="1"/>
  <c r="H44" l="1"/>
  <c r="H487"/>
  <c r="H326" l="1"/>
  <c r="I110" i="18" l="1"/>
  <c r="I109" s="1"/>
  <c r="H110" l="1"/>
  <c r="H109" s="1"/>
  <c r="N429" i="19"/>
  <c r="H20" i="7" l="1"/>
  <c r="H19" s="1"/>
  <c r="H45"/>
  <c r="H43" s="1"/>
  <c r="H149" l="1"/>
  <c r="H148" s="1"/>
  <c r="F21" i="22" l="1"/>
  <c r="I385" i="18" l="1"/>
  <c r="I384" s="1"/>
  <c r="I383" s="1"/>
  <c r="H385"/>
  <c r="H384" s="1"/>
  <c r="H383" s="1"/>
  <c r="N174" i="19"/>
  <c r="N173" s="1"/>
  <c r="N172" s="1"/>
  <c r="N171" s="1"/>
  <c r="N170" s="1"/>
  <c r="N169" s="1"/>
  <c r="C41" i="27"/>
  <c r="C31"/>
  <c r="C18"/>
  <c r="C17" l="1"/>
  <c r="C16" s="1"/>
  <c r="C15" s="1"/>
  <c r="C14" s="1"/>
  <c r="C13" s="1"/>
  <c r="C38" i="5" s="1"/>
  <c r="D52" i="17"/>
  <c r="D51" s="1"/>
  <c r="N619" i="19"/>
  <c r="E52" i="17" s="1"/>
  <c r="E51" s="1"/>
  <c r="H409" i="7"/>
  <c r="H408" s="1"/>
  <c r="I21" i="18" l="1"/>
  <c r="I22"/>
  <c r="I24"/>
  <c r="I23" s="1"/>
  <c r="I26"/>
  <c r="I25" s="1"/>
  <c r="I31"/>
  <c r="I34"/>
  <c r="I43"/>
  <c r="I44"/>
  <c r="I45"/>
  <c r="I51"/>
  <c r="I52"/>
  <c r="I64"/>
  <c r="I63" s="1"/>
  <c r="I67"/>
  <c r="I72"/>
  <c r="I73"/>
  <c r="I74"/>
  <c r="I77"/>
  <c r="I78"/>
  <c r="I79"/>
  <c r="I81"/>
  <c r="I82"/>
  <c r="I84"/>
  <c r="I85"/>
  <c r="I108"/>
  <c r="I107" s="1"/>
  <c r="I106" s="1"/>
  <c r="I113"/>
  <c r="I114"/>
  <c r="I115"/>
  <c r="I124"/>
  <c r="I123" s="1"/>
  <c r="I128"/>
  <c r="I129"/>
  <c r="I130"/>
  <c r="I132"/>
  <c r="I134"/>
  <c r="I143"/>
  <c r="I142" s="1"/>
  <c r="I141" s="1"/>
  <c r="I140" s="1"/>
  <c r="I150"/>
  <c r="I151"/>
  <c r="I152"/>
  <c r="I155"/>
  <c r="I156"/>
  <c r="I157"/>
  <c r="I159"/>
  <c r="I158" s="1"/>
  <c r="I170"/>
  <c r="I171"/>
  <c r="I176"/>
  <c r="I177"/>
  <c r="I178"/>
  <c r="I193"/>
  <c r="I192" s="1"/>
  <c r="I195"/>
  <c r="I194" s="1"/>
  <c r="I197"/>
  <c r="I196" s="1"/>
  <c r="I211"/>
  <c r="I212"/>
  <c r="I213"/>
  <c r="I219"/>
  <c r="I220"/>
  <c r="I221"/>
  <c r="I224"/>
  <c r="I223" s="1"/>
  <c r="I222" s="1"/>
  <c r="I240"/>
  <c r="I241"/>
  <c r="I242"/>
  <c r="I244"/>
  <c r="I245"/>
  <c r="I246"/>
  <c r="I260"/>
  <c r="I261"/>
  <c r="I263"/>
  <c r="I264"/>
  <c r="I266"/>
  <c r="I267"/>
  <c r="I269"/>
  <c r="I270"/>
  <c r="I272"/>
  <c r="I271" s="1"/>
  <c r="I277"/>
  <c r="I276" s="1"/>
  <c r="I275"/>
  <c r="I274" s="1"/>
  <c r="I280"/>
  <c r="I281"/>
  <c r="I283"/>
  <c r="I284"/>
  <c r="I286"/>
  <c r="I287"/>
  <c r="I290"/>
  <c r="I289" s="1"/>
  <c r="I288" s="1"/>
  <c r="I296"/>
  <c r="I295" s="1"/>
  <c r="I294" s="1"/>
  <c r="I293" s="1"/>
  <c r="I292" s="1"/>
  <c r="I308"/>
  <c r="I307" s="1"/>
  <c r="I306" s="1"/>
  <c r="I311"/>
  <c r="I310" s="1"/>
  <c r="I309" s="1"/>
  <c r="I317"/>
  <c r="I316" s="1"/>
  <c r="I315" s="1"/>
  <c r="I314" s="1"/>
  <c r="I313" s="1"/>
  <c r="I327"/>
  <c r="I326" s="1"/>
  <c r="I325" s="1"/>
  <c r="I324" s="1"/>
  <c r="I319" s="1"/>
  <c r="I335"/>
  <c r="I334" s="1"/>
  <c r="I347"/>
  <c r="I346" s="1"/>
  <c r="I345" s="1"/>
  <c r="I350"/>
  <c r="I351"/>
  <c r="I352"/>
  <c r="I354"/>
  <c r="I353" s="1"/>
  <c r="I356"/>
  <c r="I355" s="1"/>
  <c r="I358"/>
  <c r="I357" s="1"/>
  <c r="I360"/>
  <c r="I361"/>
  <c r="I363"/>
  <c r="I362" s="1"/>
  <c r="I366"/>
  <c r="I365" s="1"/>
  <c r="I369"/>
  <c r="I368" s="1"/>
  <c r="I367" s="1"/>
  <c r="I380"/>
  <c r="I381"/>
  <c r="I388"/>
  <c r="I389"/>
  <c r="I400"/>
  <c r="I401"/>
  <c r="I402"/>
  <c r="I407"/>
  <c r="I406" s="1"/>
  <c r="H204"/>
  <c r="H85"/>
  <c r="H84"/>
  <c r="H82"/>
  <c r="H81"/>
  <c r="H79"/>
  <c r="H78"/>
  <c r="H77"/>
  <c r="H74"/>
  <c r="H73"/>
  <c r="H72"/>
  <c r="H67"/>
  <c r="H64"/>
  <c r="H52"/>
  <c r="H51"/>
  <c r="H49"/>
  <c r="H48"/>
  <c r="H47"/>
  <c r="H45"/>
  <c r="H44"/>
  <c r="H43"/>
  <c r="H34"/>
  <c r="H31"/>
  <c r="H26"/>
  <c r="H24"/>
  <c r="H22"/>
  <c r="H21"/>
  <c r="N396" i="19"/>
  <c r="N395" s="1"/>
  <c r="N394" s="1"/>
  <c r="N393" s="1"/>
  <c r="N392" s="1"/>
  <c r="N391" s="1"/>
  <c r="N388"/>
  <c r="N379"/>
  <c r="N362"/>
  <c r="N358"/>
  <c r="I62" i="18"/>
  <c r="I61"/>
  <c r="I60"/>
  <c r="I59"/>
  <c r="N340" i="19"/>
  <c r="N339" s="1"/>
  <c r="N338" s="1"/>
  <c r="N332"/>
  <c r="N331"/>
  <c r="I49" i="18" s="1"/>
  <c r="I48"/>
  <c r="I47"/>
  <c r="N324" i="19"/>
  <c r="I33" i="18"/>
  <c r="I32"/>
  <c r="N307" i="19"/>
  <c r="N306" s="1"/>
  <c r="N305" s="1"/>
  <c r="N304" s="1"/>
  <c r="N302"/>
  <c r="N300"/>
  <c r="I19" i="18"/>
  <c r="I18" s="1"/>
  <c r="I120" l="1"/>
  <c r="I119" s="1"/>
  <c r="I331"/>
  <c r="I330" s="1"/>
  <c r="I329" s="1"/>
  <c r="I379"/>
  <c r="I378" s="1"/>
  <c r="I169"/>
  <c r="I168" s="1"/>
  <c r="I167" s="1"/>
  <c r="I399"/>
  <c r="I398" s="1"/>
  <c r="I233"/>
  <c r="I405"/>
  <c r="I404" s="1"/>
  <c r="H32"/>
  <c r="H59"/>
  <c r="H60"/>
  <c r="H61"/>
  <c r="H62"/>
  <c r="N346" i="19"/>
  <c r="N345" s="1"/>
  <c r="N344" s="1"/>
  <c r="N343" s="1"/>
  <c r="H76" i="18"/>
  <c r="H75" s="1"/>
  <c r="H19"/>
  <c r="H33"/>
  <c r="N298" i="19"/>
  <c r="N313"/>
  <c r="I204" i="18"/>
  <c r="I202" s="1"/>
  <c r="I259"/>
  <c r="I387"/>
  <c r="I386" s="1"/>
  <c r="I282"/>
  <c r="I262"/>
  <c r="I71"/>
  <c r="I210"/>
  <c r="I209" s="1"/>
  <c r="I208" s="1"/>
  <c r="I239"/>
  <c r="I149"/>
  <c r="I148" s="1"/>
  <c r="I218"/>
  <c r="I217" s="1"/>
  <c r="I175"/>
  <c r="I174" s="1"/>
  <c r="I173" s="1"/>
  <c r="I112"/>
  <c r="I111" s="1"/>
  <c r="I80"/>
  <c r="I42"/>
  <c r="I30"/>
  <c r="I20"/>
  <c r="I17" s="1"/>
  <c r="I359"/>
  <c r="I285"/>
  <c r="I279"/>
  <c r="I83"/>
  <c r="I50"/>
  <c r="I273"/>
  <c r="I349"/>
  <c r="I243"/>
  <c r="I154"/>
  <c r="I153" s="1"/>
  <c r="I46"/>
  <c r="I265"/>
  <c r="I268"/>
  <c r="I127"/>
  <c r="I58"/>
  <c r="I57" s="1"/>
  <c r="I56" s="1"/>
  <c r="I191"/>
  <c r="I190" s="1"/>
  <c r="I305"/>
  <c r="I304" s="1"/>
  <c r="H202"/>
  <c r="H199" s="1"/>
  <c r="H198" s="1"/>
  <c r="H83"/>
  <c r="N328" i="19"/>
  <c r="N353"/>
  <c r="N384"/>
  <c r="I76" i="18" s="1"/>
  <c r="I75" s="1"/>
  <c r="I29" l="1"/>
  <c r="I16" s="1"/>
  <c r="N312" i="19"/>
  <c r="N311" s="1"/>
  <c r="N297"/>
  <c r="N296" s="1"/>
  <c r="N295" s="1"/>
  <c r="N294" s="1"/>
  <c r="N597" s="1"/>
  <c r="I147" i="18"/>
  <c r="I139" s="1"/>
  <c r="I199"/>
  <c r="I198" s="1"/>
  <c r="I189" s="1"/>
  <c r="I238"/>
  <c r="I237" s="1"/>
  <c r="I232" s="1"/>
  <c r="I216"/>
  <c r="I215" s="1"/>
  <c r="N352" i="19"/>
  <c r="I278" i="18"/>
  <c r="I166"/>
  <c r="I70"/>
  <c r="I69" s="1"/>
  <c r="I348"/>
  <c r="I344" s="1"/>
  <c r="I343" s="1"/>
  <c r="I258"/>
  <c r="N383" i="19"/>
  <c r="N378" s="1"/>
  <c r="N377" s="1"/>
  <c r="N376" s="1"/>
  <c r="N375" s="1"/>
  <c r="N351" l="1"/>
  <c r="N350" s="1"/>
  <c r="N349" s="1"/>
  <c r="N310"/>
  <c r="N309" s="1"/>
  <c r="N598" s="1"/>
  <c r="I257" i="18"/>
  <c r="I256" s="1"/>
  <c r="I15"/>
  <c r="H514" i="7"/>
  <c r="H125"/>
  <c r="H123"/>
  <c r="H122"/>
  <c r="H115"/>
  <c r="H102"/>
  <c r="H99"/>
  <c r="H98" s="1"/>
  <c r="H90"/>
  <c r="H89"/>
  <c r="H67"/>
  <c r="H66"/>
  <c r="H64"/>
  <c r="H63"/>
  <c r="H62"/>
  <c r="H60"/>
  <c r="H59"/>
  <c r="H58"/>
  <c r="H39"/>
  <c r="H32"/>
  <c r="H30"/>
  <c r="H28"/>
  <c r="H27"/>
  <c r="H111"/>
  <c r="H84"/>
  <c r="H83"/>
  <c r="H48"/>
  <c r="H47"/>
  <c r="H41"/>
  <c r="H40"/>
  <c r="N293" i="19" l="1"/>
  <c r="N279" s="1"/>
  <c r="H85" i="7"/>
  <c r="H110"/>
  <c r="H116"/>
  <c r="H42"/>
  <c r="H38" s="1"/>
  <c r="H82"/>
  <c r="H114"/>
  <c r="H18"/>
  <c r="H22"/>
  <c r="H50"/>
  <c r="H113"/>
  <c r="H109"/>
  <c r="H124"/>
  <c r="E36" i="17" l="1"/>
  <c r="D36"/>
  <c r="E35"/>
  <c r="D35"/>
  <c r="H407" i="18"/>
  <c r="H402"/>
  <c r="H401"/>
  <c r="H400"/>
  <c r="H389"/>
  <c r="H388"/>
  <c r="H381"/>
  <c r="H380"/>
  <c r="H369"/>
  <c r="H368" s="1"/>
  <c r="H367" s="1"/>
  <c r="H366"/>
  <c r="H363"/>
  <c r="H362" s="1"/>
  <c r="H361"/>
  <c r="H360"/>
  <c r="H358"/>
  <c r="H356"/>
  <c r="H354"/>
  <c r="H352"/>
  <c r="H351"/>
  <c r="H350"/>
  <c r="H347"/>
  <c r="H335"/>
  <c r="H334" s="1"/>
  <c r="H327"/>
  <c r="H326" s="1"/>
  <c r="H325" s="1"/>
  <c r="H324" s="1"/>
  <c r="H319" s="1"/>
  <c r="H317"/>
  <c r="H311"/>
  <c r="H308"/>
  <c r="H296"/>
  <c r="H295" s="1"/>
  <c r="H294" s="1"/>
  <c r="H293" s="1"/>
  <c r="H292" s="1"/>
  <c r="H290"/>
  <c r="H289" s="1"/>
  <c r="H288" s="1"/>
  <c r="H287"/>
  <c r="H286"/>
  <c r="H284"/>
  <c r="H283"/>
  <c r="H281"/>
  <c r="H280"/>
  <c r="H275"/>
  <c r="H277"/>
  <c r="H272"/>
  <c r="H270"/>
  <c r="H269"/>
  <c r="H267"/>
  <c r="H266"/>
  <c r="H264"/>
  <c r="H263"/>
  <c r="H261"/>
  <c r="H260"/>
  <c r="H246"/>
  <c r="H245"/>
  <c r="H244"/>
  <c r="H242"/>
  <c r="H241"/>
  <c r="H240"/>
  <c r="H331" l="1"/>
  <c r="H330" s="1"/>
  <c r="H329" s="1"/>
  <c r="H379"/>
  <c r="H399"/>
  <c r="H398" s="1"/>
  <c r="H233"/>
  <c r="D34" i="6"/>
  <c r="H349" i="18"/>
  <c r="H239"/>
  <c r="H224"/>
  <c r="H221"/>
  <c r="H220"/>
  <c r="H219"/>
  <c r="H213"/>
  <c r="H212"/>
  <c r="H211"/>
  <c r="H197"/>
  <c r="H195"/>
  <c r="H194" s="1"/>
  <c r="H193"/>
  <c r="H192" s="1"/>
  <c r="H178"/>
  <c r="H177"/>
  <c r="H176"/>
  <c r="H171"/>
  <c r="H170"/>
  <c r="H159"/>
  <c r="H158" s="1"/>
  <c r="H157"/>
  <c r="H156"/>
  <c r="H155"/>
  <c r="H152"/>
  <c r="H151"/>
  <c r="H150"/>
  <c r="H143"/>
  <c r="H142" s="1"/>
  <c r="H141" s="1"/>
  <c r="H140" s="1"/>
  <c r="H134"/>
  <c r="H133"/>
  <c r="H132"/>
  <c r="H130"/>
  <c r="H129"/>
  <c r="H128"/>
  <c r="H124"/>
  <c r="H123" s="1"/>
  <c r="H115"/>
  <c r="H114"/>
  <c r="H113"/>
  <c r="H108"/>
  <c r="H103"/>
  <c r="H120" l="1"/>
  <c r="H119" s="1"/>
  <c r="H169"/>
  <c r="H210"/>
  <c r="H131"/>
  <c r="H112"/>
  <c r="H127"/>
  <c r="H567" i="7" l="1"/>
  <c r="H523"/>
  <c r="H521"/>
  <c r="H520"/>
  <c r="H519"/>
  <c r="H497"/>
  <c r="H496"/>
  <c r="H490"/>
  <c r="H486"/>
  <c r="H485"/>
  <c r="H482"/>
  <c r="H480"/>
  <c r="H476"/>
  <c r="H475" s="1"/>
  <c r="H474"/>
  <c r="H471"/>
  <c r="H466"/>
  <c r="H465"/>
  <c r="H463"/>
  <c r="H461"/>
  <c r="H459"/>
  <c r="H455"/>
  <c r="H454"/>
  <c r="H453"/>
  <c r="H450"/>
  <c r="H436"/>
  <c r="H430"/>
  <c r="H426"/>
  <c r="H420"/>
  <c r="H412"/>
  <c r="H399"/>
  <c r="H390"/>
  <c r="H387"/>
  <c r="H386"/>
  <c r="H384"/>
  <c r="H383"/>
  <c r="H381"/>
  <c r="H380"/>
  <c r="H377"/>
  <c r="H370"/>
  <c r="H368"/>
  <c r="H367"/>
  <c r="H365"/>
  <c r="H364"/>
  <c r="H362"/>
  <c r="H361"/>
  <c r="H359"/>
  <c r="H358"/>
  <c r="H346"/>
  <c r="H343"/>
  <c r="H342" s="1"/>
  <c r="H341" s="1"/>
  <c r="H338"/>
  <c r="H336"/>
  <c r="H335"/>
  <c r="H334"/>
  <c r="H332"/>
  <c r="H331"/>
  <c r="H330"/>
  <c r="H324"/>
  <c r="H322"/>
  <c r="H311"/>
  <c r="H308"/>
  <c r="H303"/>
  <c r="H300"/>
  <c r="H299"/>
  <c r="H298"/>
  <c r="H285"/>
  <c r="H283"/>
  <c r="H279"/>
  <c r="H276"/>
  <c r="H272"/>
  <c r="H268"/>
  <c r="H266"/>
  <c r="H264"/>
  <c r="H262"/>
  <c r="H247"/>
  <c r="H246"/>
  <c r="H245"/>
  <c r="H241"/>
  <c r="H240" s="1"/>
  <c r="H238"/>
  <c r="H237"/>
  <c r="H225"/>
  <c r="H224" s="1"/>
  <c r="H219"/>
  <c r="H217"/>
  <c r="H216"/>
  <c r="H215"/>
  <c r="H212"/>
  <c r="H211"/>
  <c r="H210"/>
  <c r="H206"/>
  <c r="H205"/>
  <c r="H202"/>
  <c r="H188"/>
  <c r="H187"/>
  <c r="H186"/>
  <c r="H183"/>
  <c r="H184"/>
  <c r="H182"/>
  <c r="H178"/>
  <c r="H177" s="1"/>
  <c r="H166"/>
  <c r="H165"/>
  <c r="H164"/>
  <c r="H161"/>
  <c r="H155"/>
  <c r="H152"/>
  <c r="H145"/>
  <c r="H214" l="1"/>
  <c r="H345"/>
  <c r="H344" s="1"/>
  <c r="H518"/>
  <c r="H236"/>
  <c r="H484"/>
  <c r="G21" i="22"/>
  <c r="F20" i="11"/>
  <c r="C16" i="21"/>
  <c r="B16"/>
  <c r="C15"/>
  <c r="B15"/>
  <c r="B14" i="9"/>
  <c r="B13" s="1"/>
  <c r="D16" i="20" l="1"/>
  <c r="D15" s="1"/>
  <c r="D14" s="1"/>
  <c r="D19" i="16"/>
  <c r="C19"/>
  <c r="D31"/>
  <c r="I103" i="18"/>
  <c r="I102" s="1"/>
  <c r="D16" i="16"/>
  <c r="D15" s="1"/>
  <c r="D50"/>
  <c r="D57"/>
  <c r="D63"/>
  <c r="D62" s="1"/>
  <c r="D66"/>
  <c r="D68"/>
  <c r="D70"/>
  <c r="C70"/>
  <c r="C68"/>
  <c r="C66"/>
  <c r="C63"/>
  <c r="C62" s="1"/>
  <c r="C57"/>
  <c r="C50"/>
  <c r="C31"/>
  <c r="C16"/>
  <c r="C15" s="1"/>
  <c r="C67" i="2"/>
  <c r="C27"/>
  <c r="C21"/>
  <c r="D18" i="16" l="1"/>
  <c r="C18"/>
  <c r="C20" i="2"/>
  <c r="C36" i="5" s="1"/>
  <c r="I101" i="18"/>
  <c r="I100" s="1"/>
  <c r="D39" i="16"/>
  <c r="D38" s="1"/>
  <c r="D37" s="1"/>
  <c r="C39"/>
  <c r="C38" s="1"/>
  <c r="C37" s="1"/>
  <c r="C65" i="2"/>
  <c r="C62"/>
  <c r="C61" s="1"/>
  <c r="C48"/>
  <c r="C55"/>
  <c r="C16"/>
  <c r="C15" s="1"/>
  <c r="C37" l="1"/>
  <c r="C36" s="1"/>
  <c r="D38" i="15"/>
  <c r="D14" i="16"/>
  <c r="D13" s="1"/>
  <c r="C38" i="15"/>
  <c r="C14" i="16"/>
  <c r="C13" s="1"/>
  <c r="M573" i="19" s="1"/>
  <c r="D37" i="15"/>
  <c r="C37"/>
  <c r="C35" i="5"/>
  <c r="C35" i="2" l="1"/>
  <c r="C14" s="1"/>
  <c r="N274" i="19"/>
  <c r="N276"/>
  <c r="N254"/>
  <c r="N253" s="1"/>
  <c r="N252" s="1"/>
  <c r="N251" s="1"/>
  <c r="N250" s="1"/>
  <c r="N244"/>
  <c r="N243" s="1"/>
  <c r="N242" s="1"/>
  <c r="N230"/>
  <c r="N226"/>
  <c r="N222"/>
  <c r="C37" i="5" l="1"/>
  <c r="C34" s="1"/>
  <c r="C33" s="1"/>
  <c r="N225" i="19"/>
  <c r="N224" s="1"/>
  <c r="N219"/>
  <c r="N218" s="1"/>
  <c r="N249"/>
  <c r="N593"/>
  <c r="E33" i="17" s="1"/>
  <c r="E31" s="1"/>
  <c r="D33"/>
  <c r="D31" s="1"/>
  <c r="H320" i="7"/>
  <c r="N273" i="19"/>
  <c r="N272" s="1"/>
  <c r="N271" s="1"/>
  <c r="N270" s="1"/>
  <c r="I133" i="18"/>
  <c r="I131" s="1"/>
  <c r="I126" s="1"/>
  <c r="N446" i="19"/>
  <c r="N440"/>
  <c r="N432"/>
  <c r="N431" s="1"/>
  <c r="N427"/>
  <c r="N426" s="1"/>
  <c r="N412"/>
  <c r="N437" l="1"/>
  <c r="N436" s="1"/>
  <c r="N411"/>
  <c r="N410" s="1"/>
  <c r="I125" i="18"/>
  <c r="I99" s="1"/>
  <c r="I421" s="1"/>
  <c r="N217" i="19"/>
  <c r="N216" s="1"/>
  <c r="N580" s="1"/>
  <c r="N269"/>
  <c r="N450"/>
  <c r="N445" s="1"/>
  <c r="N444" s="1"/>
  <c r="N443" s="1"/>
  <c r="N442" s="1"/>
  <c r="N606" s="1"/>
  <c r="E42" i="17" s="1"/>
  <c r="H159" i="7"/>
  <c r="H176"/>
  <c r="H174" s="1"/>
  <c r="D42" i="17"/>
  <c r="N425" i="19"/>
  <c r="N424" s="1"/>
  <c r="N423" s="1"/>
  <c r="N605" s="1"/>
  <c r="E41" i="17" s="1"/>
  <c r="D41" i="6"/>
  <c r="N409" i="19" l="1"/>
  <c r="N408" s="1"/>
  <c r="N599" s="1"/>
  <c r="E37" i="17" s="1"/>
  <c r="E23"/>
  <c r="D23"/>
  <c r="N215" i="19"/>
  <c r="N214" s="1"/>
  <c r="D31" i="6"/>
  <c r="D30" s="1"/>
  <c r="D36"/>
  <c r="D37" i="17"/>
  <c r="N422" i="19"/>
  <c r="N161"/>
  <c r="N160" s="1"/>
  <c r="N159" s="1"/>
  <c r="N158" s="1"/>
  <c r="N157" s="1"/>
  <c r="N156" s="1"/>
  <c r="N144"/>
  <c r="N143" s="1"/>
  <c r="N142" s="1"/>
  <c r="N141" s="1"/>
  <c r="N139"/>
  <c r="N132"/>
  <c r="N131" s="1"/>
  <c r="N130" s="1"/>
  <c r="N125" s="1"/>
  <c r="N122"/>
  <c r="N121" s="1"/>
  <c r="N120" s="1"/>
  <c r="N119" s="1"/>
  <c r="N118" s="1"/>
  <c r="N588" s="1"/>
  <c r="E29" i="17" s="1"/>
  <c r="D29"/>
  <c r="N116" i="19"/>
  <c r="N115" s="1"/>
  <c r="N113"/>
  <c r="N112" s="1"/>
  <c r="N104"/>
  <c r="N103" s="1"/>
  <c r="N102" s="1"/>
  <c r="D26" i="17"/>
  <c r="N91" i="19"/>
  <c r="N89"/>
  <c r="N87"/>
  <c r="N57"/>
  <c r="N52"/>
  <c r="N51" s="1"/>
  <c r="N50" s="1"/>
  <c r="N49" s="1"/>
  <c r="N48" s="1"/>
  <c r="N577" s="1"/>
  <c r="E20" i="17" s="1"/>
  <c r="D20"/>
  <c r="N46" i="19"/>
  <c r="N45" s="1"/>
  <c r="N43"/>
  <c r="N37"/>
  <c r="N35"/>
  <c r="N33"/>
  <c r="N29"/>
  <c r="N23"/>
  <c r="N22" s="1"/>
  <c r="N21" s="1"/>
  <c r="N20" s="1"/>
  <c r="N19" s="1"/>
  <c r="D18" i="17"/>
  <c r="D28" i="6"/>
  <c r="D19"/>
  <c r="D17"/>
  <c r="N407" i="19" l="1"/>
  <c r="N400" s="1"/>
  <c r="N136"/>
  <c r="N135" s="1"/>
  <c r="N134" s="1"/>
  <c r="N124" s="1"/>
  <c r="N589" s="1"/>
  <c r="E30" i="17" s="1"/>
  <c r="N94" i="19"/>
  <c r="N93" s="1"/>
  <c r="N584" s="1"/>
  <c r="E26" i="17" s="1"/>
  <c r="N575" i="19"/>
  <c r="E18" i="17" s="1"/>
  <c r="D22"/>
  <c r="N56" i="19"/>
  <c r="N55" s="1"/>
  <c r="N54" s="1"/>
  <c r="N579" s="1"/>
  <c r="E22" i="17" s="1"/>
  <c r="D21" i="6"/>
  <c r="D43"/>
  <c r="D27"/>
  <c r="D41" i="17"/>
  <c r="N609" i="19"/>
  <c r="E44" i="17" s="1"/>
  <c r="D44"/>
  <c r="H284" i="7"/>
  <c r="H438"/>
  <c r="N86" i="19"/>
  <c r="N85" s="1"/>
  <c r="N84" s="1"/>
  <c r="N83" s="1"/>
  <c r="D30" i="17"/>
  <c r="D28"/>
  <c r="N28" i="19"/>
  <c r="N27" s="1"/>
  <c r="N26" s="1"/>
  <c r="N25" s="1"/>
  <c r="N111"/>
  <c r="N110" s="1"/>
  <c r="N109" s="1"/>
  <c r="N587" s="1"/>
  <c r="E28" i="17" s="1"/>
  <c r="N18" i="19" l="1"/>
  <c r="D24" i="6"/>
  <c r="D52"/>
  <c r="D40"/>
  <c r="D25" i="17"/>
  <c r="N82" i="19"/>
  <c r="N583"/>
  <c r="E25" i="17" s="1"/>
  <c r="N576" i="19"/>
  <c r="E19" i="17" s="1"/>
  <c r="D19"/>
  <c r="N108" i="19"/>
  <c r="N17" l="1"/>
  <c r="N201"/>
  <c r="N200" s="1"/>
  <c r="N199" s="1"/>
  <c r="N198" s="1"/>
  <c r="N197" s="1"/>
  <c r="N183"/>
  <c r="N182" s="1"/>
  <c r="N181" s="1"/>
  <c r="N180" s="1"/>
  <c r="N179" s="1"/>
  <c r="N178" s="1"/>
  <c r="D29" i="6" l="1"/>
  <c r="D25"/>
  <c r="N196" i="19"/>
  <c r="N622"/>
  <c r="E54" i="17" s="1"/>
  <c r="D54"/>
  <c r="I397" i="18"/>
  <c r="N177" i="19" l="1"/>
  <c r="N207"/>
  <c r="N206" s="1"/>
  <c r="N205" s="1"/>
  <c r="N204" s="1"/>
  <c r="N490"/>
  <c r="N489" s="1"/>
  <c r="N488" s="1"/>
  <c r="N487" s="1"/>
  <c r="N486" s="1"/>
  <c r="D50" i="17"/>
  <c r="N472" i="19"/>
  <c r="N471" s="1"/>
  <c r="N468"/>
  <c r="N467" s="1"/>
  <c r="N466" s="1"/>
  <c r="N616" l="1"/>
  <c r="E50" i="17" s="1"/>
  <c r="N578" i="19"/>
  <c r="E21" i="17" s="1"/>
  <c r="D21"/>
  <c r="D48"/>
  <c r="N470" i="19"/>
  <c r="N465" s="1"/>
  <c r="N464" s="1"/>
  <c r="N463" l="1"/>
  <c r="N455" s="1"/>
  <c r="N614"/>
  <c r="E48" i="17" s="1"/>
  <c r="N522" i="19"/>
  <c r="N521" s="1"/>
  <c r="N520" s="1"/>
  <c r="N519" s="1"/>
  <c r="N518" s="1"/>
  <c r="N513"/>
  <c r="N512" s="1"/>
  <c r="N511" s="1"/>
  <c r="N510" s="1"/>
  <c r="D39" i="17" l="1"/>
  <c r="N602" i="19"/>
  <c r="E39" i="17" s="1"/>
  <c r="N509" i="19"/>
  <c r="N495" s="1"/>
  <c r="N562"/>
  <c r="N559"/>
  <c r="N549"/>
  <c r="N546"/>
  <c r="N543"/>
  <c r="N540"/>
  <c r="N533"/>
  <c r="N532" s="1"/>
  <c r="N531" s="1"/>
  <c r="N530" s="1"/>
  <c r="N529" s="1"/>
  <c r="N528" s="1"/>
  <c r="N601" l="1"/>
  <c r="E38" i="17" s="1"/>
  <c r="D38"/>
  <c r="N539" i="19"/>
  <c r="N538" s="1"/>
  <c r="N537" s="1"/>
  <c r="N536" s="1"/>
  <c r="D46" i="17"/>
  <c r="N555" i="19"/>
  <c r="N554" s="1"/>
  <c r="N553" s="1"/>
  <c r="N552" s="1"/>
  <c r="N611" l="1"/>
  <c r="E46" i="17" s="1"/>
  <c r="D45"/>
  <c r="D43" s="1"/>
  <c r="N610" i="19"/>
  <c r="E45" i="17" s="1"/>
  <c r="N535" i="19"/>
  <c r="N527" s="1"/>
  <c r="E43" i="17" l="1"/>
  <c r="D46" i="6"/>
  <c r="D50" l="1"/>
  <c r="D38" l="1"/>
  <c r="D49"/>
  <c r="D45"/>
  <c r="D42" s="1"/>
  <c r="D48" l="1"/>
  <c r="D54" l="1"/>
  <c r="D53" s="1"/>
  <c r="D37"/>
  <c r="H196" i="18"/>
  <c r="H191" s="1"/>
  <c r="H63"/>
  <c r="H489" i="7"/>
  <c r="H488" s="1"/>
  <c r="H513"/>
  <c r="H512" s="1"/>
  <c r="H511" s="1"/>
  <c r="H510" s="1"/>
  <c r="D20" i="6" l="1"/>
  <c r="H387" i="18"/>
  <c r="H386" s="1"/>
  <c r="H271" i="7"/>
  <c r="H218"/>
  <c r="H398"/>
  <c r="H394" s="1"/>
  <c r="D51" i="6" l="1"/>
  <c r="D27" i="12" l="1"/>
  <c r="C27"/>
  <c r="D16"/>
  <c r="H369" i="7" l="1"/>
  <c r="H437" l="1"/>
  <c r="C16" i="20" l="1"/>
  <c r="H353" i="18" l="1"/>
  <c r="H458" i="7" l="1"/>
  <c r="C15" i="20" l="1"/>
  <c r="C14" s="1"/>
  <c r="H21" i="7" l="1"/>
  <c r="H88" l="1"/>
  <c r="H495" l="1"/>
  <c r="H494" s="1"/>
  <c r="C14" i="21" l="1"/>
  <c r="B14" l="1"/>
  <c r="H80" i="18" l="1"/>
  <c r="H365"/>
  <c r="H376" i="7" l="1"/>
  <c r="H371" s="1"/>
  <c r="H101"/>
  <c r="H100" s="1"/>
  <c r="H163" l="1"/>
  <c r="H162" s="1"/>
  <c r="D36" i="15" l="1"/>
  <c r="D35" s="1"/>
  <c r="D34" s="1"/>
  <c r="C36"/>
  <c r="C35" s="1"/>
  <c r="H470" i="7" l="1"/>
  <c r="H310" l="1"/>
  <c r="H309" s="1"/>
  <c r="N620" i="19" l="1"/>
  <c r="H121" i="7" l="1"/>
  <c r="H321" l="1"/>
  <c r="H337"/>
  <c r="H393" l="1"/>
  <c r="H392" s="1"/>
  <c r="I410" i="18" l="1"/>
  <c r="I409" s="1"/>
  <c r="H410"/>
  <c r="H409" s="1"/>
  <c r="H428" s="1"/>
  <c r="H359"/>
  <c r="H274"/>
  <c r="H276"/>
  <c r="H243"/>
  <c r="H238" s="1"/>
  <c r="H237" s="1"/>
  <c r="H218"/>
  <c r="I428" l="1"/>
  <c r="I14"/>
  <c r="H273"/>
  <c r="H149"/>
  <c r="H111"/>
  <c r="H168" l="1"/>
  <c r="H50"/>
  <c r="H42"/>
  <c r="H25"/>
  <c r="H23"/>
  <c r="H18"/>
  <c r="H406"/>
  <c r="H378"/>
  <c r="H357"/>
  <c r="H355"/>
  <c r="H346"/>
  <c r="H345" s="1"/>
  <c r="H316"/>
  <c r="H315" s="1"/>
  <c r="H314" s="1"/>
  <c r="H313" s="1"/>
  <c r="H310"/>
  <c r="H309" s="1"/>
  <c r="H307"/>
  <c r="H306" s="1"/>
  <c r="H285"/>
  <c r="H282"/>
  <c r="H279"/>
  <c r="H271"/>
  <c r="H268"/>
  <c r="H265"/>
  <c r="H262"/>
  <c r="H259"/>
  <c r="H223"/>
  <c r="H222" s="1"/>
  <c r="H217"/>
  <c r="H209"/>
  <c r="H208" s="1"/>
  <c r="H175"/>
  <c r="H174" s="1"/>
  <c r="H173" s="1"/>
  <c r="H154"/>
  <c r="H153" s="1"/>
  <c r="H148"/>
  <c r="H107"/>
  <c r="H106" s="1"/>
  <c r="H102"/>
  <c r="H101" s="1"/>
  <c r="H147" l="1"/>
  <c r="H139" s="1"/>
  <c r="H100"/>
  <c r="H216"/>
  <c r="H405"/>
  <c r="H404" s="1"/>
  <c r="H190"/>
  <c r="H189" s="1"/>
  <c r="H348"/>
  <c r="H344" s="1"/>
  <c r="H258"/>
  <c r="H58"/>
  <c r="H57" s="1"/>
  <c r="H56" s="1"/>
  <c r="H30"/>
  <c r="I425"/>
  <c r="H397"/>
  <c r="H126"/>
  <c r="H125" s="1"/>
  <c r="H167"/>
  <c r="H166" s="1"/>
  <c r="H46"/>
  <c r="H71"/>
  <c r="H20"/>
  <c r="H17" s="1"/>
  <c r="H305"/>
  <c r="H304" s="1"/>
  <c r="H232"/>
  <c r="H278"/>
  <c r="H29" l="1"/>
  <c r="H16" s="1"/>
  <c r="H425"/>
  <c r="H257"/>
  <c r="H256" s="1"/>
  <c r="H99"/>
  <c r="H215"/>
  <c r="H70"/>
  <c r="H69" s="1"/>
  <c r="H343"/>
  <c r="H15" l="1"/>
  <c r="H14" s="1"/>
  <c r="K14" s="1"/>
  <c r="H421" l="1"/>
  <c r="H430" s="1"/>
  <c r="I430"/>
  <c r="H307" i="7"/>
  <c r="H306" s="1"/>
  <c r="I423" i="18" l="1"/>
  <c r="I429"/>
  <c r="I426"/>
  <c r="H429"/>
  <c r="H426"/>
  <c r="H423"/>
  <c r="N565" i="19" l="1"/>
  <c r="N15" s="1"/>
  <c r="L14" i="18" s="1"/>
  <c r="D56" i="17" l="1"/>
  <c r="D55" s="1"/>
  <c r="C26" i="20"/>
  <c r="N625" i="19"/>
  <c r="E56" i="17" s="1"/>
  <c r="E55" s="1"/>
  <c r="D26" i="20"/>
  <c r="E53" i="17" l="1"/>
  <c r="N612" i="19" l="1"/>
  <c r="E27" i="17"/>
  <c r="N623" i="19"/>
  <c r="N585"/>
  <c r="E34" i="17"/>
  <c r="N595" i="19"/>
  <c r="N590" l="1"/>
  <c r="N607"/>
  <c r="N603"/>
  <c r="N617"/>
  <c r="E47" i="17"/>
  <c r="N581" i="19"/>
  <c r="E17" i="17"/>
  <c r="E40" l="1"/>
  <c r="D53"/>
  <c r="E24" l="1"/>
  <c r="D24"/>
  <c r="D34"/>
  <c r="D40"/>
  <c r="D47"/>
  <c r="D17"/>
  <c r="E15" l="1"/>
  <c r="H15" s="1"/>
  <c r="D27"/>
  <c r="D15" l="1"/>
  <c r="G15" s="1"/>
  <c r="D25" i="20"/>
  <c r="D24" s="1"/>
  <c r="D23" s="1"/>
  <c r="C25" l="1"/>
  <c r="C24" s="1"/>
  <c r="C23" s="1"/>
  <c r="D40" i="15" l="1"/>
  <c r="D22" i="20" l="1"/>
  <c r="D21" s="1"/>
  <c r="D20" s="1"/>
  <c r="D19" s="1"/>
  <c r="D18" s="1"/>
  <c r="D13" s="1"/>
  <c r="H566" i="7" l="1"/>
  <c r="H565" s="1"/>
  <c r="H564" s="1"/>
  <c r="H17" l="1"/>
  <c r="H323" l="1"/>
  <c r="H407" l="1"/>
  <c r="H265"/>
  <c r="H275"/>
  <c r="H270" s="1"/>
  <c r="H267"/>
  <c r="H481" l="1"/>
  <c r="H479"/>
  <c r="H473"/>
  <c r="H472" s="1"/>
  <c r="H464"/>
  <c r="H460"/>
  <c r="H478" l="1"/>
  <c r="H522"/>
  <c r="H517" s="1"/>
  <c r="H389"/>
  <c r="H388" s="1"/>
  <c r="H443" l="1"/>
  <c r="H442" s="1"/>
  <c r="H441" s="1"/>
  <c r="H440" s="1"/>
  <c r="H435"/>
  <c r="H434" s="1"/>
  <c r="H429"/>
  <c r="H428" s="1"/>
  <c r="H427" s="1"/>
  <c r="H425"/>
  <c r="H419"/>
  <c r="H418" s="1"/>
  <c r="H411"/>
  <c r="H410" s="1"/>
  <c r="H366"/>
  <c r="H363"/>
  <c r="H360"/>
  <c r="H357"/>
  <c r="H356" l="1"/>
  <c r="H433"/>
  <c r="H432" s="1"/>
  <c r="H417"/>
  <c r="H382"/>
  <c r="H385"/>
  <c r="H379"/>
  <c r="H424"/>
  <c r="H423" s="1"/>
  <c r="H319"/>
  <c r="H318" s="1"/>
  <c r="H278"/>
  <c r="H204"/>
  <c r="H201"/>
  <c r="H317" l="1"/>
  <c r="H209"/>
  <c r="H208" s="1"/>
  <c r="H185"/>
  <c r="H244"/>
  <c r="H243" s="1"/>
  <c r="H242" s="1"/>
  <c r="H282"/>
  <c r="H281" s="1"/>
  <c r="H280" s="1"/>
  <c r="H181"/>
  <c r="H378"/>
  <c r="H355" s="1"/>
  <c r="H297"/>
  <c r="H296" s="1"/>
  <c r="H160"/>
  <c r="H158"/>
  <c r="H151"/>
  <c r="H150" s="1"/>
  <c r="H144"/>
  <c r="H143" s="1"/>
  <c r="H81"/>
  <c r="H65"/>
  <c r="H57"/>
  <c r="H46"/>
  <c r="H31"/>
  <c r="H29"/>
  <c r="H261"/>
  <c r="H80" l="1"/>
  <c r="H79" s="1"/>
  <c r="H180"/>
  <c r="H179" s="1"/>
  <c r="H173"/>
  <c r="H154"/>
  <c r="H153" s="1"/>
  <c r="H26"/>
  <c r="H16" s="1"/>
  <c r="H108"/>
  <c r="H142" l="1"/>
  <c r="H172"/>
  <c r="H141" l="1"/>
  <c r="H483"/>
  <c r="H329"/>
  <c r="H333"/>
  <c r="H328" l="1"/>
  <c r="H327" s="1"/>
  <c r="H316" s="1"/>
  <c r="H213"/>
  <c r="H207" s="1"/>
  <c r="H61" l="1"/>
  <c r="H112" l="1"/>
  <c r="H107" s="1"/>
  <c r="H106" l="1"/>
  <c r="D47" i="6"/>
  <c r="H462" i="7"/>
  <c r="H263"/>
  <c r="H260" s="1"/>
  <c r="H259" s="1"/>
  <c r="H452"/>
  <c r="D26" i="6" l="1"/>
  <c r="H516" i="7" l="1"/>
  <c r="H583" s="1"/>
  <c r="D23" i="6"/>
  <c r="H422" i="7"/>
  <c r="H416"/>
  <c r="H406"/>
  <c r="H405" s="1"/>
  <c r="H302"/>
  <c r="H301" s="1"/>
  <c r="H277"/>
  <c r="H235"/>
  <c r="H234" s="1"/>
  <c r="H203"/>
  <c r="H200"/>
  <c r="H295" l="1"/>
  <c r="H354"/>
  <c r="H269"/>
  <c r="H258" s="1"/>
  <c r="H199"/>
  <c r="H198" s="1"/>
  <c r="H294" l="1"/>
  <c r="H233" l="1"/>
  <c r="D39" i="6" l="1"/>
  <c r="C34" i="15" l="1"/>
  <c r="C40" s="1"/>
  <c r="C22" i="20" s="1"/>
  <c r="C21" l="1"/>
  <c r="C20" s="1"/>
  <c r="C19" s="1"/>
  <c r="H449" i="7"/>
  <c r="H448" s="1"/>
  <c r="C18" i="20" l="1"/>
  <c r="C13" s="1"/>
  <c r="N573" i="19" l="1"/>
  <c r="C13" i="2" l="1"/>
  <c r="C44" i="5" l="1"/>
  <c r="H468" i="7"/>
  <c r="C22" i="8" l="1"/>
  <c r="C21" s="1"/>
  <c r="C20" s="1"/>
  <c r="C19" s="1"/>
  <c r="H467" i="7"/>
  <c r="H451" s="1"/>
  <c r="D18" i="6"/>
  <c r="D16" s="1"/>
  <c r="H447" i="7" l="1"/>
  <c r="H446" l="1"/>
  <c r="H53"/>
  <c r="H49" s="1"/>
  <c r="H37" l="1"/>
  <c r="H15" s="1"/>
  <c r="H14" s="1"/>
  <c r="H13" s="1"/>
  <c r="D35" i="6" l="1"/>
  <c r="D33" s="1"/>
  <c r="D14" s="1"/>
  <c r="G14" s="1"/>
  <c r="C25" i="8"/>
  <c r="C24" s="1"/>
  <c r="C23" s="1"/>
  <c r="C18" s="1"/>
  <c r="C13" s="1"/>
  <c r="H579" i="7"/>
  <c r="H585" s="1"/>
  <c r="H584" s="1"/>
  <c r="H581" l="1"/>
  <c r="J13"/>
</calcChain>
</file>

<file path=xl/sharedStrings.xml><?xml version="1.0" encoding="utf-8"?>
<sst xmlns="http://schemas.openxmlformats.org/spreadsheetml/2006/main" count="16575" uniqueCount="1042">
  <si>
    <t>Код бюджетной классификации Российской Федерации</t>
  </si>
  <si>
    <t>Администрация муниципального образования Апшеронский район</t>
  </si>
  <si>
    <t>Невыясненные поступления, зачисляемые в бюджеты муниципальных районов</t>
  </si>
  <si>
    <t>902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</si>
  <si>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</si>
  <si>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</si>
  <si>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01 02 00 00 05 0000 810</t>
  </si>
  <si>
    <t>Погашение  бюджетами муниципальных районов кредитов от кредитных организаций в валюте Российской Федерации</t>
  </si>
  <si>
    <t>01 03 01 00 05 0000 710</t>
  </si>
  <si>
    <t>01 03 01 00 05 0000 810</t>
  </si>
  <si>
    <t>Финансовое управление администрации муниципального образования Апшеронский район</t>
  </si>
  <si>
    <t>Дотации бюджетам муниципальных районов на поддержку мер по обеспечению сбалансированности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</si>
  <si>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</si>
  <si>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</si>
  <si>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</si>
  <si>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</si>
  <si>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</si>
  <si>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Управление имущественных отношений администрации муниципального образования Апшеронский район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</si>
  <si>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</si>
  <si>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</si>
  <si>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</si>
  <si>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</si>
  <si>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</si>
  <si>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Управление образования администрации муниципального образования Апшеронский район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</si>
  <si>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</si>
  <si>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Отдел культуры администрации муниципального образования Апшеронский район</t>
  </si>
  <si>
    <t>Отдел по физической культуре и спорту администрации муниципального образования Апшеронский район</t>
  </si>
  <si>
    <t>Отдел по делам молодежи администрации муниципального образования Апшеронский район</t>
  </si>
  <si>
    <t>Отдел по вопросам семьи и детства администрации муниципального образования Апшеронский район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</si>
  <si>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</si>
  <si>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доходы от оказания платных услуг (работ) получателями средств бюджетов муниципальных районов</t>
  </si>
  <si>
    <t>Код</t>
  </si>
  <si>
    <t>Наименование дохода</t>
  </si>
  <si>
    <t>Сумма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</si>
  <si>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</si>
  <si>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</si>
  <si>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</si>
  <si>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</si>
  <si>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</si>
  <si>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Федерации, в том числе: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</si>
  <si>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</si>
  <si>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</si>
  <si>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(тыс. рублей)</t>
  </si>
  <si>
    <t>№ п\п</t>
  </si>
  <si>
    <t>Наименование</t>
  </si>
  <si>
    <t>Вед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</si>
  <si>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</si>
  <si>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</si>
  <si>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</si>
  <si>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</si>
  <si>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</si>
  <si>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</si>
  <si>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</si>
  <si>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</si>
  <si>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</si>
  <si>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Контрольно-счетная палата муниципального образования Апшеронский район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</si>
  <si>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</si>
  <si>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</si>
  <si>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</si>
  <si>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</si>
  <si>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муниципального образования Апшеронский район "Организация муниципального управления"</t>
  </si>
  <si>
    <t>17</t>
  </si>
  <si>
    <t>0</t>
  </si>
  <si>
    <t>00</t>
  </si>
  <si>
    <t>00000</t>
  </si>
  <si>
    <t>1</t>
  </si>
  <si>
    <t xml:space="preserve">Обеспечение деятельности высшего должностного лица муниципального образования </t>
  </si>
  <si>
    <t>Расходы на обеспечение функций органов местного самоуправления</t>
  </si>
  <si>
    <t>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</si>
  <si>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</si>
  <si>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</si>
  <si>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</si>
  <si>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</si>
  <si>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муниципального образования  Апшеронский район "Организация муниципального управления"</t>
  </si>
  <si>
    <t>Обеспечение деятельности администрации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</si>
  <si>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</si>
  <si>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</si>
  <si>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</si>
  <si>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</si>
  <si>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</si>
  <si>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</si>
  <si>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</si>
  <si>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60910</t>
  </si>
  <si>
    <t>Развитие муниципального управления</t>
  </si>
  <si>
    <t>03</t>
  </si>
  <si>
    <t>Административная реформа</t>
  </si>
  <si>
    <t>05</t>
  </si>
  <si>
    <t>Резервные фонды</t>
  </si>
  <si>
    <t>11</t>
  </si>
  <si>
    <t>99</t>
  </si>
  <si>
    <t>90010</t>
  </si>
  <si>
    <t>Другие общегосударственные вопросы</t>
  </si>
  <si>
    <t>13</t>
  </si>
  <si>
    <t>Муниципальная программа муниципального образования Апшеронский район "Поддержка социально ориентированных некоммерческих организаций"</t>
  </si>
  <si>
    <t>15</t>
  </si>
  <si>
    <t>Субсидии на поддержку социально ориентированных некоммерческих организаций</t>
  </si>
  <si>
    <t>11600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</si>
  <si>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</si>
  <si>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</si>
  <si>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</si>
  <si>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09</t>
  </si>
  <si>
    <t>Муниципальная программа муниципального образования Апшеронский район "Обеспечение безопасности населения"</t>
  </si>
  <si>
    <t>06</t>
  </si>
  <si>
    <t>Предупреждение и ликвидация чрезвычайных ситуаций, стихийных бедствий и их последствий в муниципальном образовании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</si>
  <si>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</si>
  <si>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10600</t>
  </si>
  <si>
    <t>Реализация мероприятий муниципальной программы "Обеспечение безопасности населения"</t>
  </si>
  <si>
    <t>10660</t>
  </si>
  <si>
    <t>Другие вопросы в области национальной безопасности и правоохранительной деятельности</t>
  </si>
  <si>
    <t>14</t>
  </si>
  <si>
    <t>2</t>
  </si>
  <si>
    <t>10610</t>
  </si>
  <si>
    <t>00590</t>
  </si>
  <si>
    <t>Национальная экономика</t>
  </si>
  <si>
    <t>Сельское хозяйство и рыболовство</t>
  </si>
  <si>
    <t xml:space="preserve">Муниципальная программа муниципального образования  Апшеронский район "Развитие сельского хозяйства" </t>
  </si>
  <si>
    <t>Развитие малых форм хозяйствования в АПК в муниципальном образовании Апшеронский район</t>
  </si>
  <si>
    <t>Обеспечение эпизоотического, ветеринарно-санитарного благополучия в муниципальном образовании Апшеронский район</t>
  </si>
  <si>
    <t>61650</t>
  </si>
  <si>
    <t>Дорожное хозяйство (дорожные фонды)</t>
  </si>
  <si>
    <t>Муниципальная программа муниципального образования Апшеронский район "Поддержка дорожного хозяйства"</t>
  </si>
  <si>
    <t>12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</si>
  <si>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</si>
  <si>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</si>
  <si>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11300</t>
  </si>
  <si>
    <t>10</t>
  </si>
  <si>
    <t>11820</t>
  </si>
  <si>
    <t>Другие вопросы в области национальной экономики</t>
  </si>
  <si>
    <t>Муниципальная программа муниципального образования Апшеронский район "Экономическое развитие муниципального образования"</t>
  </si>
  <si>
    <t>Развитие малого и среднего предпринимательства в муниципальном образовании</t>
  </si>
  <si>
    <t>Финансовая поддержка субъектов малого и среднего предпринимательства</t>
  </si>
  <si>
    <t>Развитие и поддержка малого и среднего предпринимательства</t>
  </si>
  <si>
    <t>11400</t>
  </si>
  <si>
    <t>Инвестиционное развитие муниципального образования</t>
  </si>
  <si>
    <t>Создание условий для инвестиционного развития муниципального образования Апшеронский район</t>
  </si>
  <si>
    <t>Формирование и продвижение экономически и инвестиционно привлекательного образа муниципального образования Апшеронский район за его пределами</t>
  </si>
  <si>
    <t>11410</t>
  </si>
  <si>
    <t>Муниципальная программа муниципального образования Апшеронский район "Развитие санаторно-курортного и туристского комплекса"</t>
  </si>
  <si>
    <t xml:space="preserve">Реализация мероприятий муниципальной программы "Развитие санаторно-курортного и туристского комплекса" </t>
  </si>
  <si>
    <t>11500</t>
  </si>
  <si>
    <t>Социальная политика</t>
  </si>
  <si>
    <t>Социальное обеспечение и иные выплаты населению</t>
  </si>
  <si>
    <t>300</t>
  </si>
  <si>
    <t>Другие  вопросы в области социальной политики</t>
  </si>
  <si>
    <t>Межбюджетные трансферты</t>
  </si>
  <si>
    <t>500</t>
  </si>
  <si>
    <t>Профилактика терроризма и экстремизма в муниципальном образовании</t>
  </si>
  <si>
    <t>Организация физической охраны в здании администрации муниципального образования Апшеронский район</t>
  </si>
  <si>
    <t>Мероприятия по профилактике терроризма и экстремизма</t>
  </si>
  <si>
    <t>Наименование поселений</t>
  </si>
  <si>
    <t>910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</si>
  <si>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</si>
  <si>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 муниципального образования</t>
  </si>
  <si>
    <t>51</t>
  </si>
  <si>
    <t>Контрольно-счетная палата муниципального образования</t>
  </si>
  <si>
    <t>20010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</si>
  <si>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</si>
  <si>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</si>
  <si>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</si>
  <si>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</si>
  <si>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</si>
  <si>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</si>
  <si>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03 02230 01 0000 110
1 03 02240 01 0000 110
1 03 02250 01 0000 110
1 03 02260 01 0000 110</t>
  </si>
  <si>
    <t>1 05 02000 02 0000 110</t>
  </si>
  <si>
    <t>1 05 03000 01 0000 110</t>
  </si>
  <si>
    <t>Единый сельскохозяйственный налог*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</si>
  <si>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</si>
  <si>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</si>
  <si>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</si>
  <si>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пошлина*</t>
  </si>
  <si>
    <t>1 11 01050 05 0000 120</t>
  </si>
  <si>
    <t>1 11 05010 00 0000 120</t>
  </si>
  <si>
    <t>1 11 07015 05 0000 120</t>
  </si>
  <si>
    <t>1 12 01000 01 0000 120</t>
  </si>
  <si>
    <t>Плата за негативное воздействие на окружающую среду*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</si>
  <si>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</si>
  <si>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</si>
  <si>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</si>
  <si>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</si>
  <si>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Иные межбюджетные трансферты*</t>
  </si>
  <si>
    <t>Всего доходов</t>
  </si>
  <si>
    <t>Распределение бюджетных ассигнований по разделам и подразделам</t>
  </si>
  <si>
    <t>№ п/п</t>
  </si>
  <si>
    <t>Всего расходов</t>
  </si>
  <si>
    <t>в том числе:</t>
  </si>
  <si>
    <t>0100</t>
  </si>
  <si>
    <t>0102</t>
  </si>
  <si>
    <t xml:space="preserve">Функционирование высшего должностного лица субъекта Российской Федерации и муниципального образования   </t>
  </si>
  <si>
    <t>0104</t>
  </si>
  <si>
    <t>0106</t>
  </si>
  <si>
    <t>0111</t>
  </si>
  <si>
    <t>0113</t>
  </si>
  <si>
    <t>0300</t>
  </si>
  <si>
    <t>0314</t>
  </si>
  <si>
    <t>0400</t>
  </si>
  <si>
    <t>0405</t>
  </si>
  <si>
    <t>0409</t>
  </si>
  <si>
    <t>0412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</si>
  <si>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</si>
  <si>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</si>
  <si>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</si>
  <si>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</si>
  <si>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</si>
  <si>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</si>
  <si>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</si>
  <si>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</si>
  <si>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</si>
  <si>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</si>
  <si>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</si>
  <si>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</si>
  <si>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</si>
  <si>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</si>
  <si>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</si>
  <si>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</si>
  <si>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</si>
  <si>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Охрана семьи и детства</t>
  </si>
  <si>
    <t>Другие вопросы в области социальной политики</t>
  </si>
  <si>
    <t xml:space="preserve">Физическая культура и спорт </t>
  </si>
  <si>
    <t>1102</t>
  </si>
  <si>
    <t>Массовый спорт</t>
  </si>
  <si>
    <t>1105</t>
  </si>
  <si>
    <t>Другие вопросы в области физической культуры и спорта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</si>
  <si>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</si>
  <si>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</si>
  <si>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</si>
  <si>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Капитальные вложения в объекты государственной (муниципальной) собственности</t>
  </si>
  <si>
    <t>400</t>
  </si>
  <si>
    <t>Муниципальная программа муниципального образования Апшеронский район "Развитие образования"</t>
  </si>
  <si>
    <t>Развитие дошкольного и общего образования детей</t>
  </si>
  <si>
    <t>Мероприятия по повышению уровня безопасности  муниципальных образовательных учреждений</t>
  </si>
  <si>
    <t>Реализация мероприятий муниципальной программы "Развитие образования"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</si>
  <si>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</si>
  <si>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Развитие дополнительного образования детей</t>
  </si>
  <si>
    <t>Стипендии главы муниципального образования Апшеронский район для одаренных детей</t>
  </si>
  <si>
    <t>Обеспечение реализации муниципальной программы и прочие мероприятия в области образования</t>
  </si>
  <si>
    <t>Муниципальная программа муниципального образования Апшеронский район "Развитие культуры"</t>
  </si>
  <si>
    <t>Совершенствование деятельности муниципальных учреждений отрасли "Культура и искусство" по предоставлению муниципальных услуг</t>
  </si>
  <si>
    <t>Организация библиотечного обслуживания населения, комплектование библиотечных фондов библиотек поселения</t>
  </si>
  <si>
    <t>Обеспечение реализации муниципальной программы и прочие мероприятия в сфере культуры и искусства</t>
  </si>
  <si>
    <t>Муниципальная программа муниципального образования Апшеронский район "Развитие физической культуры и спорта"</t>
  </si>
  <si>
    <t>Развитие физической культуры и массового спорта</t>
  </si>
  <si>
    <t>Реализация мероприятий муниципальной программы "Развитие физической культуры и спорта"</t>
  </si>
  <si>
    <t>Управление реализацией муниципальной программы</t>
  </si>
  <si>
    <t>Муниципальная программа муниципального образования Апшеронский район "Развитие молодежной политики"</t>
  </si>
  <si>
    <t>Молодежь Апшеронского района</t>
  </si>
  <si>
    <t>Муниципальная программа муниципального образования Апшеронский район "Управление муниципальными финансами"</t>
  </si>
  <si>
    <t>07</t>
  </si>
  <si>
    <t>Муниципальная программа муниципального образования Апшеронский район "Управление муниципальным имуществом"</t>
  </si>
  <si>
    <t>08</t>
  </si>
  <si>
    <t>Повышение эффективности управления муниципальным имуществом и приватизации</t>
  </si>
  <si>
    <t>Оценка недвижимости, признание прав и регулирование отношений по муниципальной собственности</t>
  </si>
  <si>
    <t>Управление реализацией муниципальной программы и прочие мероприятия</t>
  </si>
  <si>
    <t xml:space="preserve">Муниципальная программа муниципального образования Апшеронский район "Социальная поддержка граждан" 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</si>
  <si>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</si>
  <si>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</si>
  <si>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Муниципальная программа муниципального образования Апшеронский район "Доступная среда"</t>
  </si>
  <si>
    <t>20</t>
  </si>
  <si>
    <t>Реализация мероприятий муниципальной программы "Доступная среда"</t>
  </si>
  <si>
    <t>Осуществление внешнего муниципального финансового контроля</t>
  </si>
  <si>
    <t>программы</t>
  </si>
  <si>
    <t>непрограммные</t>
  </si>
  <si>
    <t>(тыс.рублей)</t>
  </si>
  <si>
    <t>000 01 00 00 00 00 0000 000</t>
  </si>
  <si>
    <t>Источники внутреннего финансирования дефицитов бюджетов, всего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</si>
  <si>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</si>
  <si>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</si>
  <si>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</si>
  <si>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</si>
  <si>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</si>
  <si>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</si>
  <si>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</si>
  <si>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</si>
  <si>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</si>
  <si>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</si>
  <si>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</si>
  <si>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</si>
  <si>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</si>
  <si>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</si>
  <si>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</si>
  <si>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 xml:space="preserve"> (тыс.рублей)</t>
  </si>
  <si>
    <t>№                п/п</t>
  </si>
  <si>
    <t>1.</t>
  </si>
  <si>
    <t>Кабардинское сельское поселение</t>
  </si>
  <si>
    <t>Кубанское сельское поселение</t>
  </si>
  <si>
    <t>Куринское сельское поселение</t>
  </si>
  <si>
    <t>Нижегородское сельское поселение</t>
  </si>
  <si>
    <t>Новополянское сельское поселение</t>
  </si>
  <si>
    <t>Отдаленное сельское поселение</t>
  </si>
  <si>
    <t>Тверское сельское поселение</t>
  </si>
  <si>
    <t>Черниговское сельское поселение</t>
  </si>
  <si>
    <t>Объем</t>
  </si>
  <si>
    <t>погашение основной суммы долга</t>
  </si>
  <si>
    <t xml:space="preserve">Программа муниципальных гарантий муниципального образования Апшеронский район  </t>
  </si>
  <si>
    <t>Объем гарантий,  тыс.рублей</t>
  </si>
  <si>
    <t>иные условия</t>
  </si>
  <si>
    <t xml:space="preserve"> -</t>
  </si>
  <si>
    <t>Бюджетные ассигнования на исполнение муниципальных гарантий муниципального образования Апшеронский район по возможным гарантийным случаям</t>
  </si>
  <si>
    <t>Наименование межбюджетных трансфертов</t>
  </si>
  <si>
    <t>Дотации на выравнивание бюджетной обеспеченности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</si>
  <si>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</si>
  <si>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из них:</t>
  </si>
  <si>
    <t xml:space="preserve"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</t>
  </si>
  <si>
    <t>муниципальные дошкольные образовательные организации</t>
  </si>
  <si>
    <t>муниципальные общеобразовательные организации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</si>
  <si>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</si>
  <si>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60070</t>
  </si>
  <si>
    <t>Оказание финансовой поддержки социально ориентированным некоммерческим организациям</t>
  </si>
  <si>
    <t>Содействие развитию дошкольного образования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</si>
  <si>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</si>
  <si>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60820</t>
  </si>
  <si>
    <t>60860</t>
  </si>
  <si>
    <t>Обеспечение мероприятий по противодействию терроризму и экстремизму</t>
  </si>
  <si>
    <t>Содействие развитию общего образования</t>
  </si>
  <si>
    <t>10200</t>
  </si>
  <si>
    <t>10210</t>
  </si>
  <si>
    <t>62370</t>
  </si>
  <si>
    <t>Содействие развитию дополнительного образования детей</t>
  </si>
  <si>
    <t>Выявление и поддержка одаренных детей</t>
  </si>
  <si>
    <t xml:space="preserve">Стипендии главы муниципального образования Апшеронский район для одаренных детей </t>
  </si>
  <si>
    <t>00300</t>
  </si>
  <si>
    <t>12100</t>
  </si>
  <si>
    <t>Создание условий для полноценного и безопасного отдыха детей в каникулярное время</t>
  </si>
  <si>
    <t>Совершенствование управления реализацией Программы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</si>
  <si>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 образовательную программу дошкольного образования</t>
  </si>
  <si>
    <t>60710</t>
  </si>
  <si>
    <t>Совершенствование социальной поддержки семьи и детей</t>
  </si>
  <si>
    <t>Создание условий для формирования доступной среды жизнедеятельности для инвалидов и других маломобильных групп населения</t>
  </si>
  <si>
    <t>934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</si>
  <si>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</si>
  <si>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 xml:space="preserve">Реализация мероприятий муниципальной программы "Развитие молодежной политики" </t>
  </si>
  <si>
    <t>10500</t>
  </si>
  <si>
    <t>929</t>
  </si>
  <si>
    <t>Формирование здорового образа жизни и гармоничное воспитание здорового,  физически крепкого поколения</t>
  </si>
  <si>
    <t>10400</t>
  </si>
  <si>
    <t xml:space="preserve">Массовый спорт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</si>
  <si>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</si>
  <si>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</si>
  <si>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числе:</t>
  </si>
  <si>
    <t>953</t>
  </si>
  <si>
    <t>Муниципальная программа муниципального образования Апшеронский район "Социальная поддержка граждан"</t>
  </si>
  <si>
    <t>60840</t>
  </si>
  <si>
    <t>60670</t>
  </si>
  <si>
    <t>60680</t>
  </si>
  <si>
    <t>60720</t>
  </si>
  <si>
    <t>60730</t>
  </si>
  <si>
    <t>Другие вопросы в области социальной политики</t>
  </si>
  <si>
    <t>60880</t>
  </si>
  <si>
    <t>60900</t>
  </si>
  <si>
    <t>62340</t>
  </si>
  <si>
    <t>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</t>
  </si>
  <si>
    <t>10800</t>
  </si>
  <si>
    <t>Повышение эффективности осуществления закупок товаров, работ, услуг для муниципальных нужд и нужд бюджетных учреждений муниципального образования</t>
  </si>
  <si>
    <t>Государственная поддержка решения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</si>
  <si>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Создание условий для эффективного управления в сфере развития системы управления муниципальным имуществом, находящимся в муниципальной собственности</t>
  </si>
  <si>
    <t>905</t>
  </si>
  <si>
    <t>Создание условий для эффективного и ответственного управления муниципальными финансами</t>
  </si>
  <si>
    <t xml:space="preserve">Выравнивание финансовых возможностей бюджетов </t>
  </si>
  <si>
    <t>Прочие субсидии</t>
  </si>
  <si>
    <t xml:space="preserve">Прочие субсидии бюджетам муниципальных районов, в том числе: </t>
  </si>
  <si>
    <t>Субсидии бюджетам бюджетной системы Российской Федерации (межбюджетные субсидии)*</t>
  </si>
  <si>
    <t>Создание условий для развития санаторно-курортного и туристского комплекса муниципального образования Апшеронский район</t>
  </si>
  <si>
    <t>01 02 00 00 05 0000 710</t>
  </si>
  <si>
    <t>1 11 05075 05 0000 120</t>
  </si>
  <si>
    <t xml:space="preserve">* В том числе по видам и подвидам доходов.  </t>
  </si>
  <si>
    <t xml:space="preserve">Наименование </t>
  </si>
  <si>
    <t>1 05 01000 00 0000 110</t>
  </si>
  <si>
    <t>Налог, взимаемый в связи с применением упрощенной системы налогообложения*</t>
  </si>
  <si>
    <t>Безвозмездные поступления</t>
  </si>
  <si>
    <t xml:space="preserve">* По видам и подвидам доходов, входящим в соответствующий группировочный код бюджетной классификации, зачисляемым в районный бюджет в соответствии с законодательством Российской Федерации.   </t>
  </si>
  <si>
    <t>Всего</t>
  </si>
  <si>
    <t xml:space="preserve">Апшеронское городское поселение </t>
  </si>
  <si>
    <t xml:space="preserve">Нефтегорское городское поселение </t>
  </si>
  <si>
    <t>Хадыженское городское поселение</t>
  </si>
  <si>
    <t xml:space="preserve">Кабардинское сельское поселение </t>
  </si>
  <si>
    <t xml:space="preserve">Куринское сельское поселение </t>
  </si>
  <si>
    <t>Мезмайское сельское поселение</t>
  </si>
  <si>
    <t xml:space="preserve">                                Приложение № 2 к решению Совета муниципального образования</t>
  </si>
  <si>
    <t>926</t>
  </si>
  <si>
    <t>Реализация мероприятий муниципальной программы  "Развитие культуры"</t>
  </si>
  <si>
    <t>10300</t>
  </si>
  <si>
    <t>Содействие развитию библиотечного дела</t>
  </si>
  <si>
    <t>20020</t>
  </si>
  <si>
    <t>Содействие развитию культурно-досуговых организаций</t>
  </si>
  <si>
    <t>Организация, проведение и участие в конкурсах, фестивалях, концертах, выставках, приемах, конференциях, форумах, акциях, праздниках, семинарах, экспедициях в рамках их организации и поддержки</t>
  </si>
  <si>
    <t xml:space="preserve">Другие вопросы в области культуры, кинематографии </t>
  </si>
  <si>
    <t>Физическая культура и спорт</t>
  </si>
  <si>
    <t>Обеспечение деятельности  муниципального казенного учреждения "Ситуационный центр "Комплексное обеспечение безопасности жизнедеятельности"</t>
  </si>
  <si>
    <t>Осуществление части полномочий по решению вопросов местного значения в соответствии с заключенными соглашениями</t>
  </si>
  <si>
    <t>Рз,Пр</t>
  </si>
  <si>
    <t>000 01 05 02 01 00 0000 510</t>
  </si>
  <si>
    <t>Сохранение и развитие традиционной народной культуры муниципального образования</t>
  </si>
  <si>
    <t xml:space="preserve">Сохранение и развитие традиционной народной культуры муниципального образования </t>
  </si>
  <si>
    <t>Единый налог на вмененный доход для отдельных видов деятельности</t>
  </si>
  <si>
    <t>10670</t>
  </si>
  <si>
    <t>10690</t>
  </si>
  <si>
    <t>10680</t>
  </si>
  <si>
    <t>Реализация полномочий в области строительства, архитектуры и градостроительства</t>
  </si>
  <si>
    <t xml:space="preserve"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 </t>
  </si>
  <si>
    <t>Коммунальное хозяйство</t>
  </si>
  <si>
    <t>Газификация населенных пунктов поселений муниципального образования Апшеронский район</t>
  </si>
  <si>
    <t>0502</t>
  </si>
  <si>
    <t>10820</t>
  </si>
  <si>
    <t>Выполнение других обязательств муниципального образования</t>
  </si>
  <si>
    <t>Содержание имущества, находящегося в муниципальной казне</t>
  </si>
  <si>
    <t>Основные мероприятия муниципальной программы</t>
  </si>
  <si>
    <t>Иные межбюджетные трансферты на организацию участия аварийно-спасательного отряда в ликвидации чрезвычайных ситуаций и иных происшествий на территории сельских поселений Апшеронского района</t>
  </si>
  <si>
    <t>Иные межбюджетные трансферты на реализацию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</si>
  <si>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Иные межбюджетные трансферты на реализацию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</si>
  <si>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 xml:space="preserve">                                Приложение № 1 к решению Совета муниципального образования</t>
  </si>
  <si>
    <t xml:space="preserve">                                Приложение № 3 к решению Совета муниципального образования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</si>
  <si>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</si>
  <si>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</si>
  <si>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</si>
  <si>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Федерации* 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</si>
  <si>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</si>
  <si>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</si>
  <si>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62500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</si>
  <si>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</si>
  <si>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01 06 05 02 05 0000 540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</si>
  <si>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</si>
  <si>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</si>
  <si>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</si>
  <si>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</si>
  <si>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0703</t>
  </si>
  <si>
    <t>Дополнительное образование детей</t>
  </si>
  <si>
    <t xml:space="preserve">Молодежная политика </t>
  </si>
  <si>
    <t>Приложение № 17 к решению Совета муниципального образования</t>
  </si>
  <si>
    <t>Приложение № 18 к решению Совета муниципального образования</t>
  </si>
  <si>
    <t>Информатизация деятельности органов местного самоуправления</t>
  </si>
  <si>
    <t>Мероприятия по информатизации администрации муниципального образования, ее отраслевых (функциональных) органов</t>
  </si>
  <si>
    <t>11840</t>
  </si>
  <si>
    <t>Обеспечение информационной открытости и доступности информации о деятельности органов местного самоуправления</t>
  </si>
  <si>
    <t>Пенсионное обеспечение</t>
  </si>
  <si>
    <t>11850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</si>
  <si>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</si>
  <si>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 xml:space="preserve"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 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</si>
  <si>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</si>
  <si>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субвенции на 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</si>
  <si>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 xml:space="preserve"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 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</si>
  <si>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</si>
  <si>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</si>
  <si>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</si>
  <si>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</si>
  <si>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Физическая культура</t>
  </si>
  <si>
    <t>Содействие развитию спортивных организаций</t>
  </si>
  <si>
    <t>Условно утвержденные расходы</t>
  </si>
  <si>
    <t>% УУР</t>
  </si>
  <si>
    <t>УУР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</si>
  <si>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</si>
  <si>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Вид заимствований</t>
  </si>
  <si>
    <t xml:space="preserve">  Направление (цель)       гарантирова-ния</t>
  </si>
  <si>
    <t>аппарат соцсферы</t>
  </si>
  <si>
    <t>соцкультсфера (без аппарата)</t>
  </si>
  <si>
    <t>Система комплексного обеспечения безопасности жизнедеятельности муниципального образования. Построение и развитие АПК "Безопасный город"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</si>
  <si>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</si>
  <si>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</si>
  <si>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</si>
  <si>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</si>
  <si>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10810</t>
  </si>
  <si>
    <t>Мероприятия по землеустройству и землепользованию</t>
  </si>
  <si>
    <t>Обеспечение строительства газопроводов на территории муниципального образования Апшеронский район</t>
  </si>
  <si>
    <t xml:space="preserve">                                Приложение № 5 к решению Совета муниципального образования</t>
  </si>
  <si>
    <t>20030</t>
  </si>
  <si>
    <t>Осуществление части полномочий по исполнению бюджета поселения</t>
  </si>
  <si>
    <t>Прочие обязательства муниципального образования</t>
  </si>
  <si>
    <t>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</si>
  <si>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</si>
  <si>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Начальник Финансового управления</t>
  </si>
  <si>
    <t xml:space="preserve">администрации муниципального образования </t>
  </si>
  <si>
    <t>Апшеронский район</t>
  </si>
  <si>
    <t xml:space="preserve">                                Приложение № 6 к решению Совета муниципального образования</t>
  </si>
  <si>
    <t>РУО</t>
  </si>
  <si>
    <t>Обеспечение своевременности и полноты исполнения долговых обязательств муниципального образования</t>
  </si>
  <si>
    <t>Процентные платежи по муниципальному долгу</t>
  </si>
  <si>
    <t>11810</t>
  </si>
  <si>
    <t>Обслуживание государственного (муниципального) долга</t>
  </si>
  <si>
    <t>700</t>
  </si>
  <si>
    <t>11880</t>
  </si>
  <si>
    <t>Материально-техническое обеспечение деятельности органов местного самоуправления муниципального образования</t>
  </si>
  <si>
    <t>09020</t>
  </si>
  <si>
    <t>000 01 03 00 00 00 0000 000</t>
  </si>
  <si>
    <t>000 01 03 01 00 00 0000 000</t>
  </si>
  <si>
    <t>000 01 03 01 00 00 0000 800</t>
  </si>
  <si>
    <t>000 01 03 01 00 05 0000 810</t>
  </si>
  <si>
    <t>1300</t>
  </si>
  <si>
    <t>1301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</si>
  <si>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</si>
  <si>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</si>
  <si>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Судебная система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</si>
  <si>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</si>
  <si>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</si>
  <si>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</si>
  <si>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1 13 00000 00 0000 000</t>
  </si>
  <si>
    <t xml:space="preserve">                                Приложение № 13 к решению Совета муниципального образования</t>
  </si>
  <si>
    <t>О.В.Чуйко</t>
  </si>
  <si>
    <t>0105</t>
  </si>
  <si>
    <t>S0570</t>
  </si>
  <si>
    <t>Реализация мероприятий государственной программы Краснодарского края "Развитие санаторно-курортного и туристского комплекса"</t>
  </si>
  <si>
    <t>Нормативы распределения доходов между районным бюджетом</t>
  </si>
  <si>
    <t>и бюджетами городских и сельских поселений Апшеронского района</t>
  </si>
  <si>
    <t>Районный бюджет</t>
  </si>
  <si>
    <t>Бюджеты городских поселений</t>
  </si>
  <si>
    <t>Бюджеты сельских поселений</t>
  </si>
  <si>
    <t>Доходы от погашения задолженности и перерасчетов по отмененным налогам, сборам и иным обязательным платежам</t>
  </si>
  <si>
    <t>Налог на рекламу, мобилизуемый на территориях муниципальных районов</t>
  </si>
  <si>
    <t xml:space="preserve">Курортный сбор, мобилизуемый на территориях муниципальных районов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</si>
  <si>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</si>
  <si>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Лицензионный сбор за право торговли спиртными напитками, мобилизуемый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</si>
  <si>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</si>
  <si>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муниципальной собственности</t>
  </si>
  <si>
    <t>Доходы от размещения временно свободных средств бюджетов муниципальных районов</t>
  </si>
  <si>
    <t>Доходы от размещения временно свободных средств бюджетов городских поселений</t>
  </si>
  <si>
    <t>Доходы от размещения временно свободных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</si>
  <si>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</si>
  <si>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</si>
  <si>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</si>
  <si>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</si>
  <si>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</si>
  <si>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муниципальных районов</t>
  </si>
  <si>
    <t>Прочие доходы от компенсации затрат бюджетов городских поселений</t>
  </si>
  <si>
    <t>Прочие доходы от компенсации затрат бюджетов сельских поселений</t>
  </si>
  <si>
    <t>Административные платежи и сборы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</si>
  <si>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</si>
  <si>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</si>
  <si>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</si>
  <si>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Штрафы, санкции, возмещение ущерба</t>
  </si>
  <si>
    <t>Прочие неналоговые доходы</t>
  </si>
  <si>
    <t>Невыясненные поступления, зачисляемые в бюджеты городских поселений</t>
  </si>
  <si>
    <t>Невыясненные поступления, зачисляемые в бюджеты сельских поселений</t>
  </si>
  <si>
    <t>Прочие неналоговые доходы бюджетов муниципальных районов</t>
  </si>
  <si>
    <t>Прочие неналоговые доходы бюджетов городских поселений</t>
  </si>
  <si>
    <t>Прочие неналоговые доходы бюджетов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</si>
  <si>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</si>
  <si>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</si>
  <si>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Средства самообложения граждан, зачисляемые в бюджеты муниципальных районов</t>
  </si>
  <si>
    <t>Средства самообложения граждан, зачисляемые в бюджеты городских поселений</t>
  </si>
  <si>
    <t>Средства самообложения граждан, зачисляемые в бюджеты сельских поселений</t>
  </si>
  <si>
    <t xml:space="preserve">                                Приложение № 4 к решению Совета муниципального образования</t>
  </si>
  <si>
    <t>60740</t>
  </si>
  <si>
    <t xml:space="preserve">                                Приложение № 8 к решению Совета муниципального образования</t>
  </si>
  <si>
    <t xml:space="preserve">                                Приложение № 10 к решению Совета муниципального образования</t>
  </si>
  <si>
    <t xml:space="preserve">                                Приложение № 9 к решению Совета муниципального образования</t>
  </si>
  <si>
    <t>2 02 29999 05 0000 150</t>
  </si>
  <si>
    <t>2 02 30024 05 0000 150</t>
  </si>
  <si>
    <t>2 02 35120 05 0000 150</t>
  </si>
  <si>
    <t>2 02 15001 05 0000 150</t>
  </si>
  <si>
    <t>2 02 15002 05 0000 150</t>
  </si>
  <si>
    <t>2 02 40014 05 0000 150</t>
  </si>
  <si>
    <t>2 02 35082 05 0000 150</t>
  </si>
  <si>
    <t>2 02 39999 05 0000 150</t>
  </si>
  <si>
    <t>2 02 49999 05 0000 150</t>
  </si>
  <si>
    <t>2 02 30029 05 0000 150</t>
  </si>
  <si>
    <t>2 02 30027 05 0000 150</t>
  </si>
  <si>
    <t>2021 год</t>
  </si>
  <si>
    <t>2 02 10000 00 0000 150</t>
  </si>
  <si>
    <t>2 02 15001 00 0000 150</t>
  </si>
  <si>
    <t>2 02 20000 00 0000 150</t>
  </si>
  <si>
    <t>2 02 29999 00 0000 150</t>
  </si>
  <si>
    <t>2 02 30000 00 0000 150</t>
  </si>
  <si>
    <t>2 02 30024 00 0000 150</t>
  </si>
  <si>
    <t>2 02 30027 00 0000 150</t>
  </si>
  <si>
    <t>2 02 30029 00 0000 150</t>
  </si>
  <si>
    <t>2 02 35120 00 0000 150</t>
  </si>
  <si>
    <t>2 18 05010 05 0000 150</t>
  </si>
  <si>
    <t>2 19 60010 05 0000 150</t>
  </si>
  <si>
    <t>Доходы от оказания платных услуг и компенсации затрат государства*</t>
  </si>
  <si>
    <t>2 08 05000 05 0000 150</t>
  </si>
  <si>
    <t>(процентов)</t>
  </si>
  <si>
    <t>Доходы от оказания платных услуг и компенсации затрат государства</t>
  </si>
  <si>
    <t xml:space="preserve">                                Приложение № 11 к решению Совета муниципального образования</t>
  </si>
  <si>
    <t xml:space="preserve">                                Приложение № 12 к решению Совета муниципального образования</t>
  </si>
  <si>
    <t xml:space="preserve">                                Приложение № 14 к решению Совета муниципального образования</t>
  </si>
  <si>
    <t xml:space="preserve">                                Приложение № 15 к решению Совета муниципального образования</t>
  </si>
  <si>
    <t xml:space="preserve">                                Приложение № 16 к решению Совета муниципального образования</t>
  </si>
  <si>
    <t>Приложение № 19 к решению Совета муниципального образования</t>
  </si>
  <si>
    <t xml:space="preserve">                                Приложение № 20 к решению Совета муниципального образования</t>
  </si>
  <si>
    <t>Приложение № 21 к решению Совета муниципального образования</t>
  </si>
  <si>
    <t>Приложение № 7 к решению Совета муниципального образования</t>
  </si>
  <si>
    <t>10700</t>
  </si>
  <si>
    <t>2 02 40000 00 0000 150</t>
  </si>
  <si>
    <t>2022 год</t>
  </si>
  <si>
    <t>субсидии на обеспечение условий для развития физической культуры и массового спорта в части оплаты труда инструкторов по спорту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</si>
  <si>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</si>
  <si>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S2820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</si>
  <si>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</si>
  <si>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16</t>
  </si>
  <si>
    <t>Создание условий для организации досуга и обеспечения жителей услугами организаций культуры</t>
  </si>
  <si>
    <t>S0560</t>
  </si>
  <si>
    <t>921</t>
  </si>
  <si>
    <t>S0620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</si>
  <si>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</si>
  <si>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С0820</t>
  </si>
  <si>
    <t>R0820</t>
  </si>
  <si>
    <t>S1070</t>
  </si>
  <si>
    <t>2 18 60010 05 0000 150</t>
  </si>
  <si>
    <t>2 02 25169 05 0000 150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</si>
  <si>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</si>
  <si>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</si>
  <si>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</si>
  <si>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</si>
  <si>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</si>
  <si>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субвенции на осуществление отдельных государственных полномочий Краснодарского края по поддержке сельскохозяйственного производства</t>
  </si>
  <si>
    <t xml:space="preserve">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 </t>
  </si>
  <si>
    <t xml:space="preserve">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 </t>
  </si>
  <si>
    <t>муниципальные дошкольные образовательные организации, общеобразовательные организации, организации дополнительного   образования (в области образования)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</si>
  <si>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</si>
  <si>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</si>
  <si>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субсидии на участие в профилактике терроризма в части обеспечения инженерно-технической защищенности муниципальных образовательных организаций
</t>
  </si>
  <si>
    <t>субсидии на участие в осуществлении мероприятий по предупреждению детского дорожно-транспортного травматизма на территории  муниципальных образований Краснодарского края</t>
  </si>
  <si>
    <t>925</t>
  </si>
  <si>
    <t>Нефтегорское городское поселение</t>
  </si>
  <si>
    <t>1 08 07150 01 0000 110</t>
  </si>
  <si>
    <t xml:space="preserve">Государственная пошлина  за выдачу разрешения на установку рекламной конструкции 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</si>
  <si>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</si>
  <si>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</si>
  <si>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1 13 01995 05 0000 130</t>
  </si>
  <si>
    <t>1 13 02995 05 0000 130</t>
  </si>
  <si>
    <t>Прочие доходы от компенсации затрат бюджетов муниципальных районов*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</si>
  <si>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</si>
  <si>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</si>
  <si>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</si>
  <si>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</si>
  <si>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1 16 09040 05 0000 140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</si>
  <si>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</si>
  <si>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</si>
  <si>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</si>
  <si>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</si>
  <si>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</si>
  <si>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</si>
  <si>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</si>
  <si>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</si>
  <si>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</si>
  <si>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</si>
  <si>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</si>
  <si>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1 16 10123 01 0000 140</t>
  </si>
  <si>
    <t>1 17 01050 05 0000 180</t>
  </si>
  <si>
    <t>1 17 05050 05 0000 180</t>
  </si>
  <si>
    <t>2 07 05010 05 0000 150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</si>
  <si>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</si>
  <si>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</si>
  <si>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</si>
  <si>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2 07 05030 05 0000 150</t>
  </si>
  <si>
    <t>Прочие безвозмездные поступления в бюджеты муниципальных районов</t>
  </si>
  <si>
    <t>1 16 01154 01 0000 140</t>
  </si>
  <si>
    <t>1 16 01157 01 0000 140</t>
  </si>
  <si>
    <t>1 16 01194 01 0000 140</t>
  </si>
  <si>
    <t>1 16 01054 01 0000 140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</si>
  <si>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</si>
  <si>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</si>
  <si>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</si>
  <si>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1 11 05013 05 0000 120</t>
  </si>
  <si>
    <t>Доходы от перечисления части прибыли, остающейся  после уплаты налогов и иных обязательных платежей муниципальных унитарных предприятий, созданных муниципальными районами</t>
  </si>
  <si>
    <t>1 13 02065 05 0000 130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</si>
  <si>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</si>
  <si>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</si>
  <si>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</si>
  <si>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</si>
  <si>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</si>
  <si>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</si>
  <si>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</si>
  <si>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</si>
  <si>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</si>
  <si>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районов*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</si>
  <si>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</si>
  <si>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</si>
  <si>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</si>
  <si>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</si>
  <si>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</si>
  <si>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</si>
  <si>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района*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</si>
  <si>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</si>
  <si>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</si>
  <si>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01 06 01 00 05 0000 630</t>
  </si>
  <si>
    <t>Средства от продажи акций и иных форм участия в капитале, находящихся в собственности муниципальных районов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</si>
  <si>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</si>
  <si>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</si>
  <si>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главного администратора доходов районного бюджета (главного администратора источников финансирования дефицита районного бюджета)</t>
  </si>
  <si>
    <t>доходов районного бюджета (источников финансирования дефицита районного бюджета)</t>
  </si>
  <si>
    <t>1 06 02000 02 0000 110</t>
  </si>
  <si>
    <t>Налог на имущество организаций*</t>
  </si>
  <si>
    <t xml:space="preserve">Программа муниципальных внутренних заимствований муниципального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</si>
  <si>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</si>
  <si>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Осуществление мероприятий по предупреждению детского дорожно-транспортного травматизма</t>
  </si>
  <si>
    <t>S2470</t>
  </si>
  <si>
    <t>Профилактика терроризма</t>
  </si>
  <si>
    <t>S0460</t>
  </si>
  <si>
    <t>субвенции на 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</si>
  <si>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</si>
  <si>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Иные межбюджетные трансферты бюджетам бюджетной системы Российской Федерации</t>
  </si>
  <si>
    <t>Иные межбюджетные трансферты</t>
  </si>
  <si>
    <t xml:space="preserve">2 02 40014 00 0000 150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</si>
  <si>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</si>
  <si>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</si>
  <si>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</si>
  <si>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</si>
  <si>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 xml:space="preserve">Департамент потребительской сферы и регулирования рынка алкоголя Краснодарского края </t>
  </si>
  <si>
    <t>Министерство экономики Краснодарского края</t>
  </si>
  <si>
    <t xml:space="preserve">Министерство сельского хозяйства и перерабатывающей промышленности Краснодарского края </t>
  </si>
  <si>
    <t xml:space="preserve">Департамент имущественных отношений Краснодарского края </t>
  </si>
  <si>
    <t>Министерство здравоохранения Краснодарского края</t>
  </si>
  <si>
    <t>Министерство труда и социального развития Краснодарского края</t>
  </si>
  <si>
    <t>Департамент ветеринарии Краснодарского края</t>
  </si>
  <si>
    <t>Департамент по надзору в строительной сфере Краснодарского края</t>
  </si>
  <si>
    <t>Департамент по обеспечению деятельности мировых судей Краснодарского края</t>
  </si>
  <si>
    <t>1 16 01053 01 0000 140</t>
  </si>
  <si>
    <t>1 16 01063 01 0000 140</t>
  </si>
  <si>
    <t>1 16 01073 01 0000 140</t>
  </si>
  <si>
    <t>1 16 01083 01 0000 140</t>
  </si>
  <si>
    <t>1 16 01093 01 0000 140</t>
  </si>
  <si>
    <t>1 16 01103 01 0000 140</t>
  </si>
  <si>
    <t>1 16 01113 01 0000 140</t>
  </si>
  <si>
    <t>1 16 01123 01 0000 140</t>
  </si>
  <si>
    <t>1 16 01133 01 0000 140</t>
  </si>
  <si>
    <t>1 16 01143 01 0000 140</t>
  </si>
  <si>
    <t>1 16 01153 01 0000 140</t>
  </si>
  <si>
    <t>1 16 01163 01 0000 140</t>
  </si>
  <si>
    <t>1 16 01173 01 0000 140</t>
  </si>
  <si>
    <t>1 16 01183 01 0000 140</t>
  </si>
  <si>
    <t>1 16 01193 01 0000 140</t>
  </si>
  <si>
    <t>1 16 01203 01 0000 140</t>
  </si>
  <si>
    <t>Государственная жилищная инспекция Краснодарского края</t>
  </si>
  <si>
    <t>Министерство природных ресурсов Краснодарского края</t>
  </si>
  <si>
    <t>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</si>
  <si>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</si>
  <si>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Муниципальная программа муниципального образования Апшеронский район «Развитие образования»</t>
  </si>
  <si>
    <t>R3</t>
  </si>
  <si>
    <t>Федеральный проект "Безопасность дорожного движения"</t>
  </si>
  <si>
    <t>Наименование принципала</t>
  </si>
  <si>
    <t>наличие права регрессного требования гаранта к принципалу</t>
  </si>
  <si>
    <t>Обеспечение условий для развития физической культуры и массового спорта в части оплаты труда инструкторов по спорту</t>
  </si>
  <si>
    <t xml:space="preserve"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 </t>
  </si>
  <si>
    <t>1 16 01074 01 0000 140</t>
  </si>
  <si>
    <t>Перечень главных администраторов доходов районного бюджета и закрепляемые                                       за ними виды (подвиды) доходов районного бюджета и перечень главных администраторов источников финансирования дефицита районного бюджета</t>
  </si>
  <si>
    <t>63110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</si>
  <si>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</si>
  <si>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</si>
  <si>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</si>
  <si>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</si>
  <si>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</si>
  <si>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</si>
  <si>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</si>
  <si>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</si>
  <si>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1 16 11030 01 0000 140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</si>
  <si>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
</t>
  </si>
  <si>
    <t>1 16 11050 01 0000 140</t>
  </si>
  <si>
    <t xml:space="preserve"> </t>
  </si>
  <si>
    <t xml:space="preserve">Выплата пенсии за выслугу лет лицам, замещавшим муниципальные должности и должности муниципальной службы в органах местного самоуправления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</si>
  <si>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чрезвычайной ситуации</t>
  </si>
  <si>
    <t>2 02 19999 05 0000 150</t>
  </si>
  <si>
    <t>Резервный фонд администрации муниципального образования</t>
  </si>
  <si>
    <t>Непрограммные расходы органов местного самоуправления</t>
  </si>
  <si>
    <t>Непрограммные расходы</t>
  </si>
  <si>
    <t>Прочие дотации бюджетам муниципальных районов</t>
  </si>
  <si>
    <t>Меры государственной поддержки лиц, замещавших муниципальные должности и должности муниципальной службы муниципального образования Апшеронский район</t>
  </si>
  <si>
    <t>Меры государственной поддержки лиц, замещавших муниципальные должности и  должности муниципальной службы муниципального образования Апшеронский район</t>
  </si>
  <si>
    <t xml:space="preserve">Непрограммные расходы органов 
местного самоуправления
</t>
  </si>
  <si>
    <t>Мероприятия по предупреждению и ликвидации чрезвычайных ситуаций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</si>
  <si>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</si>
  <si>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925, 929</t>
  </si>
  <si>
    <t>2 02 45303 05 0000 150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</si>
  <si>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</si>
  <si>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</si>
  <si>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11110</t>
  </si>
  <si>
    <t>Реализация мероприятий по газификации населенных пунктов поселений муниципального образования Апшеронский район</t>
  </si>
  <si>
    <t>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</si>
  <si>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</si>
  <si>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</si>
  <si>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</si>
  <si>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</si>
  <si>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Обслуживание государственного (муниципального) внутреннего долга</t>
  </si>
  <si>
    <t>Ведомственная структура расходов районного бюджета на 2021 год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</si>
  <si>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на 2021 год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</si>
  <si>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и 2023 годы</t>
  </si>
  <si>
    <t>2023 год</t>
  </si>
  <si>
    <t>классификации расходов бюджетов на 2021 год</t>
  </si>
  <si>
    <t>классификации расходов бюджетов на 2022 и 2023 годы</t>
  </si>
  <si>
    <t>Объем поступлений доходов в районный бюджет по кодам видов (подвидов) доходов на 2021 год</t>
  </si>
  <si>
    <t>Объем поступлений доходов в районный бюджет по кодам видов (подвидов) доходов на 2022 и 2023 годы</t>
  </si>
  <si>
    <t>Безвозмездные поступления из краевого бюджета в 2021 году</t>
  </si>
  <si>
    <t>Безвозмездные поступления из краевого бюджета в 2022 и 2023 годах</t>
  </si>
  <si>
    <t>Безвозмездные поступления                                                                                                                     из бюджетов поселений на осуществление части полномочий                                                                                 по решению вопросов местного значения                                                                                                    в соответствии с заключенными соглашениями в 2021 году</t>
  </si>
  <si>
    <t>Ведомственная структура расходов районного бюджета на 2022 и 2023 годы</t>
  </si>
  <si>
    <t>Объем межбюджетных трансфертов, предоставляемых другим бюджетам бюджетной системы Российской Федерации, на 2021 год</t>
  </si>
  <si>
    <t>Объем межбюджетных трансфертов, предоставляемых другим бюджетам                                                                                                                                                                                                                                                                             бюджетной системы Российской Федерации, на 2022 и 2023 годы</t>
  </si>
  <si>
    <r>
      <t xml:space="preserve">Раздел 2. </t>
    </r>
    <r>
      <rPr>
        <sz val="14"/>
        <rFont val="Times New Roman"/>
        <family val="1"/>
        <charset val="204"/>
      </rPr>
      <t>Программа муниципальных внутренних заимствований муниципального образования Апшеронский  район на 2022 и 2023 годы</t>
    </r>
  </si>
  <si>
    <r>
      <t xml:space="preserve">Раздел 1. </t>
    </r>
    <r>
      <rPr>
        <sz val="14"/>
        <rFont val="Times New Roman"/>
        <family val="1"/>
        <charset val="204"/>
      </rPr>
      <t>Программа муниципальных внутренних заимствований муниципального образования Апшеронский район на 2021 год</t>
    </r>
  </si>
  <si>
    <t>Раздел 1. Перечень подлежащих предоставлению муниципальных гарантий муниципального образования Апшеронский район в 2021 году и в плановом периоде 2022 и 2023 годов</t>
  </si>
  <si>
    <t>на 2021 год и на плановый период 2022 и 2023 годов</t>
  </si>
  <si>
    <t>Субвенции на 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</si>
  <si>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</si>
  <si>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</si>
  <si>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</si>
  <si>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</si>
  <si>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</si>
  <si>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газоснабжения населения (поселений) (строительство подводящих газопроводов, 
распределительных газопроводов)</t>
  </si>
  <si>
    <t>Расходы на обеспечение деятельности (оказание услуг) муниципальных учреждений</t>
  </si>
  <si>
    <t>Осуществление капитального ремонта</t>
  </si>
  <si>
    <t>Мероприятия по пожарной безопасности</t>
  </si>
  <si>
    <t>10640</t>
  </si>
  <si>
    <t>Пожарная безопасность в органах местного самоуправления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</si>
  <si>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</si>
  <si>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</si>
  <si>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</si>
  <si>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2 02 20299 05 0000 150</t>
  </si>
  <si>
    <t>2 02 20302 00 0000 150</t>
  </si>
  <si>
    <t>2 02 20302 05 0000 150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</si>
  <si>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</si>
  <si>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</si>
  <si>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Молодежная политика</t>
  </si>
  <si>
    <t>00400</t>
  </si>
  <si>
    <t>Мероприятия по организации отдыха детей в каникулярное время</t>
  </si>
  <si>
    <t>Профилактика терроризма и экстремизма в органах местного самоуправления</t>
  </si>
  <si>
    <t>Мероприятия по профилактике терорризма и экстремизма</t>
  </si>
  <si>
    <t xml:space="preserve"> Построение и развитие АПК "Безопасный город" и системы "112"</t>
  </si>
  <si>
    <t xml:space="preserve">Мероприятия по информатизации администрации муниципального образования, ее отраслевых (функциональных) органов </t>
  </si>
  <si>
    <t xml:space="preserve">Мероприятия по пожарной безопасности </t>
  </si>
  <si>
    <t>F3</t>
  </si>
  <si>
    <t>67483</t>
  </si>
  <si>
    <t>67484</t>
  </si>
  <si>
    <t>Федеральный проект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</si>
  <si>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</si>
  <si>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Жилищное хозяйство</t>
  </si>
  <si>
    <t>0501</t>
  </si>
  <si>
    <t xml:space="preserve"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
</t>
  </si>
  <si>
    <t>Бюджетные кредиты,  привлеченные в бюджет  муниципального образования  Апшеронский район из других  бюджетов бюджетной системы Российской Федерации, всего</t>
  </si>
  <si>
    <t>привлечение (предельный срок погашения - до 10 лет)</t>
  </si>
  <si>
    <t>предоставление обеспечения исполнения обязательств принципала по удовлетворению регрессного требования гаранта к принципалу</t>
  </si>
  <si>
    <t>Условия предоставления и исполнения гарантий</t>
  </si>
  <si>
    <t>в валюте Российской Федерации на 2021 год и плановый период 2022 и 2023 годов</t>
  </si>
  <si>
    <t>Раздел 2. Общий объем бюджетных ассигнований, предусмотренных на исполнение муниципальных гарантий муниципального образования Апшеронский район по возможным гарантийным случаям в 2021 году и в плановом периоде 2022 и 2023 годов</t>
  </si>
  <si>
    <t>Объем, тыс. рублей</t>
  </si>
  <si>
    <t xml:space="preserve">Программа муниципальных внешних заимствований муниципального </t>
  </si>
  <si>
    <t>образования Апшеронский  район на 2021 год и плановый период 2022 и 2023 годов</t>
  </si>
  <si>
    <r>
      <t xml:space="preserve">Раздел 1. </t>
    </r>
    <r>
      <rPr>
        <sz val="14"/>
        <rFont val="Times New Roman"/>
        <family val="1"/>
        <charset val="204"/>
      </rPr>
      <t>Программа муниципальных внешних заимствований муниципального образования Апшеронский район на 2021 год</t>
    </r>
  </si>
  <si>
    <t>Бюджетные кредиты,  привлеченные в бюджет  муниципального образования  Апшеронский район от Российской Федерации в иностранной валюте в рамках использования целевых иностранных кредитов</t>
  </si>
  <si>
    <t xml:space="preserve">                                Приложение № 22 к решению Совета муниципального образования</t>
  </si>
  <si>
    <t>в иностранной валюте на 2021 год и плановый период 2022 и 2023 годов</t>
  </si>
  <si>
    <t>Объем гарантий</t>
  </si>
  <si>
    <t>Приложение № 23 к решению Совета муниципального образования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</si>
  <si>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</si>
  <si>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</si>
  <si>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</si>
  <si>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</si>
  <si>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</si>
  <si>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</si>
  <si>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</si>
  <si>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</si>
  <si>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</si>
  <si>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</si>
  <si>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</si>
  <si>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</si>
  <si>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</si>
  <si>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</si>
  <si>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</si>
  <si>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</si>
  <si>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</si>
  <si>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</si>
  <si>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</si>
  <si>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Административные штрафы, 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</si>
  <si>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</si>
  <si>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</si>
  <si>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Привлечение кредитов от кредитных организаций  бюджетами муниципальных районов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</si>
  <si>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</si>
  <si>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</si>
  <si>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</si>
  <si>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</si>
  <si>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</si>
  <si>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</si>
  <si>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</si>
  <si>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</si>
  <si>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2 19 25169 05 0000 150</t>
  </si>
  <si>
    <t>Доходы бюджетов муниципальных районов от возврата автономными учреждениями остатков субсидий прошлых лет</t>
  </si>
  <si>
    <t>2 18 05020 05 0000 150</t>
  </si>
  <si>
    <t>Переселение граждан из аварийного жилищного фонда</t>
  </si>
  <si>
    <t>8</t>
  </si>
  <si>
    <t>Объем и распределение дотаций на выравнивание бюджетной обеспеченности поселений, входящих в состав муниципального образования Апшеронский район, на 2022 и 2023 годы</t>
  </si>
  <si>
    <t>Объем и распределение дотаций на выравнивание бюджетной обеспеченности поселений, входящих в состав муниципального образования Апшеронский район, на 2021 год</t>
  </si>
  <si>
    <r>
      <t xml:space="preserve">Раздел 2. </t>
    </r>
    <r>
      <rPr>
        <sz val="14"/>
        <rFont val="Times New Roman"/>
        <family val="1"/>
        <charset val="204"/>
      </rPr>
      <t>Программа муниципальных внешних заимствований муниципального образования Апшеронский  район на 2022 и 2023 годы</t>
    </r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</si>
  <si>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</si>
  <si>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</si>
  <si>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Наименование кода группы, подгруппы, статьи, элемента, подвида, аналитической группы вида источников финансирования дефицитов бюджетов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</si>
  <si>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указанной государственной итоговой аттестации</t>
  </si>
  <si>
    <t>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</si>
  <si>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</si>
  <si>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2 02 25228 00 0000 150</t>
  </si>
  <si>
    <t>Субсидии бюджетам на оснащение объектов спортивной инфраструктуры спортивно-технологическим оборудованием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</si>
  <si>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</si>
  <si>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</si>
  <si>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</si>
  <si>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</si>
  <si>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2 02 35469 00 0000 150</t>
  </si>
  <si>
    <t>Субвенции бюджетам на проведение Всероссийской переписи населения 2020 года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</si>
  <si>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</si>
  <si>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</si>
  <si>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P5</t>
  </si>
  <si>
    <t>Федеральный проект "Спорт – норма жизни"</t>
  </si>
  <si>
    <t>Оснащение объектов спортивной инфраструктуры спортивно-технологическим оборудованием</t>
  </si>
  <si>
    <t>Формирование официальной статистической информации</t>
  </si>
  <si>
    <t>Проведение Всероссийской переписи населения 2020 года</t>
  </si>
  <si>
    <t>54690</t>
  </si>
  <si>
    <t>Укрепление правопорядка, профилактика правонарушений, усиление борьбы с преступностью в муниципальном образовании</t>
  </si>
  <si>
    <t>Повышение эффективности мер, принимаемых для охраны общественного порядка и профилактики правонарушений  в муниципальном образовании</t>
  </si>
  <si>
    <t>11420</t>
  </si>
  <si>
    <t>Реализация мероприятий в области строительства, архитектуры и градостроительства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</si>
  <si>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</si>
  <si>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</si>
  <si>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1 11 00000 00 0000 000</t>
  </si>
  <si>
    <t>Доходы от использования имущества, находящегося в государственной и муниципальной собственности*, в том числе: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</si>
  <si>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</si>
  <si>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</si>
  <si>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</si>
  <si>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</si>
  <si>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</si>
  <si>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52280</t>
  </si>
  <si>
    <t>Апшеронский район от 25.12.2020 № 22</t>
  </si>
  <si>
    <t>до изменений (скрыть)</t>
  </si>
  <si>
    <t>изменения</t>
  </si>
  <si>
    <t>с учетом изменений</t>
  </si>
  <si>
    <t>Прочие межбюджетные трансферты общего характера</t>
  </si>
  <si>
    <t>98</t>
  </si>
  <si>
    <t>Мероприятия, направленные на предупреждение и ликвидацию чрезвычайных ситуаций и их последствий, а также на иные мероприятия (неотложные расходы), не относящиеся к публичным нормативным обязательствам</t>
  </si>
  <si>
    <t>Устранение гравийно-галечниковых и карчевых наносов в русле реки Туха в станице Нефтяной Нефтегорского городского поселения Апшеронского района</t>
  </si>
  <si>
    <t>Иные межбюджетные трансферты бюджетам поселений за счет средств резервного фонда администрации муниципального образования Апшеронский район</t>
  </si>
  <si>
    <t>Финансовое обеспечение непредвиденных расходов, в том числе связанных с предупреждением и ликвидацией чрезвычайных ситуаций и их последствий, а также иных мероприятий (неотложных расходов)</t>
  </si>
  <si>
    <t>90020</t>
  </si>
  <si>
    <t>1 09 07013 05</t>
  </si>
  <si>
    <t>1 09 07022 05</t>
  </si>
  <si>
    <t>1 09 07033 05</t>
  </si>
  <si>
    <t>1 09 07043 05</t>
  </si>
  <si>
    <t>1 09 07053 05</t>
  </si>
  <si>
    <t>1 11 02033 05</t>
  </si>
  <si>
    <t>1 11 02033 10</t>
  </si>
  <si>
    <t>1 11 02033 13</t>
  </si>
  <si>
    <t>1 13 01995 05</t>
  </si>
  <si>
    <t>1 13 01995 10</t>
  </si>
  <si>
    <t>1 13 01995 13</t>
  </si>
  <si>
    <t>1 13 02065 05</t>
  </si>
  <si>
    <t>1 13 02065 10</t>
  </si>
  <si>
    <t>1 13 02065 13</t>
  </si>
  <si>
    <t>1 13 02995 05</t>
  </si>
  <si>
    <t>1 13 02995 10</t>
  </si>
  <si>
    <t>1 13 02995 13</t>
  </si>
  <si>
    <t>1 15 02050 05</t>
  </si>
  <si>
    <t>1 15 02050 10</t>
  </si>
  <si>
    <t>1 15 02050 13</t>
  </si>
  <si>
    <t>1 16 10061 05</t>
  </si>
  <si>
    <t>1 16 10061 10</t>
  </si>
  <si>
    <t>1 16 10061 13</t>
  </si>
  <si>
    <t>1 16 10062 05</t>
  </si>
  <si>
    <t>1 16 10062 10</t>
  </si>
  <si>
    <t>1 16 10062 13</t>
  </si>
  <si>
    <t>1 16 10100 05</t>
  </si>
  <si>
    <t>1 16 10100 10</t>
  </si>
  <si>
    <t>1 16 10100 13</t>
  </si>
  <si>
    <t>1 17 01050 05</t>
  </si>
  <si>
    <t>1 17 01050 10</t>
  </si>
  <si>
    <t>1 17 01050 13</t>
  </si>
  <si>
    <t>1 17 02020 10</t>
  </si>
  <si>
    <t>1 17 02020 13</t>
  </si>
  <si>
    <t>1 17 05050 05</t>
  </si>
  <si>
    <t>1 17 05050 10</t>
  </si>
  <si>
    <t>1 17 05050 13</t>
  </si>
  <si>
    <t>1 17 14030 05</t>
  </si>
  <si>
    <t>1 17 14030 10</t>
  </si>
  <si>
    <t>1 17 14030 13</t>
  </si>
  <si>
    <t>1 17 15030 05</t>
  </si>
  <si>
    <t>Инициативные платежи, зачисляемые в бюджеты муниципальных районов</t>
  </si>
  <si>
    <t>1 17 15030 10</t>
  </si>
  <si>
    <t>Инициативные платежи, зачисляемые в бюджеты сельских поселений</t>
  </si>
  <si>
    <t>1 17 15030 13</t>
  </si>
  <si>
    <t>Инициативные платежи, зачисляемые в бюджеты городских поселений</t>
  </si>
  <si>
    <t>Благоустройство</t>
  </si>
  <si>
    <t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</t>
  </si>
  <si>
    <t>Обращение с твердыми коммунальными отходами на территории сельских поселений Апшеронского района</t>
  </si>
  <si>
    <t>Обеспечение мероприятий в области обращения с твердыми коммунальными отходами</t>
  </si>
  <si>
    <t>Создание и содержание мест (площадок) накопления твердых коммунальных отходов</t>
  </si>
  <si>
    <t>11200</t>
  </si>
  <si>
    <t>0503</t>
  </si>
  <si>
    <t>Благоустройство территории Куринского сельского поселения Апшеронского района по адресу: станица Куринская. ул. Новицкого, 103</t>
  </si>
  <si>
    <t xml:space="preserve">                                Приложение № 7 к решению Совета муниципального образования</t>
  </si>
  <si>
    <t>Социальное обеспечение населения</t>
  </si>
  <si>
    <t>Финансовое обеспечение непредвиденных расходов, в том числе связанных с предупреждением и ликвидацией чрезвычайных ситуаций и их последствий, а также иных мероприятий 
(неотложных расходов)</t>
  </si>
  <si>
    <t>Мероприятия, направленные на предупреждение и ликвидацию чрезвычайных ситуаций и их последствий, а также на иные мероприятия (неотложные расходы), в части исполнения публичных нормативных обязательств</t>
  </si>
  <si>
    <t>Единовременная материальная помощь гражданам, пострадавшим в результате чрезвычайной ситуации</t>
  </si>
  <si>
    <t>Единовременная финансовая помощь в связи с утратой имущества первой необходимости за частично утраченное имущество</t>
  </si>
  <si>
    <t>2 19 25304 05 0000 150</t>
  </si>
  <si>
    <t>2 19 45303 05 0000 150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</si>
  <si>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</si>
  <si>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</si>
  <si>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Приложение № 4 к решению Совета муниципального образования</t>
  </si>
  <si>
    <t>Проведение государственной экспертизы в части достоверности определения сметной стоимости капитального ремонта объекта капитального строительства «Капитальный ремонт системы отопления здания Сельский дом культуры, пос. Отдаленный, ул. Клубная,13»</t>
  </si>
  <si>
    <t>Проведение государственной экспертизы в части достоверности определения сметной стоимости капитального ремонта объекта капитального строительства «Капитальный ремонт здания Сельский дом культуры, пос. Отдаленный, ул. Клубная, 13»</t>
  </si>
  <si>
    <t>18</t>
  </si>
  <si>
    <t>Средства резервного фонда администрации Краснодарского края</t>
  </si>
  <si>
    <t>S2400</t>
  </si>
  <si>
    <t>субсидии на оказание единовременной материальной помощи и единовременной финансовой помощи в связи с частичной утратой имущества первой необходимости гражданам Российской Федерации, пострадавшим в результате чрезвычайной ситуации на территории Апшеронского района 28 июля 2020 года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</si>
  <si>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</si>
  <si>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60580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</si>
  <si>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</si>
  <si>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Осуществление отдельных государственных полномочий по выплате единовременного пособия детям‑сиротам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</si>
  <si>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Разработка акта регулярного обследования гидротехнического сооружения: берегозащитная дамба левого берега на р. Пшеха, расположенного на территории Черниговского сельского поселения Апшеронского района</t>
  </si>
  <si>
    <t>Разработка расчета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сооружения: берегозащитная дамба левого берега на р. Пшеха, расположенного на территории Черниговского сельского поселения Апшеронского района</t>
  </si>
  <si>
    <t xml:space="preserve">Иные межбюджетные трансферты бюджетам поселений за счет средств резервного фонда администрации муниципального образования Апшеронский район </t>
  </si>
  <si>
    <t>2 02 49999 00 0000 150</t>
  </si>
  <si>
    <t>Прочие межбюджетные трансферты, передаваемые бюджетам</t>
  </si>
  <si>
    <t>Дополнительная помощь местным бюджетам для решения социально значимых вопросов местного значения</t>
  </si>
  <si>
    <t>62980</t>
  </si>
  <si>
    <t>Организация газоснабжения населения (поселений) (строительство подводящих газопроводов, распределительных газопроводов)</t>
  </si>
  <si>
    <t>Организация теплоснабжения населения (строительство (реконструкция, техническое перевооружение) объектов теплоснабжения населения (котельных, тепловых сетей, тепловых пунктов))</t>
  </si>
  <si>
    <t>Источники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2021 год</t>
  </si>
  <si>
    <t>Источники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2022 и 2023 годы</t>
  </si>
  <si>
    <t>S3410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</si>
  <si>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</si>
  <si>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cубсидии на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</si>
  <si>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субсидии на защиту населения и территории муниципального образования от чрезвычайных ситуаций природного характера на объектах туристского показа, находящихся в муниципальной собственности</t>
  </si>
  <si>
    <t>Ремонт асфальтобетонного покрытия автомобильной дороги ул. Селезнева от ул. Школьная, 28 до дома № 10 по ул. Красной в поселке городского типа Нефтегорск Нефтегорского городского поселения Апшеронского района</t>
  </si>
  <si>
    <t>Внесение вкладов в имущество ООО "Тепловые сети Апшеронского района"</t>
  </si>
  <si>
    <t>11860</t>
  </si>
  <si>
    <t>Содержание муниципального архива</t>
  </si>
  <si>
    <t>субсидии на создание условий для организации досуга и обеспечения жителей поселения, городского округа услугами организаций культуры, либо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культуры, а также по созданию условий для развития местного традиционного народного художественного творчества, участию в сохранении, возрождении и развитии народных художественных 
промыслов в поселении, городском округе либо по созданию условий для развития местного традиционного народного художественного творчества в поселениях, входящих в состав муниципального района</t>
  </si>
  <si>
    <t>субсидии на создание условий для организации досуга и обеспечения жителей поселения, городского округа услугами организаций культуры, либо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культуры, а также по созданию условий для развития местного традиционного народного художественного творчества, участию в сохранении, возрождении и развитии народных художественных промыслов в поселении, городском округе либо по созданию условий для развития местного традиционного народного художественного творчества в поселениях, входящих в состав муниципального района</t>
  </si>
  <si>
    <t>субсидии на строительство, реконструкцию (в том числе рекончтрукцию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</si>
  <si>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S0470</t>
  </si>
  <si>
    <t>10720</t>
  </si>
  <si>
    <t>Иные межбюджетные трансферты на поддержку мер по обеспечению сбалансированности бюджетов поселений</t>
  </si>
  <si>
    <t>Строительство, реконструкция (в том числе реконструкция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</si>
  <si>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2 02 19999 00 0000 150</t>
  </si>
  <si>
    <t>Прочие дотации</t>
  </si>
  <si>
    <t>Поддержка местных инициатив по итогам краевого конкурса</t>
  </si>
  <si>
    <t>62950</t>
  </si>
  <si>
    <t>Формирование земельного участка с постановкой на государственный кадастровый учет, расположенного по адресу: Апшеронский район, село Тубы, ул. Клубная, 25</t>
  </si>
  <si>
    <t>Возврат остатков субсидий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из бюджетов муниципальных районов</t>
  </si>
  <si>
    <t>Проведение строительного контроля по объекту «Ремонт дорог общего пользования местного значения ул. Привокзальная, ул. Тоннельная, ул. 2я Тоннельная в поселке Станционный Куринского сельского поселения Апшеронского района»</t>
  </si>
  <si>
    <t>P1650</t>
  </si>
  <si>
    <t>P0820</t>
  </si>
  <si>
    <t>Апшеронский район от 26.08.2021 № 53</t>
  </si>
  <si>
    <t>Апшеронский район от 26.08.2021 №53</t>
  </si>
  <si>
    <t>Апшеронский район от26.08.2021 №53</t>
  </si>
  <si>
    <t>Апшеронский район от  26.08.2021 №  53</t>
  </si>
  <si>
    <t>Апшеронский район от  26.08.2021 № 53</t>
  </si>
  <si>
    <t>Апшеронский район от   26.08.2021 № 53</t>
  </si>
  <si>
    <t>Апшеронский район от 26.08.2021№ 53</t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</si>
</sst>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"/>
    <numFmt numFmtId="167" formatCode="0.00000"/>
    <numFmt numFmtId="168" formatCode="0.0_ ;[Red]\-0.0\ "/>
    <numFmt numFmtId="169" formatCode="#,##0.00000"/>
    <numFmt numFmtId="170" formatCode="0.000000"/>
    <numFmt numFmtId="171" formatCode="0.00000_ ;[Red]\-0.00000\ "/>
    <numFmt numFmtId="172" formatCode="_-* #,##0.00000_р_._-;\-* #,##0.00000_р_._-;_-* &quot;-&quot;?????_р_._-;_-@_-"/>
    <numFmt numFmtId="173" formatCode="0.000"/>
    <numFmt numFmtId="174" formatCode="#,##0.0_ ;\-#,##0.0\ "/>
    <numFmt numFmtId="175" formatCode="#,##0.0_ ;[Red]\-#,##0.0\ "/>
    <numFmt numFmtId="176" formatCode="_-* #,##0.00000\ _₽_-;\-* #,##0.00000\ _₽_-;_-* &quot;-&quot;??\ _₽_-;_-@_-"/>
    <numFmt numFmtId="177" formatCode="0.0000"/>
  </numFmts>
  <fonts count="5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charset val="204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b/>
      <i/>
      <sz val="14"/>
      <name val="Arial"/>
      <family val="2"/>
    </font>
    <font>
      <b/>
      <sz val="11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1"/>
      <name val="Calibri"/>
      <family val="2"/>
    </font>
    <font>
      <sz val="14"/>
      <color rgb="FFC00000"/>
      <name val="Times New Roman"/>
      <family val="1"/>
    </font>
    <font>
      <i/>
      <sz val="12"/>
      <name val="Times New Roman"/>
      <family val="1"/>
      <charset val="204"/>
    </font>
    <font>
      <b/>
      <i/>
      <sz val="12"/>
      <name val="Times New Roman"/>
      <family val="1"/>
    </font>
    <font>
      <sz val="14"/>
      <color rgb="FFFF0000"/>
      <name val="Times New Roman"/>
      <family val="1"/>
      <charset val="204"/>
    </font>
    <font>
      <i/>
      <sz val="12"/>
      <color rgb="FF0000FF"/>
      <name val="Times New Roman"/>
      <family val="1"/>
      <charset val="204"/>
    </font>
    <font>
      <sz val="12"/>
      <color rgb="FFC00000"/>
      <name val="Times New Roman"/>
      <family val="1"/>
    </font>
    <font>
      <sz val="14"/>
      <color rgb="FF00B050"/>
      <name val="Times New Roman"/>
      <family val="1"/>
    </font>
    <font>
      <b/>
      <sz val="12"/>
      <color rgb="FF00B050"/>
      <name val="Times New Roman"/>
      <family val="1"/>
    </font>
    <font>
      <sz val="11"/>
      <color rgb="FF0000FF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rgb="FF8A0000"/>
      <name val="Times New Roman"/>
      <family val="1"/>
    </font>
    <font>
      <sz val="14"/>
      <color rgb="FF8A0000"/>
      <name val="Calibri"/>
      <family val="2"/>
      <scheme val="minor"/>
    </font>
    <font>
      <sz val="14"/>
      <color theme="6" tint="-0.499984740745262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C00000"/>
      <name val="Times New Roman"/>
      <family val="1"/>
    </font>
    <font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0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0" fontId="9" fillId="0" borderId="0"/>
    <xf numFmtId="41" fontId="21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21" fillId="0" borderId="0"/>
    <xf numFmtId="0" fontId="7" fillId="0" borderId="0"/>
    <xf numFmtId="164" fontId="21" fillId="0" borderId="0" applyFont="0" applyFill="0" applyBorder="0" applyAlignment="0" applyProtection="0"/>
  </cellStyleXfs>
  <cellXfs count="964">
    <xf numFmtId="0" fontId="0" fillId="0" borderId="0" xfId="0"/>
    <xf numFmtId="0" fontId="3" fillId="0" borderId="0" xfId="0" applyFont="1" applyFill="1" applyAlignment="1">
      <alignment horizontal="right"/>
    </xf>
    <xf numFmtId="0" fontId="1" fillId="0" borderId="0" xfId="1" applyFont="1" applyFill="1" applyBorder="1" applyAlignment="1">
      <alignment wrapText="1"/>
    </xf>
    <xf numFmtId="0" fontId="1" fillId="0" borderId="0" xfId="7" applyFont="1" applyFill="1" applyAlignment="1">
      <alignment horizontal="right"/>
    </xf>
    <xf numFmtId="169" fontId="1" fillId="0" borderId="0" xfId="1" applyNumberFormat="1" applyFont="1" applyFill="1" applyAlignment="1">
      <alignment horizontal="right"/>
    </xf>
    <xf numFmtId="0" fontId="1" fillId="0" borderId="0" xfId="7" applyFont="1" applyFill="1" applyBorder="1"/>
    <xf numFmtId="0" fontId="1" fillId="0" borderId="0" xfId="7" applyFont="1" applyFill="1"/>
    <xf numFmtId="1" fontId="1" fillId="0" borderId="0" xfId="7" applyNumberFormat="1" applyFont="1" applyFill="1"/>
    <xf numFmtId="0" fontId="1" fillId="0" borderId="1" xfId="7" applyFont="1" applyFill="1" applyBorder="1" applyAlignment="1">
      <alignment horizontal="center"/>
    </xf>
    <xf numFmtId="0" fontId="13" fillId="0" borderId="0" xfId="3" applyFont="1" applyFill="1"/>
    <xf numFmtId="0" fontId="1" fillId="0" borderId="0" xfId="3" applyFont="1" applyFill="1"/>
    <xf numFmtId="167" fontId="13" fillId="0" borderId="0" xfId="3" applyNumberFormat="1" applyFont="1" applyFill="1"/>
    <xf numFmtId="0" fontId="1" fillId="0" borderId="1" xfId="3" applyFont="1" applyFill="1" applyBorder="1" applyAlignment="1">
      <alignment horizontal="center" wrapText="1"/>
    </xf>
    <xf numFmtId="167" fontId="1" fillId="0" borderId="0" xfId="7" applyNumberFormat="1" applyFont="1" applyFill="1" applyAlignment="1">
      <alignment horizontal="right"/>
    </xf>
    <xf numFmtId="0" fontId="8" fillId="0" borderId="0" xfId="7" applyFont="1" applyFill="1"/>
    <xf numFmtId="167" fontId="8" fillId="0" borderId="0" xfId="7" applyNumberFormat="1" applyFont="1" applyFill="1"/>
    <xf numFmtId="49" fontId="15" fillId="0" borderId="0" xfId="7" applyNumberFormat="1" applyFont="1" applyFill="1" applyBorder="1" applyAlignment="1">
      <alignment vertical="top" wrapText="1"/>
    </xf>
    <xf numFmtId="49" fontId="8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/>
    <xf numFmtId="0" fontId="16" fillId="0" borderId="0" xfId="3" applyFont="1" applyFill="1"/>
    <xf numFmtId="0" fontId="8" fillId="0" borderId="0" xfId="3" applyFont="1" applyFill="1"/>
    <xf numFmtId="169" fontId="1" fillId="0" borderId="0" xfId="7" applyNumberFormat="1" applyFont="1" applyFill="1" applyBorder="1" applyAlignment="1">
      <alignment horizontal="right"/>
    </xf>
    <xf numFmtId="167" fontId="16" fillId="0" borderId="0" xfId="3" applyNumberFormat="1" applyFont="1" applyFill="1"/>
    <xf numFmtId="170" fontId="2" fillId="0" borderId="0" xfId="3" applyNumberFormat="1" applyFont="1" applyFill="1"/>
    <xf numFmtId="0" fontId="15" fillId="0" borderId="0" xfId="3" applyFont="1" applyFill="1"/>
    <xf numFmtId="172" fontId="15" fillId="0" borderId="0" xfId="3" applyNumberFormat="1" applyFont="1" applyFill="1"/>
    <xf numFmtId="167" fontId="15" fillId="0" borderId="0" xfId="3" applyNumberFormat="1" applyFont="1" applyFill="1" applyAlignment="1">
      <alignment shrinkToFit="1"/>
    </xf>
    <xf numFmtId="1" fontId="1" fillId="0" borderId="0" xfId="7" applyNumberFormat="1" applyFont="1" applyFill="1" applyAlignment="1">
      <alignment horizontal="right"/>
    </xf>
    <xf numFmtId="0" fontId="3" fillId="0" borderId="0" xfId="3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7" fontId="3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/>
    <xf numFmtId="0" fontId="1" fillId="0" borderId="1" xfId="1" applyFont="1" applyFill="1" applyBorder="1" applyAlignment="1">
      <alignment wrapText="1"/>
    </xf>
    <xf numFmtId="0" fontId="1" fillId="0" borderId="0" xfId="3" applyFont="1" applyFill="1" applyAlignment="1">
      <alignment wrapText="1"/>
    </xf>
    <xf numFmtId="1" fontId="1" fillId="0" borderId="1" xfId="7" applyNumberFormat="1" applyFont="1" applyFill="1" applyBorder="1" applyAlignment="1">
      <alignment horizontal="center" vertical="center" wrapText="1"/>
    </xf>
    <xf numFmtId="173" fontId="8" fillId="0" borderId="0" xfId="7" applyNumberFormat="1" applyFont="1" applyFill="1" applyBorder="1" applyAlignment="1">
      <alignment horizontal="center"/>
    </xf>
    <xf numFmtId="2" fontId="8" fillId="0" borderId="0" xfId="7" applyNumberFormat="1" applyFont="1" applyFill="1" applyBorder="1" applyAlignment="1">
      <alignment horizontal="center"/>
    </xf>
    <xf numFmtId="0" fontId="1" fillId="0" borderId="1" xfId="7" applyFont="1" applyFill="1" applyBorder="1"/>
    <xf numFmtId="165" fontId="1" fillId="0" borderId="1" xfId="7" applyNumberFormat="1" applyFont="1" applyFill="1" applyBorder="1" applyAlignment="1">
      <alignment horizontal="right"/>
    </xf>
    <xf numFmtId="165" fontId="10" fillId="0" borderId="0" xfId="7" applyNumberFormat="1" applyFont="1" applyFill="1" applyBorder="1" applyAlignment="1">
      <alignment horizontal="center"/>
    </xf>
    <xf numFmtId="165" fontId="2" fillId="0" borderId="1" xfId="7" applyNumberFormat="1" applyFont="1" applyFill="1" applyBorder="1" applyAlignment="1">
      <alignment horizontal="right"/>
    </xf>
    <xf numFmtId="2" fontId="10" fillId="0" borderId="0" xfId="7" applyNumberFormat="1" applyFont="1" applyFill="1" applyBorder="1" applyAlignment="1">
      <alignment horizontal="center"/>
    </xf>
    <xf numFmtId="1" fontId="2" fillId="0" borderId="0" xfId="7" applyNumberFormat="1" applyFont="1" applyFill="1"/>
    <xf numFmtId="172" fontId="16" fillId="0" borderId="0" xfId="3" applyNumberFormat="1" applyFont="1" applyFill="1"/>
    <xf numFmtId="10" fontId="1" fillId="0" borderId="0" xfId="3" applyNumberFormat="1" applyFont="1" applyFill="1"/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0" xfId="7" applyFont="1" applyFill="1"/>
    <xf numFmtId="174" fontId="4" fillId="0" borderId="11" xfId="13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9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3" fillId="0" borderId="0" xfId="0" applyFont="1" applyFill="1"/>
    <xf numFmtId="0" fontId="4" fillId="0" borderId="5" xfId="3" applyFont="1" applyFill="1" applyBorder="1" applyAlignment="1">
      <alignment horizontal="center" vertical="top"/>
    </xf>
    <xf numFmtId="0" fontId="4" fillId="0" borderId="12" xfId="3" applyFont="1" applyFill="1" applyBorder="1" applyAlignment="1">
      <alignment horizontal="center" vertical="top"/>
    </xf>
    <xf numFmtId="0" fontId="3" fillId="0" borderId="12" xfId="3" applyFont="1" applyFill="1" applyBorder="1" applyAlignment="1">
      <alignment horizontal="center" vertical="top"/>
    </xf>
    <xf numFmtId="0" fontId="3" fillId="0" borderId="13" xfId="3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/>
    </xf>
    <xf numFmtId="0" fontId="1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wrapText="1"/>
    </xf>
    <xf numFmtId="174" fontId="4" fillId="0" borderId="12" xfId="13" applyNumberFormat="1" applyFont="1" applyFill="1" applyBorder="1" applyAlignment="1">
      <alignment horizontal="right" vertical="center"/>
    </xf>
    <xf numFmtId="167" fontId="16" fillId="0" borderId="0" xfId="3" applyNumberFormat="1" applyFont="1" applyFill="1" applyBorder="1"/>
    <xf numFmtId="0" fontId="4" fillId="0" borderId="8" xfId="3" applyFont="1" applyFill="1" applyBorder="1" applyAlignment="1">
      <alignment vertical="top" wrapText="1"/>
    </xf>
    <xf numFmtId="0" fontId="4" fillId="0" borderId="11" xfId="3" applyFont="1" applyFill="1" applyBorder="1" applyAlignment="1">
      <alignment wrapText="1"/>
    </xf>
    <xf numFmtId="0" fontId="1" fillId="0" borderId="0" xfId="7" applyFont="1" applyFill="1" applyBorder="1" applyAlignment="1">
      <alignment horizontal="left"/>
    </xf>
    <xf numFmtId="0" fontId="1" fillId="0" borderId="0" xfId="7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1" fillId="0" borderId="1" xfId="7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justify"/>
    </xf>
    <xf numFmtId="0" fontId="1" fillId="0" borderId="0" xfId="3" applyFont="1" applyFill="1" applyBorder="1" applyAlignment="1">
      <alignment horizontal="left" wrapText="1"/>
    </xf>
    <xf numFmtId="0" fontId="1" fillId="0" borderId="0" xfId="3" applyFont="1" applyFill="1" applyBorder="1" applyAlignment="1">
      <alignment horizontal="center"/>
    </xf>
    <xf numFmtId="0" fontId="7" fillId="0" borderId="0" xfId="7" applyFont="1" applyFill="1"/>
    <xf numFmtId="0" fontId="3" fillId="0" borderId="0" xfId="0" applyFont="1" applyFill="1" applyAlignment="1"/>
    <xf numFmtId="0" fontId="4" fillId="0" borderId="1" xfId="0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/>
    <xf numFmtId="2" fontId="1" fillId="0" borderId="0" xfId="3" applyNumberFormat="1" applyFont="1" applyFill="1" applyAlignment="1">
      <alignment horizontal="center"/>
    </xf>
    <xf numFmtId="174" fontId="3" fillId="0" borderId="11" xfId="0" applyNumberFormat="1" applyFont="1" applyFill="1" applyBorder="1"/>
    <xf numFmtId="174" fontId="3" fillId="0" borderId="0" xfId="0" applyNumberFormat="1" applyFont="1" applyFill="1" applyBorder="1"/>
    <xf numFmtId="0" fontId="1" fillId="0" borderId="0" xfId="3" applyFont="1"/>
    <xf numFmtId="0" fontId="8" fillId="0" borderId="0" xfId="3" applyFont="1"/>
    <xf numFmtId="0" fontId="8" fillId="0" borderId="0" xfId="3" applyFont="1" applyAlignment="1">
      <alignment wrapText="1"/>
    </xf>
    <xf numFmtId="167" fontId="8" fillId="0" borderId="0" xfId="3" applyNumberFormat="1" applyFont="1" applyAlignment="1">
      <alignment horizontal="right"/>
    </xf>
    <xf numFmtId="0" fontId="1" fillId="0" borderId="6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justify" vertical="top" wrapText="1"/>
    </xf>
    <xf numFmtId="0" fontId="1" fillId="0" borderId="8" xfId="3" applyFont="1" applyBorder="1" applyAlignment="1">
      <alignment horizontal="justify" vertical="top" wrapText="1"/>
    </xf>
    <xf numFmtId="0" fontId="1" fillId="0" borderId="0" xfId="3" applyFont="1" applyBorder="1"/>
    <xf numFmtId="0" fontId="1" fillId="0" borderId="15" xfId="3" applyFont="1" applyBorder="1" applyAlignment="1">
      <alignment horizontal="left" wrapText="1"/>
    </xf>
    <xf numFmtId="0" fontId="1" fillId="0" borderId="11" xfId="3" applyFont="1" applyBorder="1" applyAlignment="1">
      <alignment horizontal="left" wrapText="1"/>
    </xf>
    <xf numFmtId="0" fontId="1" fillId="0" borderId="0" xfId="3" applyFont="1" applyBorder="1" applyAlignment="1">
      <alignment horizontal="center" wrapText="1"/>
    </xf>
    <xf numFmtId="0" fontId="1" fillId="0" borderId="14" xfId="3" applyFont="1" applyBorder="1" applyAlignment="1">
      <alignment horizontal="left" wrapText="1"/>
    </xf>
    <xf numFmtId="0" fontId="1" fillId="0" borderId="10" xfId="3" applyFont="1" applyBorder="1" applyAlignment="1">
      <alignment horizontal="left" wrapText="1"/>
    </xf>
    <xf numFmtId="0" fontId="1" fillId="0" borderId="0" xfId="3" applyFont="1" applyAlignment="1">
      <alignment horizontal="center"/>
    </xf>
    <xf numFmtId="0" fontId="1" fillId="0" borderId="5" xfId="3" applyFont="1" applyBorder="1" applyAlignment="1">
      <alignment horizontal="justify" vertical="top" wrapText="1"/>
    </xf>
    <xf numFmtId="0" fontId="1" fillId="0" borderId="12" xfId="3" applyFont="1" applyBorder="1" applyAlignment="1">
      <alignment horizontal="left" wrapText="1"/>
    </xf>
    <xf numFmtId="0" fontId="1" fillId="0" borderId="13" xfId="3" applyFont="1" applyBorder="1" applyAlignment="1">
      <alignment horizontal="left"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1" xfId="3" applyFont="1" applyFill="1" applyBorder="1" applyAlignment="1">
      <alignment vertical="top" wrapText="1"/>
    </xf>
    <xf numFmtId="0" fontId="3" fillId="0" borderId="11" xfId="3" applyFont="1" applyFill="1" applyBorder="1" applyAlignment="1">
      <alignment vertical="top" wrapText="1"/>
    </xf>
    <xf numFmtId="174" fontId="3" fillId="0" borderId="11" xfId="13" applyNumberFormat="1" applyFont="1" applyFill="1" applyBorder="1" applyAlignment="1">
      <alignment horizontal="right" vertical="center"/>
    </xf>
    <xf numFmtId="166" fontId="1" fillId="0" borderId="5" xfId="3" applyNumberFormat="1" applyFont="1" applyFill="1" applyBorder="1" applyAlignment="1">
      <alignment horizontal="center"/>
    </xf>
    <xf numFmtId="166" fontId="1" fillId="0" borderId="12" xfId="3" applyNumberFormat="1" applyFont="1" applyFill="1" applyBorder="1" applyAlignment="1">
      <alignment horizontal="center"/>
    </xf>
    <xf numFmtId="166" fontId="1" fillId="0" borderId="13" xfId="3" applyNumberFormat="1" applyFont="1" applyFill="1" applyBorder="1" applyAlignment="1">
      <alignment horizontal="center"/>
    </xf>
    <xf numFmtId="0" fontId="19" fillId="2" borderId="0" xfId="0" applyFont="1" applyFill="1"/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 vertical="top" wrapText="1"/>
    </xf>
    <xf numFmtId="49" fontId="8" fillId="2" borderId="0" xfId="0" applyNumberFormat="1" applyFont="1" applyFill="1" applyBorder="1" applyAlignment="1">
      <alignment horizontal="center"/>
    </xf>
    <xf numFmtId="167" fontId="19" fillId="2" borderId="0" xfId="0" applyNumberFormat="1" applyFont="1" applyFill="1" applyBorder="1" applyAlignment="1"/>
    <xf numFmtId="167" fontId="8" fillId="2" borderId="0" xfId="0" applyNumberFormat="1" applyFont="1" applyFill="1" applyAlignment="1">
      <alignment horizontal="center"/>
    </xf>
    <xf numFmtId="0" fontId="8" fillId="2" borderId="0" xfId="0" applyFont="1" applyFill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vertical="top" wrapText="1"/>
    </xf>
    <xf numFmtId="49" fontId="1" fillId="2" borderId="1" xfId="6" applyNumberFormat="1" applyFont="1" applyFill="1" applyBorder="1" applyAlignment="1">
      <alignment horizontal="center" vertical="top" wrapText="1"/>
    </xf>
    <xf numFmtId="49" fontId="1" fillId="2" borderId="1" xfId="6" applyNumberFormat="1" applyFont="1" applyFill="1" applyBorder="1" applyAlignment="1">
      <alignment horizontal="center" vertical="top"/>
    </xf>
    <xf numFmtId="49" fontId="1" fillId="2" borderId="2" xfId="6" applyNumberFormat="1" applyFont="1" applyFill="1" applyBorder="1" applyAlignment="1">
      <alignment horizontal="center" vertical="top"/>
    </xf>
    <xf numFmtId="49" fontId="1" fillId="2" borderId="9" xfId="6" applyNumberFormat="1" applyFont="1" applyFill="1" applyBorder="1" applyAlignment="1">
      <alignment horizontal="center" vertical="top"/>
    </xf>
    <xf numFmtId="49" fontId="1" fillId="2" borderId="3" xfId="6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right"/>
    </xf>
    <xf numFmtId="49" fontId="1" fillId="2" borderId="3" xfId="4" applyNumberFormat="1" applyFont="1" applyFill="1" applyBorder="1" applyAlignment="1" applyProtection="1">
      <alignment horizontal="left" wrapText="1"/>
      <protection hidden="1"/>
    </xf>
    <xf numFmtId="49" fontId="1" fillId="2" borderId="3" xfId="5" applyNumberFormat="1" applyFont="1" applyFill="1" applyBorder="1" applyAlignment="1">
      <alignment horizontal="left" wrapText="1"/>
    </xf>
    <xf numFmtId="49" fontId="1" fillId="2" borderId="3" xfId="6" applyNumberFormat="1" applyFont="1" applyFill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 wrapText="1"/>
    </xf>
    <xf numFmtId="49" fontId="1" fillId="2" borderId="3" xfId="5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" xfId="5" applyNumberFormat="1" applyFont="1" applyFill="1" applyBorder="1" applyAlignment="1">
      <alignment horizontal="center"/>
    </xf>
    <xf numFmtId="49" fontId="1" fillId="2" borderId="9" xfId="5" applyNumberFormat="1" applyFont="1" applyFill="1" applyBorder="1" applyAlignment="1">
      <alignment horizontal="center"/>
    </xf>
    <xf numFmtId="49" fontId="1" fillId="2" borderId="3" xfId="5" applyNumberFormat="1" applyFont="1" applyFill="1" applyBorder="1" applyAlignment="1">
      <alignment horizontal="center"/>
    </xf>
    <xf numFmtId="49" fontId="1" fillId="2" borderId="6" xfId="6" applyNumberFormat="1" applyFont="1" applyFill="1" applyBorder="1" applyAlignment="1">
      <alignment horizontal="center"/>
    </xf>
    <xf numFmtId="49" fontId="1" fillId="2" borderId="7" xfId="5" applyNumberFormat="1" applyFont="1" applyFill="1" applyBorder="1" applyAlignment="1">
      <alignment horizontal="center"/>
    </xf>
    <xf numFmtId="49" fontId="1" fillId="2" borderId="8" xfId="5" applyNumberFormat="1" applyFont="1" applyFill="1" applyBorder="1" applyAlignment="1">
      <alignment horizontal="center"/>
    </xf>
    <xf numFmtId="49" fontId="1" fillId="2" borderId="2" xfId="6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65" fontId="19" fillId="2" borderId="0" xfId="0" applyNumberFormat="1" applyFont="1" applyFill="1"/>
    <xf numFmtId="165" fontId="3" fillId="2" borderId="0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left" vertical="top" wrapText="1"/>
    </xf>
    <xf numFmtId="49" fontId="1" fillId="0" borderId="0" xfId="3" applyNumberFormat="1" applyFont="1" applyFill="1" applyBorder="1" applyAlignment="1">
      <alignment horizontal="center" vertical="top"/>
    </xf>
    <xf numFmtId="0" fontId="1" fillId="0" borderId="0" xfId="3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right"/>
    </xf>
    <xf numFmtId="0" fontId="1" fillId="0" borderId="0" xfId="3" applyFont="1" applyAlignment="1">
      <alignment wrapText="1"/>
    </xf>
    <xf numFmtId="0" fontId="1" fillId="0" borderId="1" xfId="3" applyFont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23" fillId="2" borderId="0" xfId="0" applyFont="1" applyFill="1"/>
    <xf numFmtId="165" fontId="3" fillId="0" borderId="0" xfId="0" applyNumberFormat="1" applyFont="1" applyFill="1" applyBorder="1"/>
    <xf numFmtId="11" fontId="1" fillId="2" borderId="3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2" borderId="0" xfId="7" applyFont="1" applyFill="1" applyBorder="1" applyAlignment="1">
      <alignment horizontal="left"/>
    </xf>
    <xf numFmtId="49" fontId="10" fillId="2" borderId="0" xfId="7" applyNumberFormat="1" applyFont="1" applyFill="1" applyBorder="1" applyAlignment="1">
      <alignment vertical="top" wrapText="1"/>
    </xf>
    <xf numFmtId="49" fontId="11" fillId="2" borderId="0" xfId="7" applyNumberFormat="1" applyFont="1" applyFill="1" applyBorder="1" applyAlignment="1">
      <alignment horizontal="center"/>
    </xf>
    <xf numFmtId="165" fontId="4" fillId="2" borderId="0" xfId="7" applyNumberFormat="1" applyFont="1" applyFill="1" applyBorder="1" applyAlignment="1"/>
    <xf numFmtId="167" fontId="11" fillId="2" borderId="0" xfId="7" applyNumberFormat="1" applyFont="1" applyFill="1"/>
    <xf numFmtId="0" fontId="11" fillId="2" borderId="0" xfId="7" applyFont="1" applyFill="1"/>
    <xf numFmtId="0" fontId="3" fillId="2" borderId="0" xfId="7" applyFont="1" applyFill="1" applyAlignment="1">
      <alignment horizontal="left"/>
    </xf>
    <xf numFmtId="167" fontId="3" fillId="2" borderId="0" xfId="7" applyNumberFormat="1" applyFont="1" applyFill="1" applyAlignment="1">
      <alignment horizontal="right"/>
    </xf>
    <xf numFmtId="0" fontId="6" fillId="2" borderId="0" xfId="0" applyFont="1" applyFill="1"/>
    <xf numFmtId="165" fontId="4" fillId="2" borderId="0" xfId="0" applyNumberFormat="1" applyFont="1" applyFill="1" applyAlignment="1">
      <alignment horizontal="center"/>
    </xf>
    <xf numFmtId="165" fontId="3" fillId="2" borderId="0" xfId="1" applyNumberFormat="1" applyFont="1" applyFill="1" applyAlignment="1">
      <alignment horizontal="right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4" fillId="2" borderId="1" xfId="7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right" vertical="top"/>
    </xf>
    <xf numFmtId="0" fontId="6" fillId="2" borderId="1" xfId="1" applyFont="1" applyFill="1" applyBorder="1" applyAlignment="1">
      <alignment horizontal="center" vertical="top"/>
    </xf>
    <xf numFmtId="0" fontId="3" fillId="2" borderId="0" xfId="1" applyFont="1" applyFill="1"/>
    <xf numFmtId="49" fontId="3" fillId="2" borderId="0" xfId="5" applyNumberFormat="1" applyFont="1" applyFill="1" applyBorder="1" applyAlignment="1">
      <alignment horizontal="center" vertical="top" wrapText="1"/>
    </xf>
    <xf numFmtId="0" fontId="3" fillId="2" borderId="0" xfId="5" applyNumberFormat="1" applyFont="1" applyFill="1" applyBorder="1" applyAlignment="1">
      <alignment horizontal="left" wrapText="1"/>
    </xf>
    <xf numFmtId="165" fontId="3" fillId="2" borderId="0" xfId="5" applyNumberFormat="1" applyFont="1" applyFill="1" applyBorder="1" applyAlignment="1">
      <alignment horizontal="right" wrapText="1"/>
    </xf>
    <xf numFmtId="49" fontId="32" fillId="2" borderId="0" xfId="7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/>
    </xf>
    <xf numFmtId="0" fontId="3" fillId="2" borderId="0" xfId="7" applyFont="1" applyFill="1" applyBorder="1" applyAlignment="1">
      <alignment horizontal="left" vertical="top"/>
    </xf>
    <xf numFmtId="0" fontId="3" fillId="2" borderId="0" xfId="7" applyFont="1" applyFill="1" applyAlignment="1">
      <alignment horizontal="left" vertical="top"/>
    </xf>
    <xf numFmtId="165" fontId="3" fillId="2" borderId="1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horizontal="right" vertical="top"/>
    </xf>
    <xf numFmtId="165" fontId="6" fillId="2" borderId="1" xfId="1" applyNumberFormat="1" applyFont="1" applyFill="1" applyBorder="1" applyAlignment="1">
      <alignment vertical="top"/>
    </xf>
    <xf numFmtId="165" fontId="3" fillId="2" borderId="1" xfId="1" applyNumberFormat="1" applyFont="1" applyFill="1" applyBorder="1" applyAlignment="1">
      <alignment vertical="top"/>
    </xf>
    <xf numFmtId="0" fontId="28" fillId="2" borderId="0" xfId="0" applyFont="1" applyFill="1" applyAlignment="1">
      <alignment vertical="top"/>
    </xf>
    <xf numFmtId="0" fontId="28" fillId="2" borderId="0" xfId="0" applyFont="1" applyFill="1" applyAlignment="1">
      <alignment horizontal="center" vertical="top"/>
    </xf>
    <xf numFmtId="0" fontId="29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justify" vertical="top"/>
    </xf>
    <xf numFmtId="0" fontId="23" fillId="2" borderId="0" xfId="0" applyFont="1" applyFill="1" applyBorder="1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1" xfId="5" applyFont="1" applyFill="1" applyBorder="1" applyAlignment="1">
      <alignment horizontal="justify" vertical="top" wrapText="1"/>
    </xf>
    <xf numFmtId="0" fontId="23" fillId="2" borderId="0" xfId="5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166" fontId="4" fillId="2" borderId="1" xfId="0" applyNumberFormat="1" applyFont="1" applyFill="1" applyBorder="1"/>
    <xf numFmtId="166" fontId="3" fillId="2" borderId="1" xfId="0" applyNumberFormat="1" applyFont="1" applyFill="1" applyBorder="1"/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vertical="top"/>
    </xf>
    <xf numFmtId="165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vertical="top" wrapText="1"/>
    </xf>
    <xf numFmtId="165" fontId="3" fillId="2" borderId="0" xfId="0" applyNumberFormat="1" applyFont="1" applyFill="1" applyAlignment="1">
      <alignment horizontal="left" vertical="top" wrapText="1"/>
    </xf>
    <xf numFmtId="165" fontId="1" fillId="2" borderId="1" xfId="0" applyNumberFormat="1" applyFont="1" applyFill="1" applyBorder="1" applyAlignment="1">
      <alignment wrapText="1"/>
    </xf>
    <xf numFmtId="165" fontId="1" fillId="0" borderId="13" xfId="3" applyNumberFormat="1" applyFont="1" applyBorder="1" applyAlignment="1">
      <alignment horizontal="center"/>
    </xf>
    <xf numFmtId="166" fontId="1" fillId="0" borderId="5" xfId="3" applyNumberFormat="1" applyFont="1" applyBorder="1" applyAlignment="1">
      <alignment horizontal="center"/>
    </xf>
    <xf numFmtId="166" fontId="1" fillId="0" borderId="12" xfId="3" applyNumberFormat="1" applyFont="1" applyBorder="1" applyAlignment="1">
      <alignment horizontal="center"/>
    </xf>
    <xf numFmtId="166" fontId="1" fillId="0" borderId="13" xfId="3" applyNumberFormat="1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165" fontId="23" fillId="2" borderId="0" xfId="0" applyNumberFormat="1" applyFont="1" applyFill="1" applyBorder="1"/>
    <xf numFmtId="0" fontId="19" fillId="2" borderId="0" xfId="0" applyFont="1" applyFill="1" applyBorder="1"/>
    <xf numFmtId="165" fontId="3" fillId="2" borderId="0" xfId="0" applyNumberFormat="1" applyFont="1" applyFill="1" applyBorder="1"/>
    <xf numFmtId="165" fontId="19" fillId="2" borderId="0" xfId="0" applyNumberFormat="1" applyFont="1" applyFill="1" applyBorder="1"/>
    <xf numFmtId="0" fontId="8" fillId="2" borderId="0" xfId="7" applyFont="1" applyFill="1" applyAlignment="1">
      <alignment horizontal="center"/>
    </xf>
    <xf numFmtId="49" fontId="8" fillId="2" borderId="0" xfId="7" applyNumberFormat="1" applyFont="1" applyFill="1" applyAlignment="1">
      <alignment vertical="top" wrapText="1"/>
    </xf>
    <xf numFmtId="49" fontId="8" fillId="2" borderId="0" xfId="7" applyNumberFormat="1" applyFont="1" applyFill="1" applyAlignment="1">
      <alignment horizontal="center"/>
    </xf>
    <xf numFmtId="165" fontId="8" fillId="2" borderId="0" xfId="7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8" fillId="2" borderId="0" xfId="7" applyFont="1" applyFill="1"/>
    <xf numFmtId="165" fontId="8" fillId="2" borderId="0" xfId="7" applyNumberFormat="1" applyFont="1" applyFill="1"/>
    <xf numFmtId="0" fontId="8" fillId="2" borderId="0" xfId="7" applyFont="1" applyFill="1" applyBorder="1" applyAlignment="1">
      <alignment horizontal="center" vertical="top"/>
    </xf>
    <xf numFmtId="49" fontId="15" fillId="2" borderId="0" xfId="7" applyNumberFormat="1" applyFont="1" applyFill="1" applyBorder="1" applyAlignment="1">
      <alignment vertical="top" wrapText="1"/>
    </xf>
    <xf numFmtId="49" fontId="8" fillId="2" borderId="0" xfId="7" applyNumberFormat="1" applyFont="1" applyFill="1" applyBorder="1" applyAlignment="1">
      <alignment horizontal="center"/>
    </xf>
    <xf numFmtId="165" fontId="1" fillId="2" borderId="4" xfId="7" applyNumberFormat="1" applyFont="1" applyFill="1" applyBorder="1" applyAlignment="1">
      <alignment horizontal="right"/>
    </xf>
    <xf numFmtId="165" fontId="1" fillId="2" borderId="1" xfId="7" applyNumberFormat="1" applyFont="1" applyFill="1" applyBorder="1" applyAlignment="1">
      <alignment horizontal="center" vertical="center"/>
    </xf>
    <xf numFmtId="0" fontId="1" fillId="2" borderId="1" xfId="7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 vertical="top" wrapText="1"/>
    </xf>
    <xf numFmtId="49" fontId="1" fillId="2" borderId="1" xfId="7" applyNumberFormat="1" applyFont="1" applyFill="1" applyBorder="1" applyAlignment="1">
      <alignment horizontal="center"/>
    </xf>
    <xf numFmtId="1" fontId="1" fillId="2" borderId="1" xfId="7" applyNumberFormat="1" applyFont="1" applyFill="1" applyBorder="1" applyAlignment="1">
      <alignment horizontal="center"/>
    </xf>
    <xf numFmtId="0" fontId="1" fillId="2" borderId="1" xfId="7" applyFont="1" applyFill="1" applyBorder="1" applyAlignment="1">
      <alignment horizontal="center" vertical="top"/>
    </xf>
    <xf numFmtId="49" fontId="2" fillId="2" borderId="1" xfId="7" applyNumberFormat="1" applyFont="1" applyFill="1" applyBorder="1" applyAlignment="1">
      <alignment horizontal="left" vertical="top" wrapText="1"/>
    </xf>
    <xf numFmtId="49" fontId="1" fillId="2" borderId="9" xfId="7" applyNumberFormat="1" applyFont="1" applyFill="1" applyBorder="1" applyAlignment="1">
      <alignment horizontal="center" vertical="top"/>
    </xf>
    <xf numFmtId="49" fontId="1" fillId="2" borderId="1" xfId="7" applyNumberFormat="1" applyFont="1" applyFill="1" applyBorder="1" applyAlignment="1">
      <alignment horizontal="center" vertical="top"/>
    </xf>
    <xf numFmtId="165" fontId="2" fillId="2" borderId="1" xfId="7" applyNumberFormat="1" applyFont="1" applyFill="1" applyBorder="1" applyAlignment="1">
      <alignment horizontal="right" vertical="top"/>
    </xf>
    <xf numFmtId="175" fontId="33" fillId="2" borderId="0" xfId="7" applyNumberFormat="1" applyFont="1" applyFill="1"/>
    <xf numFmtId="0" fontId="2" fillId="2" borderId="1" xfId="5" applyFont="1" applyFill="1" applyBorder="1" applyAlignment="1">
      <alignment horizontal="center" vertical="top"/>
    </xf>
    <xf numFmtId="49" fontId="2" fillId="2" borderId="1" xfId="7" applyNumberFormat="1" applyFont="1" applyFill="1" applyBorder="1" applyAlignment="1">
      <alignment horizontal="left" wrapText="1"/>
    </xf>
    <xf numFmtId="49" fontId="2" fillId="2" borderId="4" xfId="7" applyNumberFormat="1" applyFont="1" applyFill="1" applyBorder="1" applyAlignment="1">
      <alignment horizontal="center"/>
    </xf>
    <xf numFmtId="49" fontId="2" fillId="2" borderId="10" xfId="7" applyNumberFormat="1" applyFont="1" applyFill="1" applyBorder="1" applyAlignment="1">
      <alignment horizontal="center"/>
    </xf>
    <xf numFmtId="49" fontId="2" fillId="2" borderId="1" xfId="7" applyNumberFormat="1" applyFont="1" applyFill="1" applyBorder="1" applyAlignment="1">
      <alignment horizontal="center"/>
    </xf>
    <xf numFmtId="165" fontId="2" fillId="2" borderId="1" xfId="7" applyNumberFormat="1" applyFont="1" applyFill="1" applyBorder="1" applyAlignment="1">
      <alignment horizontal="right"/>
    </xf>
    <xf numFmtId="0" fontId="15" fillId="2" borderId="0" xfId="7" applyFont="1" applyFill="1"/>
    <xf numFmtId="49" fontId="1" fillId="2" borderId="1" xfId="0" applyNumberFormat="1" applyFont="1" applyFill="1" applyBorder="1" applyAlignment="1">
      <alignment wrapText="1"/>
    </xf>
    <xf numFmtId="165" fontId="1" fillId="2" borderId="1" xfId="7" applyNumberFormat="1" applyFont="1" applyFill="1" applyBorder="1" applyAlignment="1">
      <alignment horizontal="right"/>
    </xf>
    <xf numFmtId="49" fontId="1" fillId="2" borderId="1" xfId="5" applyNumberFormat="1" applyFont="1" applyFill="1" applyBorder="1" applyAlignment="1">
      <alignment horizontal="left" wrapText="1"/>
    </xf>
    <xf numFmtId="49" fontId="1" fillId="2" borderId="19" xfId="11" applyNumberFormat="1" applyFont="1" applyFill="1" applyBorder="1" applyAlignment="1">
      <alignment wrapText="1"/>
    </xf>
    <xf numFmtId="49" fontId="1" fillId="2" borderId="17" xfId="11" applyNumberFormat="1" applyFont="1" applyFill="1" applyBorder="1" applyAlignment="1">
      <alignment horizontal="center"/>
    </xf>
    <xf numFmtId="49" fontId="1" fillId="2" borderId="18" xfId="16" applyNumberFormat="1" applyFont="1" applyFill="1" applyBorder="1" applyAlignment="1">
      <alignment horizontal="center"/>
    </xf>
    <xf numFmtId="49" fontId="1" fillId="2" borderId="19" xfId="16" applyNumberFormat="1" applyFont="1" applyFill="1" applyBorder="1" applyAlignment="1">
      <alignment horizontal="center"/>
    </xf>
    <xf numFmtId="49" fontId="1" fillId="2" borderId="16" xfId="16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wrapText="1"/>
    </xf>
    <xf numFmtId="49" fontId="1" fillId="2" borderId="1" xfId="7" applyNumberFormat="1" applyFont="1" applyFill="1" applyBorder="1" applyAlignment="1">
      <alignment wrapText="1"/>
    </xf>
    <xf numFmtId="0" fontId="2" fillId="2" borderId="1" xfId="7" applyFont="1" applyFill="1" applyBorder="1" applyAlignment="1">
      <alignment horizontal="center" vertical="top"/>
    </xf>
    <xf numFmtId="49" fontId="2" fillId="2" borderId="9" xfId="7" applyNumberFormat="1" applyFont="1" applyFill="1" applyBorder="1" applyAlignment="1">
      <alignment horizontal="center"/>
    </xf>
    <xf numFmtId="49" fontId="2" fillId="2" borderId="3" xfId="7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49" fontId="1" fillId="2" borderId="1" xfId="4" applyNumberFormat="1" applyFont="1" applyFill="1" applyBorder="1" applyAlignment="1" applyProtection="1">
      <alignment horizontal="left" wrapText="1"/>
      <protection hidden="1"/>
    </xf>
    <xf numFmtId="0" fontId="8" fillId="2" borderId="1" xfId="7" applyFont="1" applyFill="1" applyBorder="1" applyAlignment="1">
      <alignment horizontal="center" vertical="top"/>
    </xf>
    <xf numFmtId="165" fontId="1" fillId="2" borderId="1" xfId="7" applyNumberFormat="1" applyFont="1" applyFill="1" applyBorder="1" applyAlignment="1"/>
    <xf numFmtId="49" fontId="1" fillId="2" borderId="9" xfId="6" applyNumberFormat="1" applyFont="1" applyFill="1" applyBorder="1" applyAlignment="1">
      <alignment horizontal="center"/>
    </xf>
    <xf numFmtId="49" fontId="1" fillId="2" borderId="3" xfId="6" applyNumberFormat="1" applyFont="1" applyFill="1" applyBorder="1" applyAlignment="1">
      <alignment horizontal="center"/>
    </xf>
    <xf numFmtId="49" fontId="1" fillId="2" borderId="1" xfId="6" applyNumberFormat="1" applyFont="1" applyFill="1" applyBorder="1" applyAlignment="1">
      <alignment horizontal="center"/>
    </xf>
    <xf numFmtId="49" fontId="1" fillId="2" borderId="4" xfId="7" applyNumberFormat="1" applyFont="1" applyFill="1" applyBorder="1" applyAlignment="1">
      <alignment horizontal="center"/>
    </xf>
    <xf numFmtId="49" fontId="1" fillId="2" borderId="0" xfId="7" applyNumberFormat="1" applyFont="1" applyFill="1" applyBorder="1" applyAlignment="1">
      <alignment horizontal="center"/>
    </xf>
    <xf numFmtId="49" fontId="1" fillId="2" borderId="11" xfId="7" applyNumberFormat="1" applyFont="1" applyFill="1" applyBorder="1" applyAlignment="1">
      <alignment horizontal="center"/>
    </xf>
    <xf numFmtId="49" fontId="2" fillId="2" borderId="1" xfId="7" applyNumberFormat="1" applyFont="1" applyFill="1" applyBorder="1" applyAlignment="1">
      <alignment wrapText="1"/>
    </xf>
    <xf numFmtId="49" fontId="1" fillId="2" borderId="1" xfId="6" applyNumberFormat="1" applyFont="1" applyFill="1" applyBorder="1" applyAlignment="1">
      <alignment horizontal="left" wrapText="1"/>
    </xf>
    <xf numFmtId="0" fontId="1" fillId="2" borderId="1" xfId="5" applyFont="1" applyFill="1" applyBorder="1" applyAlignment="1">
      <alignment horizontal="center" vertical="top"/>
    </xf>
    <xf numFmtId="49" fontId="1" fillId="2" borderId="10" xfId="0" applyNumberFormat="1" applyFont="1" applyFill="1" applyBorder="1" applyAlignment="1">
      <alignment horizontal="center"/>
    </xf>
    <xf numFmtId="49" fontId="2" fillId="2" borderId="1" xfId="5" applyNumberFormat="1" applyFont="1" applyFill="1" applyBorder="1" applyAlignment="1">
      <alignment horizontal="left" wrapText="1"/>
    </xf>
    <xf numFmtId="49" fontId="2" fillId="2" borderId="9" xfId="6" applyNumberFormat="1" applyFont="1" applyFill="1" applyBorder="1" applyAlignment="1">
      <alignment horizontal="center"/>
    </xf>
    <xf numFmtId="167" fontId="2" fillId="2" borderId="1" xfId="7" applyNumberFormat="1" applyFont="1" applyFill="1" applyBorder="1" applyAlignment="1">
      <alignment horizontal="center"/>
    </xf>
    <xf numFmtId="49" fontId="1" fillId="2" borderId="1" xfId="5" applyNumberFormat="1" applyFont="1" applyFill="1" applyBorder="1" applyAlignment="1">
      <alignment wrapText="1"/>
    </xf>
    <xf numFmtId="49" fontId="1" fillId="2" borderId="6" xfId="11" applyNumberFormat="1" applyFont="1" applyFill="1" applyBorder="1" applyAlignment="1">
      <alignment horizontal="center"/>
    </xf>
    <xf numFmtId="49" fontId="1" fillId="2" borderId="2" xfId="11" applyNumberFormat="1" applyFont="1" applyFill="1" applyBorder="1" applyAlignment="1">
      <alignment horizontal="center"/>
    </xf>
    <xf numFmtId="49" fontId="1" fillId="2" borderId="21" xfId="14" applyNumberFormat="1" applyFont="1" applyFill="1" applyBorder="1" applyAlignment="1">
      <alignment wrapText="1"/>
    </xf>
    <xf numFmtId="49" fontId="1" fillId="2" borderId="17" xfId="6" applyNumberFormat="1" applyFont="1" applyFill="1" applyBorder="1" applyAlignment="1">
      <alignment horizontal="center"/>
    </xf>
    <xf numFmtId="49" fontId="1" fillId="2" borderId="18" xfId="14" applyNumberFormat="1" applyFont="1" applyFill="1" applyBorder="1" applyAlignment="1">
      <alignment horizontal="center"/>
    </xf>
    <xf numFmtId="49" fontId="1" fillId="2" borderId="19" xfId="14" applyNumberFormat="1" applyFont="1" applyFill="1" applyBorder="1" applyAlignment="1">
      <alignment horizontal="center"/>
    </xf>
    <xf numFmtId="49" fontId="1" fillId="2" borderId="21" xfId="14" applyNumberFormat="1" applyFont="1" applyFill="1" applyBorder="1" applyAlignment="1">
      <alignment horizontal="center"/>
    </xf>
    <xf numFmtId="49" fontId="1" fillId="2" borderId="16" xfId="14" applyNumberFormat="1" applyFont="1" applyFill="1" applyBorder="1" applyAlignment="1">
      <alignment wrapText="1"/>
    </xf>
    <xf numFmtId="49" fontId="1" fillId="2" borderId="16" xfId="14" applyNumberFormat="1" applyFont="1" applyFill="1" applyBorder="1" applyAlignment="1">
      <alignment horizontal="center"/>
    </xf>
    <xf numFmtId="49" fontId="1" fillId="2" borderId="17" xfId="5" applyNumberFormat="1" applyFont="1" applyFill="1" applyBorder="1" applyAlignment="1">
      <alignment wrapText="1"/>
    </xf>
    <xf numFmtId="49" fontId="1" fillId="2" borderId="24" xfId="6" applyNumberFormat="1" applyFont="1" applyFill="1" applyBorder="1" applyAlignment="1">
      <alignment horizontal="center"/>
    </xf>
    <xf numFmtId="49" fontId="1" fillId="2" borderId="20" xfId="6" applyNumberFormat="1" applyFont="1" applyFill="1" applyBorder="1" applyAlignment="1">
      <alignment horizontal="center"/>
    </xf>
    <xf numFmtId="49" fontId="1" fillId="2" borderId="20" xfId="14" applyNumberFormat="1" applyFont="1" applyFill="1" applyBorder="1" applyAlignment="1">
      <alignment horizontal="center"/>
    </xf>
    <xf numFmtId="49" fontId="1" fillId="2" borderId="9" xfId="14" applyNumberFormat="1" applyFont="1" applyFill="1" applyBorder="1" applyAlignment="1">
      <alignment horizontal="center"/>
    </xf>
    <xf numFmtId="49" fontId="1" fillId="2" borderId="3" xfId="14" applyNumberFormat="1" applyFont="1" applyFill="1" applyBorder="1" applyAlignment="1">
      <alignment horizontal="center"/>
    </xf>
    <xf numFmtId="49" fontId="1" fillId="2" borderId="1" xfId="14" applyNumberFormat="1" applyFont="1" applyFill="1" applyBorder="1" applyAlignment="1">
      <alignment horizontal="center"/>
    </xf>
    <xf numFmtId="49" fontId="1" fillId="2" borderId="7" xfId="14" applyNumberFormat="1" applyFont="1" applyFill="1" applyBorder="1" applyAlignment="1">
      <alignment horizontal="center"/>
    </xf>
    <xf numFmtId="49" fontId="1" fillId="2" borderId="8" xfId="14" applyNumberFormat="1" applyFont="1" applyFill="1" applyBorder="1" applyAlignment="1">
      <alignment horizontal="center"/>
    </xf>
    <xf numFmtId="49" fontId="1" fillId="2" borderId="3" xfId="5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wrapText="1"/>
    </xf>
    <xf numFmtId="49" fontId="1" fillId="2" borderId="16" xfId="5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vertical="top" wrapText="1"/>
    </xf>
    <xf numFmtId="49" fontId="1" fillId="2" borderId="19" xfId="5" applyNumberFormat="1" applyFont="1" applyFill="1" applyBorder="1" applyAlignment="1">
      <alignment wrapText="1"/>
    </xf>
    <xf numFmtId="49" fontId="1" fillId="2" borderId="17" xfId="5" applyNumberFormat="1" applyFont="1" applyFill="1" applyBorder="1" applyAlignment="1">
      <alignment horizontal="center"/>
    </xf>
    <xf numFmtId="49" fontId="1" fillId="2" borderId="18" xfId="5" applyNumberFormat="1" applyFont="1" applyFill="1" applyBorder="1" applyAlignment="1">
      <alignment horizontal="center"/>
    </xf>
    <xf numFmtId="49" fontId="1" fillId="2" borderId="19" xfId="5" applyNumberFormat="1" applyFont="1" applyFill="1" applyBorder="1" applyAlignment="1">
      <alignment horizontal="center"/>
    </xf>
    <xf numFmtId="49" fontId="1" fillId="2" borderId="16" xfId="5" applyNumberFormat="1" applyFont="1" applyFill="1" applyBorder="1" applyAlignment="1">
      <alignment horizontal="center"/>
    </xf>
    <xf numFmtId="49" fontId="1" fillId="2" borderId="19" xfId="16" applyNumberFormat="1" applyFont="1" applyFill="1" applyBorder="1" applyAlignment="1">
      <alignment wrapText="1"/>
    </xf>
    <xf numFmtId="49" fontId="1" fillId="2" borderId="19" xfId="16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2" fillId="2" borderId="1" xfId="6" applyNumberFormat="1" applyFont="1" applyFill="1" applyBorder="1" applyAlignment="1">
      <alignment horizontal="center"/>
    </xf>
    <xf numFmtId="49" fontId="2" fillId="2" borderId="1" xfId="4" applyNumberFormat="1" applyFont="1" applyFill="1" applyBorder="1" applyAlignment="1" applyProtection="1">
      <alignment horizontal="left" wrapText="1"/>
      <protection hidden="1"/>
    </xf>
    <xf numFmtId="0" fontId="1" fillId="2" borderId="0" xfId="7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165" fontId="1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/>
    <xf numFmtId="0" fontId="1" fillId="2" borderId="0" xfId="7" applyFont="1" applyFill="1" applyBorder="1" applyAlignment="1">
      <alignment horizontal="left"/>
    </xf>
    <xf numFmtId="0" fontId="1" fillId="2" borderId="0" xfId="7" applyFont="1" applyFill="1" applyAlignment="1">
      <alignment horizontal="left"/>
    </xf>
    <xf numFmtId="167" fontId="1" fillId="2" borderId="0" xfId="7" applyNumberFormat="1" applyFont="1" applyFill="1" applyAlignment="1">
      <alignment horizontal="right"/>
    </xf>
    <xf numFmtId="165" fontId="2" fillId="2" borderId="1" xfId="0" applyNumberFormat="1" applyFont="1" applyFill="1" applyBorder="1" applyAlignment="1">
      <alignment horizontal="right" vertical="top"/>
    </xf>
    <xf numFmtId="0" fontId="3" fillId="2" borderId="0" xfId="5" applyFont="1" applyFill="1" applyBorder="1" applyAlignment="1">
      <alignment horizontal="left" vertical="top" wrapText="1"/>
    </xf>
    <xf numFmtId="165" fontId="3" fillId="2" borderId="0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15" fillId="2" borderId="0" xfId="0" applyFont="1" applyFill="1"/>
    <xf numFmtId="167" fontId="19" fillId="2" borderId="0" xfId="0" applyNumberFormat="1" applyFont="1" applyFill="1"/>
    <xf numFmtId="167" fontId="3" fillId="2" borderId="0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vertical="top" wrapText="1"/>
    </xf>
    <xf numFmtId="0" fontId="10" fillId="2" borderId="0" xfId="0" applyFont="1" applyFill="1"/>
    <xf numFmtId="0" fontId="11" fillId="2" borderId="0" xfId="0" applyFont="1" applyFill="1"/>
    <xf numFmtId="0" fontId="30" fillId="2" borderId="0" xfId="0" applyFont="1" applyFill="1"/>
    <xf numFmtId="0" fontId="2" fillId="2" borderId="16" xfId="16" applyFont="1" applyFill="1" applyBorder="1" applyAlignment="1">
      <alignment horizontal="center" vertical="top"/>
    </xf>
    <xf numFmtId="49" fontId="2" fillId="2" borderId="19" xfId="16" applyNumberFormat="1" applyFont="1" applyFill="1" applyBorder="1" applyAlignment="1">
      <alignment wrapText="1"/>
    </xf>
    <xf numFmtId="49" fontId="2" fillId="2" borderId="16" xfId="16" applyNumberFormat="1" applyFont="1" applyFill="1" applyBorder="1" applyAlignment="1">
      <alignment horizontal="center" wrapText="1"/>
    </xf>
    <xf numFmtId="49" fontId="2" fillId="2" borderId="16" xfId="16" applyNumberFormat="1" applyFont="1" applyFill="1" applyBorder="1" applyAlignment="1">
      <alignment horizontal="center"/>
    </xf>
    <xf numFmtId="49" fontId="2" fillId="2" borderId="25" xfId="16" applyNumberFormat="1" applyFont="1" applyFill="1" applyBorder="1" applyAlignment="1">
      <alignment horizontal="center"/>
    </xf>
    <xf numFmtId="49" fontId="2" fillId="2" borderId="20" xfId="16" applyNumberFormat="1" applyFont="1" applyFill="1" applyBorder="1" applyAlignment="1">
      <alignment horizontal="center"/>
    </xf>
    <xf numFmtId="49" fontId="2" fillId="2" borderId="26" xfId="16" applyNumberFormat="1" applyFont="1" applyFill="1" applyBorder="1" applyAlignment="1">
      <alignment horizontal="center"/>
    </xf>
    <xf numFmtId="165" fontId="2" fillId="2" borderId="16" xfId="16" applyNumberFormat="1" applyFont="1" applyFill="1" applyBorder="1" applyAlignment="1">
      <alignment horizontal="right"/>
    </xf>
    <xf numFmtId="0" fontId="15" fillId="2" borderId="0" xfId="16" applyFont="1" applyFill="1"/>
    <xf numFmtId="0" fontId="1" fillId="2" borderId="16" xfId="16" applyFont="1" applyFill="1" applyBorder="1" applyAlignment="1">
      <alignment horizontal="center" vertical="top"/>
    </xf>
    <xf numFmtId="49" fontId="1" fillId="2" borderId="16" xfId="11" applyNumberFormat="1" applyFont="1" applyFill="1" applyBorder="1" applyAlignment="1">
      <alignment horizontal="center" wrapText="1"/>
    </xf>
    <xf numFmtId="49" fontId="1" fillId="2" borderId="16" xfId="11" applyNumberFormat="1" applyFont="1" applyFill="1" applyBorder="1" applyAlignment="1">
      <alignment horizontal="center"/>
    </xf>
    <xf numFmtId="49" fontId="1" fillId="2" borderId="17" xfId="16" applyNumberFormat="1" applyFont="1" applyFill="1" applyBorder="1" applyAlignment="1">
      <alignment horizontal="center"/>
    </xf>
    <xf numFmtId="165" fontId="1" fillId="2" borderId="16" xfId="16" applyNumberFormat="1" applyFont="1" applyFill="1" applyBorder="1" applyAlignment="1">
      <alignment horizontal="right"/>
    </xf>
    <xf numFmtId="0" fontId="8" fillId="2" borderId="0" xfId="16" applyFont="1" applyFill="1"/>
    <xf numFmtId="49" fontId="1" fillId="2" borderId="25" xfId="11" applyNumberFormat="1" applyFont="1" applyFill="1" applyBorder="1" applyAlignment="1">
      <alignment horizontal="center"/>
    </xf>
    <xf numFmtId="49" fontId="1" fillId="2" borderId="20" xfId="16" applyNumberFormat="1" applyFont="1" applyFill="1" applyBorder="1" applyAlignment="1">
      <alignment horizontal="center"/>
    </xf>
    <xf numFmtId="49" fontId="1" fillId="2" borderId="26" xfId="16" applyNumberFormat="1" applyFont="1" applyFill="1" applyBorder="1" applyAlignment="1">
      <alignment horizontal="center"/>
    </xf>
    <xf numFmtId="49" fontId="1" fillId="2" borderId="25" xfId="6" applyNumberFormat="1" applyFont="1" applyFill="1" applyBorder="1" applyAlignment="1">
      <alignment horizontal="center"/>
    </xf>
    <xf numFmtId="49" fontId="1" fillId="2" borderId="18" xfId="16" applyNumberFormat="1" applyFont="1" applyFill="1" applyBorder="1" applyAlignment="1">
      <alignment wrapText="1"/>
    </xf>
    <xf numFmtId="49" fontId="1" fillId="2" borderId="18" xfId="6" applyNumberFormat="1" applyFont="1" applyFill="1" applyBorder="1" applyAlignment="1">
      <alignment horizontal="center"/>
    </xf>
    <xf numFmtId="49" fontId="1" fillId="2" borderId="19" xfId="8" applyNumberFormat="1" applyFont="1" applyFill="1" applyBorder="1" applyAlignment="1">
      <alignment wrapText="1"/>
    </xf>
    <xf numFmtId="0" fontId="1" fillId="2" borderId="16" xfId="5" applyFont="1" applyFill="1" applyBorder="1" applyAlignment="1">
      <alignment horizontal="center" vertical="top"/>
    </xf>
    <xf numFmtId="49" fontId="1" fillId="2" borderId="19" xfId="5" applyNumberFormat="1" applyFont="1" applyFill="1" applyBorder="1" applyAlignment="1">
      <alignment horizontal="left" wrapText="1"/>
    </xf>
    <xf numFmtId="49" fontId="1" fillId="2" borderId="16" xfId="5" applyNumberFormat="1" applyFont="1" applyFill="1" applyBorder="1" applyAlignment="1">
      <alignment horizontal="center" wrapText="1"/>
    </xf>
    <xf numFmtId="0" fontId="8" fillId="2" borderId="0" xfId="5" applyFont="1" applyFill="1"/>
    <xf numFmtId="49" fontId="1" fillId="2" borderId="19" xfId="16" applyNumberFormat="1" applyFont="1" applyFill="1" applyBorder="1" applyAlignment="1">
      <alignment horizontal="left" wrapText="1"/>
    </xf>
    <xf numFmtId="0" fontId="15" fillId="2" borderId="0" xfId="5" applyFont="1" applyFill="1"/>
    <xf numFmtId="165" fontId="10" fillId="2" borderId="0" xfId="0" applyNumberFormat="1" applyFont="1" applyFill="1"/>
    <xf numFmtId="165" fontId="11" fillId="2" borderId="0" xfId="0" applyNumberFormat="1" applyFont="1" applyFill="1"/>
    <xf numFmtId="49" fontId="2" fillId="2" borderId="3" xfId="0" applyNumberFormat="1" applyFont="1" applyFill="1" applyBorder="1" applyAlignment="1">
      <alignment horizontal="left" wrapText="1"/>
    </xf>
    <xf numFmtId="49" fontId="1" fillId="2" borderId="1" xfId="6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167" fontId="8" fillId="2" borderId="0" xfId="7" applyNumberFormat="1" applyFont="1" applyFill="1"/>
    <xf numFmtId="0" fontId="22" fillId="2" borderId="0" xfId="0" applyFont="1" applyFill="1"/>
    <xf numFmtId="167" fontId="22" fillId="2" borderId="0" xfId="0" applyNumberFormat="1" applyFont="1" applyFill="1"/>
    <xf numFmtId="165" fontId="11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left"/>
    </xf>
    <xf numFmtId="167" fontId="3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wrapText="1"/>
    </xf>
    <xf numFmtId="171" fontId="8" fillId="2" borderId="0" xfId="0" applyNumberFormat="1" applyFont="1" applyFill="1"/>
    <xf numFmtId="165" fontId="3" fillId="2" borderId="0" xfId="0" applyNumberFormat="1" applyFont="1" applyFill="1" applyAlignment="1">
      <alignment horizontal="right"/>
    </xf>
    <xf numFmtId="0" fontId="1" fillId="2" borderId="5" xfId="0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/>
    </xf>
    <xf numFmtId="49" fontId="1" fillId="2" borderId="16" xfId="12" applyNumberFormat="1" applyFont="1" applyFill="1" applyBorder="1" applyAlignment="1">
      <alignment horizontal="center" wrapText="1"/>
    </xf>
    <xf numFmtId="49" fontId="1" fillId="2" borderId="16" xfId="12" applyNumberFormat="1" applyFont="1" applyFill="1" applyBorder="1" applyAlignment="1">
      <alignment horizontal="center"/>
    </xf>
    <xf numFmtId="49" fontId="1" fillId="2" borderId="17" xfId="12" applyNumberFormat="1" applyFont="1" applyFill="1" applyBorder="1" applyAlignment="1">
      <alignment horizontal="center"/>
    </xf>
    <xf numFmtId="49" fontId="1" fillId="2" borderId="18" xfId="12" applyNumberFormat="1" applyFont="1" applyFill="1" applyBorder="1" applyAlignment="1">
      <alignment horizontal="center"/>
    </xf>
    <xf numFmtId="49" fontId="1" fillId="2" borderId="19" xfId="12" applyNumberFormat="1" applyFont="1" applyFill="1" applyBorder="1" applyAlignment="1">
      <alignment horizontal="center"/>
    </xf>
    <xf numFmtId="171" fontId="8" fillId="2" borderId="0" xfId="16" applyNumberFormat="1" applyFont="1" applyFill="1"/>
    <xf numFmtId="49" fontId="1" fillId="2" borderId="0" xfId="16" applyNumberFormat="1" applyFont="1" applyFill="1" applyBorder="1" applyAlignment="1">
      <alignment horizontal="center"/>
    </xf>
    <xf numFmtId="0" fontId="1" fillId="2" borderId="21" xfId="14" applyFont="1" applyFill="1" applyBorder="1" applyAlignment="1">
      <alignment horizontal="center" vertical="top"/>
    </xf>
    <xf numFmtId="49" fontId="1" fillId="2" borderId="22" xfId="14" applyNumberFormat="1" applyFont="1" applyFill="1" applyBorder="1" applyAlignment="1">
      <alignment wrapText="1"/>
    </xf>
    <xf numFmtId="49" fontId="1" fillId="2" borderId="27" xfId="11" applyNumberFormat="1" applyFont="1" applyFill="1" applyBorder="1" applyAlignment="1">
      <alignment horizontal="center" wrapText="1"/>
    </xf>
    <xf numFmtId="49" fontId="1" fillId="2" borderId="27" xfId="11" applyNumberFormat="1" applyFont="1" applyFill="1" applyBorder="1" applyAlignment="1">
      <alignment horizontal="center"/>
    </xf>
    <xf numFmtId="165" fontId="1" fillId="2" borderId="21" xfId="14" applyNumberFormat="1" applyFont="1" applyFill="1" applyBorder="1" applyAlignment="1">
      <alignment horizontal="right"/>
    </xf>
    <xf numFmtId="171" fontId="8" fillId="2" borderId="0" xfId="14" applyNumberFormat="1" applyFont="1" applyFill="1"/>
    <xf numFmtId="0" fontId="8" fillId="2" borderId="0" xfId="14" applyFont="1" applyFill="1"/>
    <xf numFmtId="0" fontId="1" fillId="2" borderId="16" xfId="14" applyFont="1" applyFill="1" applyBorder="1" applyAlignment="1">
      <alignment horizontal="center" vertical="top"/>
    </xf>
    <xf numFmtId="49" fontId="1" fillId="2" borderId="18" xfId="14" applyNumberFormat="1" applyFont="1" applyFill="1" applyBorder="1" applyAlignment="1">
      <alignment wrapText="1"/>
    </xf>
    <xf numFmtId="165" fontId="1" fillId="2" borderId="16" xfId="14" applyNumberFormat="1" applyFont="1" applyFill="1" applyBorder="1" applyAlignment="1">
      <alignment horizontal="right"/>
    </xf>
    <xf numFmtId="49" fontId="1" fillId="2" borderId="20" xfId="16" applyNumberFormat="1" applyFont="1" applyFill="1" applyBorder="1" applyAlignment="1">
      <alignment wrapText="1"/>
    </xf>
    <xf numFmtId="49" fontId="1" fillId="2" borderId="26" xfId="14" applyNumberFormat="1" applyFont="1" applyFill="1" applyBorder="1" applyAlignment="1">
      <alignment horizontal="center"/>
    </xf>
    <xf numFmtId="49" fontId="1" fillId="2" borderId="23" xfId="14" applyNumberFormat="1" applyFont="1" applyFill="1" applyBorder="1" applyAlignment="1">
      <alignment horizontal="center"/>
    </xf>
    <xf numFmtId="49" fontId="1" fillId="2" borderId="16" xfId="16" applyNumberFormat="1" applyFont="1" applyFill="1" applyBorder="1" applyAlignment="1">
      <alignment wrapText="1"/>
    </xf>
    <xf numFmtId="0" fontId="1" fillId="2" borderId="23" xfId="14" applyFont="1" applyFill="1" applyBorder="1" applyAlignment="1">
      <alignment horizontal="center" vertical="top"/>
    </xf>
    <xf numFmtId="49" fontId="1" fillId="2" borderId="23" xfId="11" applyNumberFormat="1" applyFont="1" applyFill="1" applyBorder="1" applyAlignment="1">
      <alignment horizontal="center" wrapText="1"/>
    </xf>
    <xf numFmtId="49" fontId="1" fillId="2" borderId="19" xfId="6" applyNumberFormat="1" applyFont="1" applyFill="1" applyBorder="1" applyAlignment="1">
      <alignment horizontal="left" wrapText="1"/>
    </xf>
    <xf numFmtId="165" fontId="1" fillId="2" borderId="16" xfId="5" applyNumberFormat="1" applyFont="1" applyFill="1" applyBorder="1" applyAlignment="1">
      <alignment horizontal="right"/>
    </xf>
    <xf numFmtId="168" fontId="10" fillId="2" borderId="0" xfId="0" applyNumberFormat="1" applyFont="1" applyFill="1"/>
    <xf numFmtId="168" fontId="15" fillId="2" borderId="0" xfId="0" applyNumberFormat="1" applyFont="1" applyFill="1"/>
    <xf numFmtId="4" fontId="1" fillId="2" borderId="3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right"/>
    </xf>
    <xf numFmtId="0" fontId="30" fillId="2" borderId="0" xfId="0" applyFont="1" applyFill="1" applyBorder="1"/>
    <xf numFmtId="165" fontId="11" fillId="2" borderId="0" xfId="0" applyNumberFormat="1" applyFont="1" applyFill="1" applyBorder="1"/>
    <xf numFmtId="165" fontId="10" fillId="2" borderId="0" xfId="0" applyNumberFormat="1" applyFont="1" applyFill="1" applyBorder="1"/>
    <xf numFmtId="165" fontId="1" fillId="2" borderId="1" xfId="7" applyNumberFormat="1" applyFont="1" applyFill="1" applyBorder="1"/>
    <xf numFmtId="167" fontId="1" fillId="2" borderId="0" xfId="7" applyNumberFormat="1" applyFont="1" applyFill="1" applyBorder="1" applyAlignment="1">
      <alignment horizontal="right"/>
    </xf>
    <xf numFmtId="167" fontId="1" fillId="2" borderId="1" xfId="3" applyNumberFormat="1" applyFont="1" applyFill="1" applyBorder="1" applyAlignment="1">
      <alignment horizontal="center" vertical="center"/>
    </xf>
    <xf numFmtId="171" fontId="33" fillId="2" borderId="0" xfId="7" applyNumberFormat="1" applyFont="1" applyFill="1"/>
    <xf numFmtId="49" fontId="2" fillId="2" borderId="19" xfId="8" applyNumberFormat="1" applyFont="1" applyFill="1" applyBorder="1" applyAlignment="1">
      <alignment wrapText="1"/>
    </xf>
    <xf numFmtId="49" fontId="2" fillId="2" borderId="17" xfId="11" applyNumberFormat="1" applyFont="1" applyFill="1" applyBorder="1" applyAlignment="1">
      <alignment horizontal="center"/>
    </xf>
    <xf numFmtId="49" fontId="2" fillId="2" borderId="18" xfId="16" applyNumberFormat="1" applyFont="1" applyFill="1" applyBorder="1" applyAlignment="1">
      <alignment horizontal="center"/>
    </xf>
    <xf numFmtId="49" fontId="2" fillId="2" borderId="19" xfId="16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4" fillId="2" borderId="0" xfId="0" applyFont="1" applyFill="1" applyBorder="1"/>
    <xf numFmtId="0" fontId="34" fillId="2" borderId="0" xfId="0" applyFont="1" applyFill="1"/>
    <xf numFmtId="0" fontId="3" fillId="2" borderId="0" xfId="0" applyFont="1" applyFill="1" applyAlignment="1">
      <alignment horizontal="right" vertical="top"/>
    </xf>
    <xf numFmtId="0" fontId="23" fillId="2" borderId="0" xfId="0" applyFont="1" applyFill="1" applyAlignment="1">
      <alignment vertical="top"/>
    </xf>
    <xf numFmtId="49" fontId="11" fillId="2" borderId="0" xfId="7" applyNumberFormat="1" applyFont="1" applyFill="1" applyBorder="1" applyAlignment="1">
      <alignment horizontal="center" vertical="top"/>
    </xf>
    <xf numFmtId="167" fontId="3" fillId="2" borderId="0" xfId="7" applyNumberFormat="1" applyFont="1" applyFill="1" applyAlignment="1">
      <alignment horizontal="right" vertical="top"/>
    </xf>
    <xf numFmtId="0" fontId="2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/>
    </xf>
    <xf numFmtId="49" fontId="10" fillId="2" borderId="0" xfId="7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0" xfId="7" applyFont="1" applyFill="1" applyBorder="1" applyAlignment="1">
      <alignment horizontal="left" vertical="center"/>
    </xf>
    <xf numFmtId="0" fontId="3" fillId="2" borderId="0" xfId="7" applyFont="1" applyFill="1" applyAlignment="1">
      <alignment horizontal="left" vertical="center"/>
    </xf>
    <xf numFmtId="169" fontId="1" fillId="2" borderId="0" xfId="1" applyNumberFormat="1" applyFont="1" applyFill="1" applyAlignment="1">
      <alignment horizontal="right"/>
    </xf>
    <xf numFmtId="169" fontId="1" fillId="2" borderId="1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right"/>
    </xf>
    <xf numFmtId="166" fontId="1" fillId="2" borderId="1" xfId="1" applyNumberFormat="1" applyFont="1" applyFill="1" applyBorder="1" applyAlignment="1"/>
    <xf numFmtId="166" fontId="2" fillId="2" borderId="1" xfId="10" applyNumberFormat="1" applyFont="1" applyFill="1" applyBorder="1" applyAlignment="1">
      <alignment vertical="top"/>
    </xf>
    <xf numFmtId="169" fontId="1" fillId="2" borderId="0" xfId="1" applyNumberFormat="1" applyFont="1" applyFill="1"/>
    <xf numFmtId="169" fontId="1" fillId="2" borderId="0" xfId="7" applyNumberFormat="1" applyFont="1" applyFill="1" applyBorder="1"/>
    <xf numFmtId="0" fontId="1" fillId="2" borderId="0" xfId="1" applyFont="1" applyFill="1"/>
    <xf numFmtId="166" fontId="4" fillId="2" borderId="1" xfId="0" applyNumberFormat="1" applyFont="1" applyFill="1" applyBorder="1" applyAlignment="1">
      <alignment vertical="top"/>
    </xf>
    <xf numFmtId="166" fontId="1" fillId="2" borderId="1" xfId="0" applyNumberFormat="1" applyFont="1" applyFill="1" applyBorder="1" applyAlignment="1">
      <alignment vertical="top"/>
    </xf>
    <xf numFmtId="166" fontId="1" fillId="2" borderId="1" xfId="1" applyNumberFormat="1" applyFont="1" applyFill="1" applyBorder="1" applyAlignment="1">
      <alignment horizontal="right" vertical="top"/>
    </xf>
    <xf numFmtId="166" fontId="1" fillId="2" borderId="1" xfId="1" applyNumberFormat="1" applyFont="1" applyFill="1" applyBorder="1" applyAlignment="1">
      <alignment vertical="top"/>
    </xf>
    <xf numFmtId="49" fontId="35" fillId="2" borderId="0" xfId="7" applyNumberFormat="1" applyFont="1" applyFill="1" applyBorder="1" applyAlignment="1">
      <alignment horizontal="center" vertical="top"/>
    </xf>
    <xf numFmtId="0" fontId="31" fillId="2" borderId="1" xfId="0" applyFont="1" applyFill="1" applyBorder="1" applyAlignment="1">
      <alignment horizontal="center" vertical="top"/>
    </xf>
    <xf numFmtId="0" fontId="36" fillId="2" borderId="0" xfId="0" applyFont="1" applyFill="1"/>
    <xf numFmtId="0" fontId="37" fillId="2" borderId="1" xfId="0" applyFont="1" applyFill="1" applyBorder="1" applyAlignment="1">
      <alignment horizontal="center" vertical="top"/>
    </xf>
    <xf numFmtId="0" fontId="38" fillId="2" borderId="0" xfId="0" applyFont="1" applyFill="1"/>
    <xf numFmtId="49" fontId="1" fillId="2" borderId="0" xfId="0" applyNumberFormat="1" applyFont="1" applyFill="1" applyBorder="1" applyAlignment="1">
      <alignment horizontal="left" vertical="top" wrapText="1"/>
    </xf>
    <xf numFmtId="165" fontId="1" fillId="2" borderId="0" xfId="7" applyNumberFormat="1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14" fontId="10" fillId="2" borderId="0" xfId="0" applyNumberFormat="1" applyFont="1" applyFill="1"/>
    <xf numFmtId="165" fontId="1" fillId="2" borderId="23" xfId="16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3" applyFont="1" applyFill="1" applyBorder="1" applyAlignment="1">
      <alignment horizontal="center" wrapText="1"/>
    </xf>
    <xf numFmtId="0" fontId="2" fillId="2" borderId="1" xfId="3" applyFont="1" applyFill="1" applyBorder="1" applyAlignment="1"/>
    <xf numFmtId="165" fontId="2" fillId="2" borderId="1" xfId="10" applyNumberFormat="1" applyFont="1" applyFill="1" applyBorder="1" applyAlignment="1">
      <alignment horizontal="right" wrapText="1"/>
    </xf>
    <xf numFmtId="0" fontId="1" fillId="2" borderId="1" xfId="3" applyFont="1" applyFill="1" applyBorder="1" applyAlignment="1">
      <alignment horizontal="left" vertical="top" wrapText="1"/>
    </xf>
    <xf numFmtId="0" fontId="1" fillId="2" borderId="1" xfId="3" applyFont="1" applyFill="1" applyBorder="1" applyAlignment="1">
      <alignment horizontal="left"/>
    </xf>
    <xf numFmtId="165" fontId="1" fillId="2" borderId="1" xfId="3" applyNumberFormat="1" applyFont="1" applyFill="1" applyBorder="1" applyAlignment="1">
      <alignment horizontal="right" wrapText="1"/>
    </xf>
    <xf numFmtId="0" fontId="2" fillId="2" borderId="1" xfId="3" applyFont="1" applyFill="1" applyBorder="1" applyAlignment="1">
      <alignment wrapText="1"/>
    </xf>
    <xf numFmtId="165" fontId="2" fillId="2" borderId="1" xfId="3" applyNumberFormat="1" applyFont="1" applyFill="1" applyBorder="1" applyAlignment="1">
      <alignment horizontal="right" wrapText="1"/>
    </xf>
    <xf numFmtId="0" fontId="1" fillId="2" borderId="1" xfId="3" applyFont="1" applyFill="1" applyBorder="1" applyAlignment="1">
      <alignment wrapText="1"/>
    </xf>
    <xf numFmtId="49" fontId="1" fillId="2" borderId="1" xfId="3" applyNumberFormat="1" applyFont="1" applyFill="1" applyBorder="1" applyAlignment="1">
      <alignment horizontal="center" vertical="top"/>
    </xf>
    <xf numFmtId="49" fontId="2" fillId="2" borderId="1" xfId="3" applyNumberFormat="1" applyFont="1" applyFill="1" applyBorder="1" applyAlignment="1">
      <alignment horizontal="center" vertical="top"/>
    </xf>
    <xf numFmtId="49" fontId="3" fillId="2" borderId="1" xfId="3" applyNumberFormat="1" applyFont="1" applyFill="1" applyBorder="1" applyAlignment="1">
      <alignment horizontal="center" vertical="top"/>
    </xf>
    <xf numFmtId="0" fontId="3" fillId="2" borderId="1" xfId="3" applyFont="1" applyFill="1" applyBorder="1" applyAlignment="1">
      <alignment wrapText="1"/>
    </xf>
    <xf numFmtId="165" fontId="3" fillId="2" borderId="1" xfId="3" applyNumberFormat="1" applyFont="1" applyFill="1" applyBorder="1" applyAlignment="1">
      <alignment horizontal="right" wrapText="1"/>
    </xf>
    <xf numFmtId="49" fontId="1" fillId="2" borderId="1" xfId="11" applyNumberFormat="1" applyFont="1" applyFill="1" applyBorder="1" applyAlignment="1">
      <alignment wrapText="1"/>
    </xf>
    <xf numFmtId="49" fontId="1" fillId="2" borderId="1" xfId="3" applyNumberFormat="1" applyFont="1" applyFill="1" applyBorder="1" applyAlignment="1">
      <alignment horizontal="center"/>
    </xf>
    <xf numFmtId="1" fontId="1" fillId="2" borderId="1" xfId="3" applyNumberFormat="1" applyFont="1" applyFill="1" applyBorder="1" applyAlignment="1">
      <alignment horizontal="center" wrapText="1"/>
    </xf>
    <xf numFmtId="0" fontId="1" fillId="0" borderId="1" xfId="3" applyFont="1" applyFill="1" applyBorder="1" applyAlignment="1">
      <alignment horizontal="left" vertical="top" wrapText="1"/>
    </xf>
    <xf numFmtId="0" fontId="29" fillId="2" borderId="0" xfId="0" applyFont="1" applyFill="1" applyBorder="1"/>
    <xf numFmtId="0" fontId="29" fillId="2" borderId="0" xfId="0" applyFont="1" applyFill="1"/>
    <xf numFmtId="0" fontId="13" fillId="2" borderId="0" xfId="3" applyFont="1" applyFill="1"/>
    <xf numFmtId="49" fontId="1" fillId="2" borderId="23" xfId="16" applyNumberFormat="1" applyFont="1" applyFill="1" applyBorder="1" applyAlignment="1">
      <alignment horizontal="center"/>
    </xf>
    <xf numFmtId="49" fontId="1" fillId="2" borderId="26" xfId="5" applyNumberFormat="1" applyFont="1" applyFill="1" applyBorder="1" applyAlignment="1">
      <alignment wrapText="1"/>
    </xf>
    <xf numFmtId="165" fontId="1" fillId="2" borderId="0" xfId="1" applyNumberFormat="1" applyFont="1" applyFill="1"/>
    <xf numFmtId="174" fontId="3" fillId="0" borderId="12" xfId="0" applyNumberFormat="1" applyFont="1" applyFill="1" applyBorder="1" applyAlignment="1">
      <alignment vertical="top"/>
    </xf>
    <xf numFmtId="174" fontId="3" fillId="2" borderId="12" xfId="0" applyNumberFormat="1" applyFont="1" applyFill="1" applyBorder="1" applyAlignment="1">
      <alignment vertical="top"/>
    </xf>
    <xf numFmtId="174" fontId="3" fillId="2" borderId="13" xfId="0" applyNumberFormat="1" applyFont="1" applyFill="1" applyBorder="1" applyAlignment="1">
      <alignment vertical="top"/>
    </xf>
    <xf numFmtId="174" fontId="3" fillId="0" borderId="11" xfId="0" applyNumberFormat="1" applyFont="1" applyFill="1" applyBorder="1" applyAlignment="1">
      <alignment vertical="top"/>
    </xf>
    <xf numFmtId="0" fontId="3" fillId="0" borderId="10" xfId="3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vertical="top"/>
    </xf>
    <xf numFmtId="0" fontId="2" fillId="2" borderId="5" xfId="7" applyFont="1" applyFill="1" applyBorder="1" applyAlignment="1">
      <alignment horizontal="center" vertical="top"/>
    </xf>
    <xf numFmtId="49" fontId="1" fillId="2" borderId="26" xfId="16" applyNumberFormat="1" applyFont="1" applyFill="1" applyBorder="1" applyAlignment="1">
      <alignment horizontal="center" wrapText="1"/>
    </xf>
    <xf numFmtId="165" fontId="1" fillId="2" borderId="5" xfId="7" applyNumberFormat="1" applyFont="1" applyFill="1" applyBorder="1" applyAlignment="1">
      <alignment horizontal="right"/>
    </xf>
    <xf numFmtId="49" fontId="1" fillId="2" borderId="1" xfId="16" applyNumberFormat="1" applyFont="1" applyFill="1" applyBorder="1" applyAlignment="1">
      <alignment horizontal="center"/>
    </xf>
    <xf numFmtId="49" fontId="1" fillId="2" borderId="3" xfId="16" applyNumberFormat="1" applyFont="1" applyFill="1" applyBorder="1" applyAlignment="1">
      <alignment horizontal="center"/>
    </xf>
    <xf numFmtId="2" fontId="19" fillId="2" borderId="0" xfId="0" applyNumberFormat="1" applyFont="1" applyFill="1"/>
    <xf numFmtId="0" fontId="3" fillId="2" borderId="0" xfId="0" applyFont="1" applyFill="1" applyBorder="1" applyAlignment="1">
      <alignment horizontal="left" vertical="center" wrapText="1"/>
    </xf>
    <xf numFmtId="0" fontId="39" fillId="2" borderId="0" xfId="0" applyFont="1" applyFill="1" applyBorder="1"/>
    <xf numFmtId="0" fontId="39" fillId="2" borderId="0" xfId="0" applyFont="1" applyFill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right"/>
    </xf>
    <xf numFmtId="49" fontId="1" fillId="2" borderId="0" xfId="16" applyNumberFormat="1" applyFont="1" applyFill="1" applyBorder="1" applyAlignment="1">
      <alignment wrapText="1"/>
    </xf>
    <xf numFmtId="49" fontId="1" fillId="2" borderId="0" xfId="12" applyNumberFormat="1" applyFont="1" applyFill="1" applyBorder="1" applyAlignment="1">
      <alignment horizontal="center"/>
    </xf>
    <xf numFmtId="49" fontId="1" fillId="2" borderId="23" xfId="12" applyNumberFormat="1" applyFont="1" applyFill="1" applyBorder="1" applyAlignment="1">
      <alignment horizontal="center"/>
    </xf>
    <xf numFmtId="49" fontId="1" fillId="2" borderId="1" xfId="12" applyNumberFormat="1" applyFont="1" applyFill="1" applyBorder="1" applyAlignment="1">
      <alignment horizontal="center"/>
    </xf>
    <xf numFmtId="49" fontId="1" fillId="2" borderId="28" xfId="12" applyNumberFormat="1" applyFont="1" applyFill="1" applyBorder="1" applyAlignment="1">
      <alignment horizontal="center"/>
    </xf>
    <xf numFmtId="0" fontId="1" fillId="2" borderId="23" xfId="16" applyFont="1" applyFill="1" applyBorder="1" applyAlignment="1">
      <alignment horizontal="center" vertical="top"/>
    </xf>
    <xf numFmtId="49" fontId="1" fillId="2" borderId="26" xfId="16" applyNumberFormat="1" applyFont="1" applyFill="1" applyBorder="1" applyAlignment="1">
      <alignment wrapText="1"/>
    </xf>
    <xf numFmtId="0" fontId="1" fillId="2" borderId="1" xfId="16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left" wrapText="1"/>
    </xf>
    <xf numFmtId="49" fontId="1" fillId="2" borderId="10" xfId="7" applyNumberFormat="1" applyFont="1" applyFill="1" applyBorder="1" applyAlignment="1">
      <alignment horizontal="center"/>
    </xf>
    <xf numFmtId="49" fontId="1" fillId="2" borderId="29" xfId="14" applyNumberFormat="1" applyFont="1" applyFill="1" applyBorder="1" applyAlignment="1">
      <alignment wrapText="1"/>
    </xf>
    <xf numFmtId="49" fontId="1" fillId="2" borderId="29" xfId="16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165" fontId="3" fillId="2" borderId="1" xfId="7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0" xfId="3" applyFont="1" applyAlignment="1">
      <alignment wrapText="1"/>
    </xf>
    <xf numFmtId="0" fontId="1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6" fillId="2" borderId="0" xfId="3" applyFont="1" applyFill="1"/>
    <xf numFmtId="0" fontId="1" fillId="0" borderId="5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justify" vertical="top" wrapText="1"/>
    </xf>
    <xf numFmtId="165" fontId="1" fillId="0" borderId="5" xfId="3" applyNumberFormat="1" applyFont="1" applyBorder="1" applyAlignment="1">
      <alignment horizontal="center"/>
    </xf>
    <xf numFmtId="0" fontId="1" fillId="0" borderId="0" xfId="3" applyFont="1" applyBorder="1" applyAlignment="1">
      <alignment horizontal="left" wrapText="1"/>
    </xf>
    <xf numFmtId="165" fontId="1" fillId="0" borderId="12" xfId="3" applyNumberFormat="1" applyFont="1" applyBorder="1" applyAlignment="1">
      <alignment horizontal="center"/>
    </xf>
    <xf numFmtId="0" fontId="1" fillId="0" borderId="4" xfId="3" applyFont="1" applyBorder="1" applyAlignment="1">
      <alignment horizontal="left" wrapText="1"/>
    </xf>
    <xf numFmtId="166" fontId="1" fillId="0" borderId="8" xfId="3" applyNumberFormat="1" applyFont="1" applyBorder="1" applyAlignment="1">
      <alignment horizontal="center"/>
    </xf>
    <xf numFmtId="166" fontId="1" fillId="0" borderId="11" xfId="3" applyNumberFormat="1" applyFont="1" applyBorder="1" applyAlignment="1">
      <alignment horizontal="center"/>
    </xf>
    <xf numFmtId="166" fontId="1" fillId="0" borderId="10" xfId="3" applyNumberFormat="1" applyFont="1" applyBorder="1" applyAlignment="1">
      <alignment horizontal="center"/>
    </xf>
    <xf numFmtId="0" fontId="3" fillId="2" borderId="1" xfId="5" applyFont="1" applyFill="1" applyBorder="1" applyAlignment="1">
      <alignment horizontal="left" vertical="top" wrapText="1"/>
    </xf>
    <xf numFmtId="165" fontId="3" fillId="2" borderId="1" xfId="5" applyNumberFormat="1" applyFont="1" applyFill="1" applyBorder="1" applyAlignment="1">
      <alignment horizontal="right" wrapText="1"/>
    </xf>
    <xf numFmtId="49" fontId="1" fillId="2" borderId="3" xfId="7" applyNumberFormat="1" applyFont="1" applyFill="1" applyBorder="1" applyAlignment="1">
      <alignment wrapText="1"/>
    </xf>
    <xf numFmtId="0" fontId="31" fillId="2" borderId="0" xfId="1" applyFont="1" applyFill="1"/>
    <xf numFmtId="0" fontId="2" fillId="2" borderId="1" xfId="7" applyFont="1" applyFill="1" applyBorder="1" applyAlignment="1">
      <alignment vertical="top" wrapText="1"/>
    </xf>
    <xf numFmtId="166" fontId="2" fillId="2" borderId="1" xfId="1" applyNumberFormat="1" applyFont="1" applyFill="1" applyBorder="1" applyAlignment="1">
      <alignment horizontal="right" vertical="top"/>
    </xf>
    <xf numFmtId="0" fontId="1" fillId="2" borderId="1" xfId="7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2" fillId="2" borderId="0" xfId="1" applyFont="1" applyFill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1" xfId="5" applyFont="1" applyFill="1" applyBorder="1" applyAlignment="1">
      <alignment vertical="top" wrapText="1"/>
    </xf>
    <xf numFmtId="0" fontId="3" fillId="2" borderId="1" xfId="5" applyFont="1" applyFill="1" applyBorder="1" applyAlignment="1">
      <alignment vertical="top" wrapText="1"/>
    </xf>
    <xf numFmtId="0" fontId="1" fillId="2" borderId="0" xfId="7" applyFont="1" applyFill="1" applyAlignment="1">
      <alignment horizontal="right"/>
    </xf>
    <xf numFmtId="0" fontId="1" fillId="2" borderId="0" xfId="3" applyFont="1" applyFill="1"/>
    <xf numFmtId="167" fontId="13" fillId="2" borderId="0" xfId="3" applyNumberFormat="1" applyFont="1" applyFill="1"/>
    <xf numFmtId="0" fontId="3" fillId="2" borderId="1" xfId="3" applyFont="1" applyFill="1" applyBorder="1" applyAlignment="1">
      <alignment horizontal="center" vertical="center" wrapText="1"/>
    </xf>
    <xf numFmtId="167" fontId="3" fillId="2" borderId="1" xfId="3" applyNumberFormat="1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/>
    </xf>
    <xf numFmtId="1" fontId="3" fillId="2" borderId="1" xfId="7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/>
    </xf>
    <xf numFmtId="165" fontId="4" fillId="2" borderId="1" xfId="3" applyNumberFormat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/>
    </xf>
    <xf numFmtId="0" fontId="1" fillId="2" borderId="1" xfId="3" applyFont="1" applyFill="1" applyBorder="1" applyAlignment="1"/>
    <xf numFmtId="49" fontId="3" fillId="2" borderId="1" xfId="9" applyNumberFormat="1" applyFont="1" applyFill="1" applyBorder="1" applyAlignment="1">
      <alignment wrapText="1"/>
    </xf>
    <xf numFmtId="49" fontId="1" fillId="2" borderId="1" xfId="7" applyNumberFormat="1" applyFont="1" applyFill="1" applyBorder="1" applyAlignment="1">
      <alignment horizontal="left" wrapText="1"/>
    </xf>
    <xf numFmtId="165" fontId="2" fillId="2" borderId="1" xfId="3" applyNumberFormat="1" applyFont="1" applyFill="1" applyBorder="1" applyAlignment="1"/>
    <xf numFmtId="0" fontId="13" fillId="2" borderId="1" xfId="3" applyFont="1" applyFill="1" applyBorder="1" applyAlignment="1">
      <alignment vertical="top"/>
    </xf>
    <xf numFmtId="165" fontId="1" fillId="2" borderId="1" xfId="3" applyNumberFormat="1" applyFont="1" applyFill="1" applyBorder="1" applyAlignment="1"/>
    <xf numFmtId="49" fontId="3" fillId="2" borderId="3" xfId="7" applyNumberFormat="1" applyFont="1" applyFill="1" applyBorder="1" applyAlignment="1">
      <alignment wrapText="1"/>
    </xf>
    <xf numFmtId="49" fontId="3" fillId="2" borderId="2" xfId="7" applyNumberFormat="1" applyFont="1" applyFill="1" applyBorder="1" applyAlignment="1">
      <alignment horizontal="center"/>
    </xf>
    <xf numFmtId="49" fontId="3" fillId="2" borderId="9" xfId="7" applyNumberFormat="1" applyFont="1" applyFill="1" applyBorder="1" applyAlignment="1">
      <alignment horizontal="center"/>
    </xf>
    <xf numFmtId="49" fontId="3" fillId="2" borderId="3" xfId="7" applyNumberFormat="1" applyFont="1" applyFill="1" applyBorder="1" applyAlignment="1">
      <alignment horizontal="center"/>
    </xf>
    <xf numFmtId="49" fontId="3" fillId="2" borderId="1" xfId="7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wrapText="1"/>
    </xf>
    <xf numFmtId="49" fontId="1" fillId="2" borderId="26" xfId="14" applyNumberFormat="1" applyFont="1" applyFill="1" applyBorder="1" applyAlignment="1">
      <alignment wrapText="1"/>
    </xf>
    <xf numFmtId="49" fontId="1" fillId="2" borderId="1" xfId="14" applyNumberFormat="1" applyFont="1" applyFill="1" applyBorder="1" applyAlignment="1">
      <alignment wrapText="1"/>
    </xf>
    <xf numFmtId="49" fontId="2" fillId="2" borderId="1" xfId="4" applyNumberFormat="1" applyFont="1" applyFill="1" applyBorder="1" applyAlignment="1" applyProtection="1">
      <alignment horizontal="left" vertical="top" wrapText="1"/>
      <protection hidden="1"/>
    </xf>
    <xf numFmtId="49" fontId="1" fillId="2" borderId="19" xfId="14" applyNumberFormat="1" applyFont="1" applyFill="1" applyBorder="1" applyAlignment="1">
      <alignment wrapText="1"/>
    </xf>
    <xf numFmtId="49" fontId="1" fillId="2" borderId="30" xfId="14" applyNumberFormat="1" applyFont="1" applyFill="1" applyBorder="1" applyAlignment="1">
      <alignment wrapText="1"/>
    </xf>
    <xf numFmtId="49" fontId="1" fillId="2" borderId="13" xfId="14" applyNumberFormat="1" applyFont="1" applyFill="1" applyBorder="1" applyAlignment="1">
      <alignment wrapText="1"/>
    </xf>
    <xf numFmtId="49" fontId="3" fillId="2" borderId="1" xfId="7" applyNumberFormat="1" applyFont="1" applyFill="1" applyBorder="1" applyAlignment="1">
      <alignment horizontal="left" wrapText="1"/>
    </xf>
    <xf numFmtId="49" fontId="3" fillId="2" borderId="1" xfId="7" applyNumberFormat="1" applyFont="1" applyFill="1" applyBorder="1" applyAlignment="1">
      <alignment horizontal="center" wrapText="1"/>
    </xf>
    <xf numFmtId="49" fontId="2" fillId="2" borderId="2" xfId="7" applyNumberFormat="1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 wrapText="1"/>
    </xf>
    <xf numFmtId="169" fontId="1" fillId="2" borderId="0" xfId="7" applyNumberFormat="1" applyFont="1" applyFill="1" applyBorder="1" applyAlignment="1">
      <alignment horizontal="right"/>
    </xf>
    <xf numFmtId="0" fontId="3" fillId="2" borderId="3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 vertical="top"/>
    </xf>
    <xf numFmtId="0" fontId="4" fillId="2" borderId="5" xfId="3" applyFont="1" applyFill="1" applyBorder="1" applyAlignment="1">
      <alignment vertical="top" wrapText="1"/>
    </xf>
    <xf numFmtId="174" fontId="4" fillId="2" borderId="5" xfId="13" applyNumberFormat="1" applyFont="1" applyFill="1" applyBorder="1" applyAlignment="1">
      <alignment horizontal="right" vertical="center"/>
    </xf>
    <xf numFmtId="0" fontId="4" fillId="2" borderId="12" xfId="3" applyFont="1" applyFill="1" applyBorder="1" applyAlignment="1">
      <alignment horizontal="center" vertical="top"/>
    </xf>
    <xf numFmtId="0" fontId="4" fillId="2" borderId="11" xfId="3" applyFont="1" applyFill="1" applyBorder="1" applyAlignment="1">
      <alignment vertical="top" wrapText="1"/>
    </xf>
    <xf numFmtId="174" fontId="4" fillId="2" borderId="12" xfId="13" applyNumberFormat="1" applyFont="1" applyFill="1" applyBorder="1" applyAlignment="1">
      <alignment horizontal="right" vertical="center"/>
    </xf>
    <xf numFmtId="0" fontId="3" fillId="2" borderId="12" xfId="3" applyFont="1" applyFill="1" applyBorder="1" applyAlignment="1">
      <alignment horizontal="center" vertical="top"/>
    </xf>
    <xf numFmtId="0" fontId="3" fillId="2" borderId="11" xfId="3" applyFont="1" applyFill="1" applyBorder="1" applyAlignment="1">
      <alignment vertical="top" wrapText="1"/>
    </xf>
    <xf numFmtId="174" fontId="3" fillId="2" borderId="12" xfId="13" applyNumberFormat="1" applyFont="1" applyFill="1" applyBorder="1" applyAlignment="1">
      <alignment horizontal="right" vertical="center"/>
    </xf>
    <xf numFmtId="0" fontId="4" fillId="2" borderId="12" xfId="3" applyFont="1" applyFill="1" applyBorder="1" applyAlignment="1">
      <alignment wrapText="1"/>
    </xf>
    <xf numFmtId="0" fontId="3" fillId="2" borderId="12" xfId="3" applyFont="1" applyFill="1" applyBorder="1" applyAlignment="1">
      <alignment wrapText="1"/>
    </xf>
    <xf numFmtId="174" fontId="3" fillId="2" borderId="12" xfId="0" applyNumberFormat="1" applyFont="1" applyFill="1" applyBorder="1"/>
    <xf numFmtId="0" fontId="3" fillId="2" borderId="12" xfId="3" applyFont="1" applyFill="1" applyBorder="1" applyAlignment="1">
      <alignment vertical="top" wrapText="1"/>
    </xf>
    <xf numFmtId="0" fontId="3" fillId="2" borderId="13" xfId="3" applyFont="1" applyFill="1" applyBorder="1" applyAlignment="1">
      <alignment horizontal="center" vertical="top"/>
    </xf>
    <xf numFmtId="0" fontId="3" fillId="2" borderId="13" xfId="3" applyFont="1" applyFill="1" applyBorder="1" applyAlignment="1">
      <alignment vertical="top" wrapText="1"/>
    </xf>
    <xf numFmtId="0" fontId="3" fillId="2" borderId="0" xfId="3" applyFont="1" applyFill="1" applyBorder="1" applyAlignment="1">
      <alignment horizontal="center" vertical="top"/>
    </xf>
    <xf numFmtId="0" fontId="1" fillId="2" borderId="0" xfId="3" applyFont="1" applyFill="1" applyBorder="1" applyAlignment="1">
      <alignment wrapText="1"/>
    </xf>
    <xf numFmtId="174" fontId="1" fillId="2" borderId="0" xfId="3" applyNumberFormat="1" applyFont="1" applyFill="1" applyBorder="1" applyAlignment="1"/>
    <xf numFmtId="165" fontId="1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vertical="center" wrapText="1"/>
    </xf>
    <xf numFmtId="168" fontId="3" fillId="2" borderId="1" xfId="0" applyNumberFormat="1" applyFont="1" applyFill="1" applyBorder="1" applyAlignment="1">
      <alignment horizontal="center" wrapText="1"/>
    </xf>
    <xf numFmtId="0" fontId="2" fillId="0" borderId="0" xfId="3" applyFont="1" applyFill="1" applyAlignment="1">
      <alignment horizontal="center"/>
    </xf>
    <xf numFmtId="0" fontId="3" fillId="0" borderId="1" xfId="3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top"/>
    </xf>
    <xf numFmtId="165" fontId="4" fillId="2" borderId="1" xfId="7" applyNumberFormat="1" applyFont="1" applyFill="1" applyBorder="1" applyAlignment="1">
      <alignment horizontal="right"/>
    </xf>
    <xf numFmtId="0" fontId="3" fillId="0" borderId="0" xfId="3" applyFont="1" applyFill="1"/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vertical="center"/>
    </xf>
    <xf numFmtId="165" fontId="3" fillId="2" borderId="1" xfId="0" applyNumberFormat="1" applyFont="1" applyFill="1" applyBorder="1"/>
    <xf numFmtId="0" fontId="44" fillId="2" borderId="0" xfId="0" applyFont="1" applyFill="1" applyAlignment="1">
      <alignment horizontal="right"/>
    </xf>
    <xf numFmtId="173" fontId="23" fillId="2" borderId="0" xfId="0" applyNumberFormat="1" applyFont="1" applyFill="1"/>
    <xf numFmtId="165" fontId="23" fillId="2" borderId="0" xfId="0" applyNumberFormat="1" applyFont="1" applyFill="1"/>
    <xf numFmtId="166" fontId="45" fillId="2" borderId="0" xfId="0" applyNumberFormat="1" applyFont="1" applyFill="1" applyAlignment="1">
      <alignment horizontal="right"/>
    </xf>
    <xf numFmtId="176" fontId="3" fillId="2" borderId="1" xfId="0" applyNumberFormat="1" applyFont="1" applyFill="1" applyBorder="1"/>
    <xf numFmtId="165" fontId="2" fillId="2" borderId="1" xfId="19" applyNumberFormat="1" applyFont="1" applyFill="1" applyBorder="1" applyAlignment="1">
      <alignment horizontal="right" vertical="top"/>
    </xf>
    <xf numFmtId="165" fontId="1" fillId="2" borderId="1" xfId="19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right"/>
    </xf>
    <xf numFmtId="165" fontId="1" fillId="2" borderId="16" xfId="12" applyNumberFormat="1" applyFont="1" applyFill="1" applyBorder="1" applyAlignment="1">
      <alignment horizontal="center"/>
    </xf>
    <xf numFmtId="165" fontId="1" fillId="2" borderId="23" xfId="14" applyNumberFormat="1" applyFont="1" applyFill="1" applyBorder="1" applyAlignment="1">
      <alignment horizontal="right"/>
    </xf>
    <xf numFmtId="165" fontId="1" fillId="2" borderId="1" xfId="16" applyNumberFormat="1" applyFont="1" applyFill="1" applyBorder="1" applyAlignment="1">
      <alignment horizontal="right"/>
    </xf>
    <xf numFmtId="165" fontId="1" fillId="2" borderId="1" xfId="12" applyNumberFormat="1" applyFont="1" applyFill="1" applyBorder="1" applyAlignment="1">
      <alignment horizontal="center"/>
    </xf>
    <xf numFmtId="165" fontId="46" fillId="2" borderId="1" xfId="19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166" fontId="1" fillId="2" borderId="0" xfId="1" applyNumberFormat="1" applyFont="1" applyFill="1"/>
    <xf numFmtId="0" fontId="1" fillId="2" borderId="1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vertical="top"/>
    </xf>
    <xf numFmtId="0" fontId="1" fillId="2" borderId="0" xfId="7" applyFont="1" applyFill="1" applyBorder="1"/>
    <xf numFmtId="0" fontId="1" fillId="2" borderId="0" xfId="7" applyFont="1" applyFill="1" applyAlignment="1">
      <alignment wrapText="1"/>
    </xf>
    <xf numFmtId="170" fontId="26" fillId="2" borderId="0" xfId="3" applyNumberFormat="1" applyFont="1" applyFill="1"/>
    <xf numFmtId="0" fontId="14" fillId="2" borderId="0" xfId="3" applyFont="1" applyFill="1"/>
    <xf numFmtId="49" fontId="1" fillId="2" borderId="3" xfId="5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165" fontId="1" fillId="2" borderId="21" xfId="16" applyNumberFormat="1" applyFont="1" applyFill="1" applyBorder="1" applyAlignment="1">
      <alignment horizontal="right"/>
    </xf>
    <xf numFmtId="0" fontId="47" fillId="2" borderId="1" xfId="0" applyFont="1" applyFill="1" applyBorder="1" applyAlignment="1">
      <alignment horizontal="center" vertical="top"/>
    </xf>
    <xf numFmtId="0" fontId="48" fillId="2" borderId="0" xfId="0" applyFont="1" applyFill="1"/>
    <xf numFmtId="0" fontId="4" fillId="2" borderId="0" xfId="0" applyFont="1" applyFill="1" applyAlignment="1">
      <alignment horizontal="center" wrapText="1"/>
    </xf>
    <xf numFmtId="0" fontId="3" fillId="2" borderId="1" xfId="7" applyFont="1" applyFill="1" applyBorder="1" applyAlignment="1">
      <alignment horizontal="center" vertical="top"/>
    </xf>
    <xf numFmtId="165" fontId="1" fillId="2" borderId="1" xfId="14" applyNumberFormat="1" applyFont="1" applyFill="1" applyBorder="1" applyAlignment="1">
      <alignment horizontal="right"/>
    </xf>
    <xf numFmtId="0" fontId="3" fillId="2" borderId="0" xfId="0" applyFont="1" applyFill="1" applyAlignment="1"/>
    <xf numFmtId="0" fontId="4" fillId="2" borderId="1" xfId="0" applyFont="1" applyFill="1" applyBorder="1" applyAlignment="1">
      <alignment vertical="top"/>
    </xf>
    <xf numFmtId="165" fontId="4" fillId="2" borderId="1" xfId="0" applyNumberFormat="1" applyFont="1" applyFill="1" applyBorder="1" applyAlignment="1">
      <alignment vertical="top"/>
    </xf>
    <xf numFmtId="0" fontId="1" fillId="2" borderId="1" xfId="1" applyFont="1" applyFill="1" applyBorder="1" applyAlignment="1">
      <alignment wrapText="1"/>
    </xf>
    <xf numFmtId="165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top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3" fillId="2" borderId="0" xfId="19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 vertical="top"/>
    </xf>
    <xf numFmtId="165" fontId="3" fillId="2" borderId="1" xfId="19" applyNumberFormat="1" applyFont="1" applyFill="1" applyBorder="1" applyAlignment="1">
      <alignment horizontal="center" wrapText="1"/>
    </xf>
    <xf numFmtId="165" fontId="1" fillId="2" borderId="0" xfId="7" applyNumberFormat="1" applyFont="1" applyFill="1" applyAlignment="1">
      <alignment horizontal="right"/>
    </xf>
    <xf numFmtId="165" fontId="27" fillId="2" borderId="1" xfId="0" applyNumberFormat="1" applyFont="1" applyFill="1" applyBorder="1"/>
    <xf numFmtId="49" fontId="1" fillId="4" borderId="3" xfId="0" applyNumberFormat="1" applyFont="1" applyFill="1" applyBorder="1" applyAlignment="1">
      <alignment wrapText="1"/>
    </xf>
    <xf numFmtId="165" fontId="1" fillId="2" borderId="2" xfId="0" applyNumberFormat="1" applyFont="1" applyFill="1" applyBorder="1" applyAlignment="1">
      <alignment horizontal="right"/>
    </xf>
    <xf numFmtId="165" fontId="49" fillId="2" borderId="1" xfId="0" applyNumberFormat="1" applyFont="1" applyFill="1" applyBorder="1" applyAlignment="1">
      <alignment horizontal="right" vertical="top"/>
    </xf>
    <xf numFmtId="165" fontId="49" fillId="2" borderId="1" xfId="0" applyNumberFormat="1" applyFont="1" applyFill="1" applyBorder="1" applyAlignment="1">
      <alignment horizontal="right"/>
    </xf>
    <xf numFmtId="165" fontId="31" fillId="2" borderId="1" xfId="0" applyNumberFormat="1" applyFont="1" applyFill="1" applyBorder="1" applyAlignment="1">
      <alignment horizontal="right"/>
    </xf>
    <xf numFmtId="165" fontId="49" fillId="2" borderId="16" xfId="16" applyNumberFormat="1" applyFont="1" applyFill="1" applyBorder="1" applyAlignment="1">
      <alignment horizontal="right"/>
    </xf>
    <xf numFmtId="165" fontId="31" fillId="2" borderId="16" xfId="16" applyNumberFormat="1" applyFont="1" applyFill="1" applyBorder="1" applyAlignment="1">
      <alignment horizontal="right"/>
    </xf>
    <xf numFmtId="165" fontId="1" fillId="4" borderId="1" xfId="7" applyNumberFormat="1" applyFont="1" applyFill="1" applyBorder="1" applyAlignment="1">
      <alignment horizontal="right"/>
    </xf>
    <xf numFmtId="0" fontId="3" fillId="4" borderId="0" xfId="0" applyFont="1" applyFill="1"/>
    <xf numFmtId="165" fontId="31" fillId="2" borderId="17" xfId="16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177" fontId="11" fillId="2" borderId="1" xfId="0" applyNumberFormat="1" applyFont="1" applyFill="1" applyBorder="1"/>
    <xf numFmtId="0" fontId="50" fillId="2" borderId="0" xfId="3" applyFont="1" applyFill="1"/>
    <xf numFmtId="0" fontId="15" fillId="4" borderId="0" xfId="0" applyFont="1" applyFill="1"/>
    <xf numFmtId="0" fontId="4" fillId="2" borderId="0" xfId="0" applyFont="1" applyFill="1" applyAlignment="1">
      <alignment horizontal="center"/>
    </xf>
    <xf numFmtId="0" fontId="2" fillId="2" borderId="0" xfId="3" applyFont="1" applyFill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1" fontId="2" fillId="2" borderId="0" xfId="2" applyNumberFormat="1" applyFont="1" applyFill="1" applyAlignment="1">
      <alignment horizontal="center" wrapText="1"/>
    </xf>
    <xf numFmtId="49" fontId="1" fillId="2" borderId="2" xfId="7" applyNumberFormat="1" applyFont="1" applyFill="1" applyBorder="1" applyAlignment="1">
      <alignment horizontal="center"/>
    </xf>
    <xf numFmtId="49" fontId="1" fillId="2" borderId="9" xfId="7" applyNumberFormat="1" applyFont="1" applyFill="1" applyBorder="1" applyAlignment="1">
      <alignment horizontal="center"/>
    </xf>
    <xf numFmtId="49" fontId="1" fillId="2" borderId="3" xfId="7" applyNumberFormat="1" applyFont="1" applyFill="1" applyBorder="1" applyAlignment="1">
      <alignment horizontal="center"/>
    </xf>
    <xf numFmtId="167" fontId="1" fillId="2" borderId="1" xfId="7" applyNumberFormat="1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 vertical="center" wrapText="1"/>
    </xf>
    <xf numFmtId="49" fontId="1" fillId="2" borderId="1" xfId="7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0" xfId="1" applyNumberFormat="1" applyFont="1" applyFill="1"/>
    <xf numFmtId="0" fontId="20" fillId="2" borderId="0" xfId="1" applyFont="1" applyFill="1" applyAlignment="1">
      <alignment vertical="top" wrapText="1"/>
    </xf>
    <xf numFmtId="0" fontId="1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right" vertical="top" wrapText="1"/>
    </xf>
    <xf numFmtId="165" fontId="1" fillId="2" borderId="1" xfId="1" applyNumberFormat="1" applyFont="1" applyFill="1" applyBorder="1" applyAlignment="1"/>
    <xf numFmtId="0" fontId="6" fillId="2" borderId="1" xfId="7" applyFont="1" applyFill="1" applyBorder="1" applyAlignment="1">
      <alignment wrapText="1"/>
    </xf>
    <xf numFmtId="165" fontId="6" fillId="2" borderId="1" xfId="1" applyNumberFormat="1" applyFont="1" applyFill="1" applyBorder="1" applyAlignment="1">
      <alignment horizontal="right"/>
    </xf>
    <xf numFmtId="0" fontId="1" fillId="2" borderId="1" xfId="1" applyFont="1" applyFill="1" applyBorder="1"/>
    <xf numFmtId="0" fontId="8" fillId="2" borderId="1" xfId="7" applyFont="1" applyFill="1" applyBorder="1"/>
    <xf numFmtId="0" fontId="1" fillId="2" borderId="0" xfId="1" applyFont="1" applyFill="1" applyBorder="1"/>
    <xf numFmtId="0" fontId="6" fillId="2" borderId="0" xfId="7" applyFont="1" applyFill="1" applyBorder="1" applyAlignment="1">
      <alignment wrapText="1"/>
    </xf>
    <xf numFmtId="165" fontId="6" fillId="2" borderId="0" xfId="1" applyNumberFormat="1" applyFont="1" applyFill="1" applyBorder="1" applyAlignment="1">
      <alignment horizontal="right"/>
    </xf>
    <xf numFmtId="0" fontId="1" fillId="2" borderId="0" xfId="7" applyFont="1" applyFill="1"/>
    <xf numFmtId="1" fontId="1" fillId="2" borderId="0" xfId="7" applyNumberFormat="1" applyFont="1" applyFill="1"/>
    <xf numFmtId="3" fontId="1" fillId="2" borderId="0" xfId="7" applyNumberFormat="1" applyFont="1" applyFill="1" applyBorder="1"/>
    <xf numFmtId="169" fontId="1" fillId="2" borderId="0" xfId="1" applyNumberFormat="1" applyFont="1" applyFill="1" applyBorder="1" applyAlignment="1">
      <alignment horizontal="center"/>
    </xf>
    <xf numFmtId="167" fontId="3" fillId="2" borderId="0" xfId="3" applyNumberFormat="1" applyFont="1" applyFill="1" applyBorder="1" applyAlignment="1">
      <alignment horizontal="center" vertical="center"/>
    </xf>
    <xf numFmtId="1" fontId="3" fillId="2" borderId="0" xfId="7" applyNumberFormat="1" applyFont="1" applyFill="1" applyBorder="1" applyAlignment="1">
      <alignment horizontal="center"/>
    </xf>
    <xf numFmtId="167" fontId="25" fillId="2" borderId="0" xfId="3" applyNumberFormat="1" applyFont="1" applyFill="1"/>
    <xf numFmtId="165" fontId="1" fillId="2" borderId="19" xfId="14" applyNumberFormat="1" applyFont="1" applyFill="1" applyBorder="1" applyAlignment="1">
      <alignment horizontal="right"/>
    </xf>
    <xf numFmtId="165" fontId="1" fillId="2" borderId="17" xfId="16" applyNumberFormat="1" applyFont="1" applyFill="1" applyBorder="1" applyAlignment="1">
      <alignment horizontal="right"/>
    </xf>
    <xf numFmtId="165" fontId="1" fillId="2" borderId="25" xfId="16" applyNumberFormat="1" applyFont="1" applyFill="1" applyBorder="1" applyAlignment="1">
      <alignment horizontal="right"/>
    </xf>
    <xf numFmtId="165" fontId="1" fillId="2" borderId="5" xfId="16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5" fontId="1" fillId="2" borderId="19" xfId="16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 wrapText="1"/>
    </xf>
    <xf numFmtId="165" fontId="3" fillId="4" borderId="1" xfId="0" applyNumberFormat="1" applyFont="1" applyFill="1" applyBorder="1" applyAlignment="1">
      <alignment horizontal="right" vertical="top"/>
    </xf>
    <xf numFmtId="0" fontId="6" fillId="4" borderId="0" xfId="0" applyFont="1" applyFill="1" applyAlignment="1">
      <alignment vertical="top"/>
    </xf>
    <xf numFmtId="0" fontId="1" fillId="2" borderId="1" xfId="0" applyFont="1" applyFill="1" applyBorder="1"/>
    <xf numFmtId="49" fontId="1" fillId="4" borderId="3" xfId="4" applyNumberFormat="1" applyFont="1" applyFill="1" applyBorder="1" applyAlignment="1" applyProtection="1">
      <alignment horizontal="left" wrapText="1"/>
      <protection hidden="1"/>
    </xf>
    <xf numFmtId="0" fontId="1" fillId="4" borderId="1" xfId="0" applyFont="1" applyFill="1" applyBorder="1"/>
    <xf numFmtId="0" fontId="19" fillId="4" borderId="0" xfId="0" applyFont="1" applyFill="1"/>
    <xf numFmtId="0" fontId="1" fillId="4" borderId="1" xfId="7" applyFont="1" applyFill="1" applyBorder="1" applyAlignment="1">
      <alignment horizontal="center" vertical="top"/>
    </xf>
    <xf numFmtId="49" fontId="46" fillId="4" borderId="3" xfId="0" applyNumberFormat="1" applyFont="1" applyFill="1" applyBorder="1" applyAlignment="1">
      <alignment wrapText="1"/>
    </xf>
    <xf numFmtId="49" fontId="46" fillId="4" borderId="2" xfId="0" applyNumberFormat="1" applyFont="1" applyFill="1" applyBorder="1" applyAlignment="1">
      <alignment horizontal="center"/>
    </xf>
    <xf numFmtId="49" fontId="46" fillId="4" borderId="9" xfId="0" applyNumberFormat="1" applyFont="1" applyFill="1" applyBorder="1" applyAlignment="1">
      <alignment horizontal="center"/>
    </xf>
    <xf numFmtId="49" fontId="46" fillId="4" borderId="3" xfId="0" applyNumberFormat="1" applyFont="1" applyFill="1" applyBorder="1" applyAlignment="1">
      <alignment horizontal="center"/>
    </xf>
    <xf numFmtId="0" fontId="46" fillId="4" borderId="1" xfId="0" applyFont="1" applyFill="1" applyBorder="1"/>
    <xf numFmtId="0" fontId="8" fillId="4" borderId="0" xfId="7" applyFont="1" applyFill="1"/>
    <xf numFmtId="165" fontId="1" fillId="4" borderId="16" xfId="16" applyNumberFormat="1" applyFont="1" applyFill="1" applyBorder="1" applyAlignment="1">
      <alignment horizontal="right"/>
    </xf>
    <xf numFmtId="165" fontId="6" fillId="4" borderId="1" xfId="1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65" fontId="13" fillId="2" borderId="0" xfId="3" applyNumberFormat="1" applyFont="1" applyFill="1"/>
    <xf numFmtId="0" fontId="1" fillId="2" borderId="21" xfId="16" applyFont="1" applyFill="1" applyBorder="1" applyAlignment="1">
      <alignment horizontal="center" vertical="top"/>
    </xf>
    <xf numFmtId="49" fontId="1" fillId="2" borderId="22" xfId="5" applyNumberFormat="1" applyFont="1" applyFill="1" applyBorder="1" applyAlignment="1">
      <alignment wrapText="1"/>
    </xf>
    <xf numFmtId="49" fontId="1" fillId="2" borderId="21" xfId="16" applyNumberFormat="1" applyFont="1" applyFill="1" applyBorder="1" applyAlignment="1">
      <alignment horizontal="center"/>
    </xf>
    <xf numFmtId="165" fontId="1" fillId="2" borderId="31" xfId="16" applyNumberFormat="1" applyFont="1" applyFill="1" applyBorder="1" applyAlignment="1">
      <alignment horizontal="right"/>
    </xf>
    <xf numFmtId="165" fontId="1" fillId="2" borderId="22" xfId="16" applyNumberFormat="1" applyFont="1" applyFill="1" applyBorder="1" applyAlignment="1">
      <alignment horizontal="right"/>
    </xf>
    <xf numFmtId="49" fontId="1" fillId="2" borderId="32" xfId="16" applyNumberFormat="1" applyFont="1" applyFill="1" applyBorder="1" applyAlignment="1">
      <alignment horizontal="center"/>
    </xf>
    <xf numFmtId="49" fontId="1" fillId="2" borderId="33" xfId="11" applyNumberFormat="1" applyFont="1" applyFill="1" applyBorder="1" applyAlignment="1">
      <alignment horizontal="center" wrapText="1"/>
    </xf>
    <xf numFmtId="49" fontId="1" fillId="2" borderId="33" xfId="11" applyNumberFormat="1" applyFont="1" applyFill="1" applyBorder="1" applyAlignment="1">
      <alignment horizontal="center"/>
    </xf>
    <xf numFmtId="49" fontId="1" fillId="2" borderId="23" xfId="11" applyNumberFormat="1" applyFont="1" applyFill="1" applyBorder="1" applyAlignment="1">
      <alignment horizontal="center"/>
    </xf>
    <xf numFmtId="49" fontId="1" fillId="2" borderId="34" xfId="16" applyNumberFormat="1" applyFont="1" applyFill="1" applyBorder="1" applyAlignment="1">
      <alignment horizontal="center"/>
    </xf>
    <xf numFmtId="49" fontId="1" fillId="2" borderId="31" xfId="6" applyNumberFormat="1" applyFont="1" applyFill="1" applyBorder="1" applyAlignment="1">
      <alignment horizontal="center"/>
    </xf>
    <xf numFmtId="49" fontId="1" fillId="2" borderId="35" xfId="14" applyNumberFormat="1" applyFont="1" applyFill="1" applyBorder="1" applyAlignment="1">
      <alignment horizontal="center"/>
    </xf>
    <xf numFmtId="49" fontId="1" fillId="2" borderId="22" xfId="14" applyNumberFormat="1" applyFont="1" applyFill="1" applyBorder="1" applyAlignment="1">
      <alignment horizontal="center"/>
    </xf>
    <xf numFmtId="165" fontId="1" fillId="2" borderId="13" xfId="7" applyNumberFormat="1" applyFont="1" applyFill="1" applyBorder="1" applyAlignment="1">
      <alignment horizontal="right"/>
    </xf>
    <xf numFmtId="49" fontId="1" fillId="2" borderId="4" xfId="5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vertical="top"/>
    </xf>
    <xf numFmtId="0" fontId="3" fillId="4" borderId="1" xfId="7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justify" vertical="top" wrapText="1"/>
    </xf>
    <xf numFmtId="166" fontId="1" fillId="4" borderId="1" xfId="1" applyNumberFormat="1" applyFont="1" applyFill="1" applyBorder="1" applyAlignment="1"/>
    <xf numFmtId="49" fontId="1" fillId="2" borderId="0" xfId="5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30" xfId="16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66" fontId="3" fillId="5" borderId="1" xfId="0" applyNumberFormat="1" applyFont="1" applyFill="1" applyBorder="1"/>
    <xf numFmtId="165" fontId="1" fillId="2" borderId="21" xfId="12" applyNumberFormat="1" applyFont="1" applyFill="1" applyBorder="1" applyAlignment="1">
      <alignment horizontal="center"/>
    </xf>
    <xf numFmtId="49" fontId="1" fillId="2" borderId="3" xfId="7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right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wrapText="1"/>
    </xf>
    <xf numFmtId="49" fontId="1" fillId="2" borderId="37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center" wrapText="1"/>
    </xf>
    <xf numFmtId="0" fontId="23" fillId="2" borderId="0" xfId="0" applyFont="1" applyFill="1" applyAlignment="1"/>
    <xf numFmtId="0" fontId="2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justify" wrapText="1"/>
    </xf>
    <xf numFmtId="169" fontId="1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top" wrapText="1"/>
    </xf>
    <xf numFmtId="0" fontId="3" fillId="0" borderId="0" xfId="3" applyFont="1" applyFill="1" applyAlignment="1">
      <alignment horizontal="right" wrapText="1"/>
    </xf>
    <xf numFmtId="0" fontId="1" fillId="0" borderId="0" xfId="7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7" applyFont="1" applyFill="1" applyBorder="1" applyAlignment="1">
      <alignment horizontal="left"/>
    </xf>
    <xf numFmtId="0" fontId="0" fillId="0" borderId="0" xfId="0" applyAlignment="1"/>
    <xf numFmtId="0" fontId="1" fillId="0" borderId="0" xfId="7" applyFont="1" applyFill="1" applyAlignment="1">
      <alignment horizontal="left"/>
    </xf>
    <xf numFmtId="0" fontId="2" fillId="0" borderId="0" xfId="3" applyFont="1" applyFill="1" applyAlignment="1">
      <alignment horizontal="center"/>
    </xf>
    <xf numFmtId="0" fontId="2" fillId="2" borderId="0" xfId="3" applyFont="1" applyFill="1" applyAlignment="1">
      <alignment horizontal="center"/>
    </xf>
    <xf numFmtId="0" fontId="7" fillId="2" borderId="0" xfId="7" applyFont="1" applyFill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1" fontId="2" fillId="2" borderId="0" xfId="2" applyNumberFormat="1" applyFont="1" applyFill="1" applyAlignment="1">
      <alignment horizontal="center" wrapText="1"/>
    </xf>
    <xf numFmtId="49" fontId="1" fillId="2" borderId="6" xfId="7" applyNumberFormat="1" applyFont="1" applyFill="1" applyBorder="1" applyAlignment="1">
      <alignment horizontal="center" vertical="center"/>
    </xf>
    <xf numFmtId="49" fontId="1" fillId="2" borderId="7" xfId="7" applyNumberFormat="1" applyFont="1" applyFill="1" applyBorder="1" applyAlignment="1">
      <alignment horizontal="center" vertical="center"/>
    </xf>
    <xf numFmtId="49" fontId="1" fillId="2" borderId="8" xfId="7" applyNumberFormat="1" applyFont="1" applyFill="1" applyBorder="1" applyAlignment="1">
      <alignment horizontal="center" vertical="center"/>
    </xf>
    <xf numFmtId="49" fontId="1" fillId="2" borderId="2" xfId="7" applyNumberFormat="1" applyFont="1" applyFill="1" applyBorder="1" applyAlignment="1">
      <alignment horizontal="center"/>
    </xf>
    <xf numFmtId="49" fontId="1" fillId="2" borderId="9" xfId="7" applyNumberFormat="1" applyFont="1" applyFill="1" applyBorder="1" applyAlignment="1">
      <alignment horizontal="center"/>
    </xf>
    <xf numFmtId="49" fontId="1" fillId="2" borderId="3" xfId="7" applyNumberFormat="1" applyFont="1" applyFill="1" applyBorder="1" applyAlignment="1">
      <alignment horizontal="center"/>
    </xf>
    <xf numFmtId="167" fontId="1" fillId="2" borderId="1" xfId="7" applyNumberFormat="1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 vertical="center" wrapText="1"/>
    </xf>
    <xf numFmtId="49" fontId="1" fillId="2" borderId="1" xfId="7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3" applyFont="1" applyFill="1" applyBorder="1" applyAlignment="1">
      <alignment horizontal="center" vertical="center"/>
    </xf>
    <xf numFmtId="0" fontId="1" fillId="2" borderId="13" xfId="3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31" fillId="2" borderId="5" xfId="0" applyNumberFormat="1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8" fontId="18" fillId="2" borderId="1" xfId="0" applyNumberFormat="1" applyFont="1" applyFill="1" applyBorder="1" applyAlignment="1">
      <alignment horizontal="center" vertical="center" wrapText="1"/>
    </xf>
    <xf numFmtId="168" fontId="3" fillId="2" borderId="6" xfId="0" applyNumberFormat="1" applyFont="1" applyFill="1" applyBorder="1" applyAlignment="1">
      <alignment horizontal="center" vertical="center" wrapText="1"/>
    </xf>
    <xf numFmtId="49" fontId="42" fillId="2" borderId="5" xfId="0" applyNumberFormat="1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center" wrapText="1"/>
    </xf>
    <xf numFmtId="0" fontId="18" fillId="2" borderId="0" xfId="7" applyFont="1" applyFill="1" applyAlignment="1">
      <alignment horizontal="center" wrapText="1"/>
    </xf>
    <xf numFmtId="167" fontId="3" fillId="0" borderId="2" xfId="7" applyNumberFormat="1" applyFont="1" applyFill="1" applyBorder="1" applyAlignment="1">
      <alignment horizontal="center"/>
    </xf>
    <xf numFmtId="167" fontId="3" fillId="0" borderId="3" xfId="7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67" fontId="3" fillId="0" borderId="1" xfId="7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7" applyFont="1" applyFill="1" applyAlignment="1">
      <alignment horizontal="center" wrapText="1"/>
    </xf>
    <xf numFmtId="0" fontId="1" fillId="0" borderId="2" xfId="7" applyFont="1" applyFill="1" applyBorder="1" applyAlignment="1">
      <alignment horizontal="center" vertical="center"/>
    </xf>
    <xf numFmtId="0" fontId="18" fillId="0" borderId="9" xfId="7" applyFont="1" applyFill="1" applyBorder="1" applyAlignment="1">
      <alignment horizontal="center"/>
    </xf>
    <xf numFmtId="0" fontId="18" fillId="0" borderId="3" xfId="7" applyFont="1" applyFill="1" applyBorder="1" applyAlignment="1">
      <alignment horizontal="center"/>
    </xf>
    <xf numFmtId="0" fontId="2" fillId="0" borderId="2" xfId="7" applyFont="1" applyFill="1" applyBorder="1" applyAlignment="1"/>
    <xf numFmtId="0" fontId="18" fillId="0" borderId="9" xfId="7" applyFont="1" applyFill="1" applyBorder="1" applyAlignment="1"/>
    <xf numFmtId="0" fontId="18" fillId="0" borderId="3" xfId="7" applyFont="1" applyFill="1" applyBorder="1" applyAlignment="1"/>
    <xf numFmtId="0" fontId="1" fillId="0" borderId="9" xfId="7" applyFont="1" applyFill="1" applyBorder="1" applyAlignment="1">
      <alignment horizontal="center" vertical="center"/>
    </xf>
    <xf numFmtId="0" fontId="1" fillId="0" borderId="3" xfId="7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" xfId="3" applyFont="1" applyBorder="1" applyAlignment="1">
      <alignment horizontal="center" wrapText="1"/>
    </xf>
    <xf numFmtId="0" fontId="1" fillId="0" borderId="1" xfId="3" applyFont="1" applyBorder="1" applyAlignment="1">
      <alignment horizontal="center" vertical="justify"/>
    </xf>
    <xf numFmtId="0" fontId="2" fillId="0" borderId="0" xfId="3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3" applyFont="1" applyAlignment="1">
      <alignment horizontal="center" wrapText="1"/>
    </xf>
    <xf numFmtId="0" fontId="17" fillId="0" borderId="0" xfId="0" applyFont="1" applyAlignment="1">
      <alignment wrapText="1"/>
    </xf>
    <xf numFmtId="0" fontId="1" fillId="0" borderId="0" xfId="3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" fillId="0" borderId="2" xfId="3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 vertical="justify" wrapText="1"/>
    </xf>
    <xf numFmtId="0" fontId="1" fillId="0" borderId="0" xfId="3" applyFont="1" applyAlignment="1">
      <alignment wrapText="1"/>
    </xf>
    <xf numFmtId="0" fontId="18" fillId="0" borderId="0" xfId="0" applyFont="1" applyAlignment="1">
      <alignment wrapText="1"/>
    </xf>
    <xf numFmtId="0" fontId="1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/>
    <xf numFmtId="0" fontId="3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5" xfId="3" applyFont="1" applyBorder="1" applyAlignment="1">
      <alignment horizontal="center" vertical="justify"/>
    </xf>
    <xf numFmtId="0" fontId="1" fillId="0" borderId="12" xfId="3" applyFont="1" applyBorder="1" applyAlignment="1">
      <alignment horizontal="center" vertical="justify"/>
    </xf>
    <xf numFmtId="0" fontId="1" fillId="0" borderId="13" xfId="3" applyFont="1" applyBorder="1" applyAlignment="1">
      <alignment horizontal="center" vertical="justify"/>
    </xf>
    <xf numFmtId="0" fontId="17" fillId="0" borderId="0" xfId="0" applyFont="1" applyAlignment="1">
      <alignment horizontal="center" wrapText="1"/>
    </xf>
    <xf numFmtId="0" fontId="1" fillId="0" borderId="5" xfId="3" applyFont="1" applyBorder="1" applyAlignment="1">
      <alignment horizontal="center" vertical="center" wrapText="1"/>
    </xf>
    <xf numFmtId="0" fontId="1" fillId="0" borderId="13" xfId="3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</cellXfs>
  <cellStyles count="20">
    <cellStyle name="Excel Built-in Normal" xfId="5"/>
    <cellStyle name="Excel Built-in Normal 1" xfId="11"/>
    <cellStyle name="Excel Built-in Normal 2" xfId="14"/>
    <cellStyle name="Excel Built-in Normal 3" xfId="16"/>
    <cellStyle name="Обычный" xfId="0" builtinId="0"/>
    <cellStyle name="Обычный 2" xfId="7"/>
    <cellStyle name="Обычный 2 2" xfId="8"/>
    <cellStyle name="Обычный 2 2 2" xfId="4"/>
    <cellStyle name="Обычный 2 2 3" xfId="18"/>
    <cellStyle name="Обычный 3" xfId="15"/>
    <cellStyle name="Обычный 3 2" xfId="17"/>
    <cellStyle name="Обычный_ведомственная  и прилож. на 2008 год без краевых-2" xfId="9"/>
    <cellStyle name="Обычный_ведомственная  и прилож. на 2008 год без краевых-2 2" xfId="12"/>
    <cellStyle name="Обычный_ведомственная  и прилож. на 2008 год без краевых-2 2 2" xfId="6"/>
    <cellStyle name="Обычный_Приложение № 2 к проекту бюджета" xfId="1"/>
    <cellStyle name="Обычный_расчеты к бю.джету1" xfId="2"/>
    <cellStyle name="Обычный_Функциональная структура расходов бюджета на 2005 год" xfId="3"/>
    <cellStyle name="Финансовый" xfId="19" builtinId="3"/>
    <cellStyle name="Финансовый [0]" xfId="13" builtinId="6"/>
    <cellStyle name="Финансовый 2" xfId="10"/>
  </cellStyles>
  <dxfs count="0"/>
  <tableStyles count="0" defaultTableStyle="TableStyleMedium2" defaultPivotStyle="PivotStyleMedium9"/>
  <colors>
    <mruColors>
      <color rgb="FFFFFFCC"/>
      <color rgb="FF8A0000"/>
      <color rgb="FF0000FF"/>
      <color rgb="FF99FF99"/>
      <color rgb="FFCCECFF"/>
      <color rgb="FFFFCC00"/>
      <color rgb="FFFFCCFF"/>
      <color rgb="FF66FFFF"/>
      <color rgb="FFCCFF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5"/>
  <sheetViews>
    <sheetView zoomScale="80" zoomScaleNormal="80" workbookViewId="0">
      <selection activeCell="C2" sqref="C2"/>
    </sheetView>
  </sheetViews>
  <sheetFormatPr defaultColWidth="8.85546875" defaultRowHeight="15"/>
  <cols>
    <col min="1" max="1" width="19.140625" style="459" customWidth="1"/>
    <col min="2" max="2" width="27.5703125" style="459" customWidth="1"/>
    <col min="3" max="3" width="65.28515625" style="456" customWidth="1"/>
    <col min="4" max="4" width="8.85546875" style="165" customWidth="1"/>
    <col min="5" max="16384" width="8.85546875" style="165"/>
  </cols>
  <sheetData>
    <row r="1" spans="1:4" s="514" customFormat="1" ht="18.75">
      <c r="A1" s="165"/>
      <c r="B1" s="165"/>
      <c r="C1" s="404" t="s">
        <v>408</v>
      </c>
    </row>
    <row r="2" spans="1:4" s="514" customFormat="1" ht="18.75">
      <c r="A2" s="165"/>
      <c r="B2" s="165"/>
      <c r="C2" s="404" t="s">
        <v>1035</v>
      </c>
    </row>
    <row r="4" spans="1:4" ht="18.75">
      <c r="C4" s="455" t="s">
        <v>408</v>
      </c>
    </row>
    <row r="5" spans="1:4" ht="18.75">
      <c r="C5" s="455" t="s">
        <v>914</v>
      </c>
    </row>
    <row r="6" spans="1:4" ht="15" customHeight="1">
      <c r="C6" s="455"/>
    </row>
    <row r="7" spans="1:4" ht="62.25" customHeight="1">
      <c r="A7" s="826" t="s">
        <v>732</v>
      </c>
      <c r="B7" s="827"/>
      <c r="C7" s="827"/>
    </row>
    <row r="9" spans="1:4">
      <c r="A9" s="828"/>
      <c r="B9" s="828"/>
    </row>
    <row r="10" spans="1:4" ht="36" customHeight="1">
      <c r="A10" s="831" t="s">
        <v>0</v>
      </c>
      <c r="B10" s="832"/>
      <c r="C10" s="829" t="s">
        <v>364</v>
      </c>
    </row>
    <row r="11" spans="1:4" ht="225">
      <c r="A11" s="173" t="s">
        <v>676</v>
      </c>
      <c r="B11" s="173" t="s">
        <v>677</v>
      </c>
      <c r="C11" s="830"/>
    </row>
    <row r="12" spans="1:4" ht="18.75">
      <c r="A12" s="173">
        <v>1</v>
      </c>
      <c r="B12" s="173">
        <v>2</v>
      </c>
      <c r="C12" s="168">
        <v>3</v>
      </c>
    </row>
    <row r="13" spans="1:4" ht="54" customHeight="1">
      <c r="A13" s="451">
        <v>804</v>
      </c>
      <c r="B13" s="173"/>
      <c r="C13" s="175" t="s">
        <v>695</v>
      </c>
    </row>
    <row r="14" spans="1:4" ht="93.75" customHeight="1">
      <c r="A14" s="173">
        <v>804</v>
      </c>
      <c r="B14" s="173" t="s">
        <v>634</v>
      </c>
      <c r="C14" s="170" t="s">
        <v>839</v>
      </c>
      <c r="D14" s="530"/>
    </row>
    <row r="15" spans="1:4" ht="23.25" customHeight="1">
      <c r="A15" s="451">
        <v>816</v>
      </c>
      <c r="B15" s="451"/>
      <c r="C15" s="175" t="s">
        <v>696</v>
      </c>
    </row>
    <row r="16" spans="1:4" ht="103.5" customHeight="1">
      <c r="A16" s="173">
        <v>816</v>
      </c>
      <c r="B16" s="173" t="s">
        <v>634</v>
      </c>
      <c r="C16" s="170" t="s">
        <v>839</v>
      </c>
    </row>
    <row r="17" spans="1:3" ht="56.25">
      <c r="A17" s="451">
        <v>819</v>
      </c>
      <c r="B17" s="173"/>
      <c r="C17" s="175" t="s">
        <v>697</v>
      </c>
    </row>
    <row r="18" spans="1:3" ht="93.75" customHeight="1">
      <c r="A18" s="173">
        <v>819</v>
      </c>
      <c r="B18" s="173" t="s">
        <v>634</v>
      </c>
      <c r="C18" s="170" t="s">
        <v>839</v>
      </c>
    </row>
    <row r="19" spans="1:3" ht="37.5">
      <c r="A19" s="451">
        <v>821</v>
      </c>
      <c r="B19" s="173"/>
      <c r="C19" s="175" t="s">
        <v>698</v>
      </c>
    </row>
    <row r="20" spans="1:3" ht="94.5" customHeight="1">
      <c r="A20" s="173">
        <v>821</v>
      </c>
      <c r="B20" s="173" t="s">
        <v>634</v>
      </c>
      <c r="C20" s="170" t="s">
        <v>839</v>
      </c>
    </row>
    <row r="21" spans="1:3" ht="35.25" customHeight="1">
      <c r="A21" s="451">
        <v>828</v>
      </c>
      <c r="B21" s="173"/>
      <c r="C21" s="175" t="s">
        <v>699</v>
      </c>
    </row>
    <row r="22" spans="1:3" ht="97.5" customHeight="1">
      <c r="A22" s="173">
        <v>828</v>
      </c>
      <c r="B22" s="173" t="s">
        <v>634</v>
      </c>
      <c r="C22" s="170" t="s">
        <v>839</v>
      </c>
    </row>
    <row r="23" spans="1:3" ht="37.5">
      <c r="A23" s="452">
        <v>830</v>
      </c>
      <c r="B23" s="173"/>
      <c r="C23" s="175" t="s">
        <v>700</v>
      </c>
    </row>
    <row r="24" spans="1:3" ht="99" customHeight="1">
      <c r="A24" s="173">
        <v>830</v>
      </c>
      <c r="B24" s="173" t="s">
        <v>634</v>
      </c>
      <c r="C24" s="170" t="s">
        <v>839</v>
      </c>
    </row>
    <row r="25" spans="1:3" ht="18.75">
      <c r="A25" s="452">
        <v>833</v>
      </c>
      <c r="B25" s="173"/>
      <c r="C25" s="175" t="s">
        <v>701</v>
      </c>
    </row>
    <row r="26" spans="1:3" ht="94.5" customHeight="1">
      <c r="A26" s="173">
        <v>833</v>
      </c>
      <c r="B26" s="173" t="s">
        <v>634</v>
      </c>
      <c r="C26" s="170" t="s">
        <v>839</v>
      </c>
    </row>
    <row r="27" spans="1:3" ht="37.5">
      <c r="A27" s="451">
        <v>835</v>
      </c>
      <c r="B27" s="173"/>
      <c r="C27" s="175" t="s">
        <v>702</v>
      </c>
    </row>
    <row r="28" spans="1:3" ht="94.5" customHeight="1">
      <c r="A28" s="173">
        <v>835</v>
      </c>
      <c r="B28" s="173" t="s">
        <v>634</v>
      </c>
      <c r="C28" s="170" t="s">
        <v>839</v>
      </c>
    </row>
    <row r="29" spans="1:3" ht="37.5">
      <c r="A29" s="452">
        <v>836</v>
      </c>
      <c r="B29" s="173"/>
      <c r="C29" s="175" t="s">
        <v>703</v>
      </c>
    </row>
    <row r="30" spans="1:3" ht="112.5" customHeight="1">
      <c r="A30" s="173">
        <v>836</v>
      </c>
      <c r="B30" s="173" t="s">
        <v>704</v>
      </c>
      <c r="C30" s="170" t="s">
        <v>846</v>
      </c>
    </row>
    <row r="31" spans="1:3" ht="168.75">
      <c r="A31" s="173">
        <v>836</v>
      </c>
      <c r="B31" s="173" t="s">
        <v>705</v>
      </c>
      <c r="C31" s="170" t="s">
        <v>847</v>
      </c>
    </row>
    <row r="32" spans="1:3" ht="113.25" customHeight="1">
      <c r="A32" s="173">
        <v>836</v>
      </c>
      <c r="B32" s="173" t="s">
        <v>706</v>
      </c>
      <c r="C32" s="170" t="s">
        <v>848</v>
      </c>
    </row>
    <row r="33" spans="1:3" ht="129" customHeight="1">
      <c r="A33" s="173">
        <v>836</v>
      </c>
      <c r="B33" s="173" t="s">
        <v>707</v>
      </c>
      <c r="C33" s="170" t="s">
        <v>849</v>
      </c>
    </row>
    <row r="34" spans="1:3" ht="117" customHeight="1">
      <c r="A34" s="173">
        <v>836</v>
      </c>
      <c r="B34" s="173" t="s">
        <v>708</v>
      </c>
      <c r="C34" s="170" t="s">
        <v>850</v>
      </c>
    </row>
    <row r="35" spans="1:3" ht="112.5" customHeight="1">
      <c r="A35" s="173">
        <v>836</v>
      </c>
      <c r="B35" s="173" t="s">
        <v>709</v>
      </c>
      <c r="C35" s="170" t="s">
        <v>851</v>
      </c>
    </row>
    <row r="36" spans="1:3" ht="112.5" customHeight="1">
      <c r="A36" s="173">
        <v>836</v>
      </c>
      <c r="B36" s="173" t="s">
        <v>710</v>
      </c>
      <c r="C36" s="170" t="s">
        <v>852</v>
      </c>
    </row>
    <row r="37" spans="1:3" ht="110.25" customHeight="1">
      <c r="A37" s="173">
        <v>836</v>
      </c>
      <c r="B37" s="173" t="s">
        <v>712</v>
      </c>
      <c r="C37" s="170" t="s">
        <v>854</v>
      </c>
    </row>
    <row r="38" spans="1:3" ht="132" customHeight="1">
      <c r="A38" s="173">
        <v>836</v>
      </c>
      <c r="B38" s="173" t="s">
        <v>713</v>
      </c>
      <c r="C38" s="201" t="s">
        <v>855</v>
      </c>
    </row>
    <row r="39" spans="1:3" ht="171.75" customHeight="1">
      <c r="A39" s="173">
        <v>836</v>
      </c>
      <c r="B39" s="173" t="s">
        <v>714</v>
      </c>
      <c r="C39" s="170" t="s">
        <v>856</v>
      </c>
    </row>
    <row r="40" spans="1:3" ht="131.25">
      <c r="A40" s="173">
        <v>836</v>
      </c>
      <c r="B40" s="173" t="s">
        <v>715</v>
      </c>
      <c r="C40" s="170" t="s">
        <v>840</v>
      </c>
    </row>
    <row r="41" spans="1:3" ht="114" customHeight="1">
      <c r="A41" s="173">
        <v>836</v>
      </c>
      <c r="B41" s="173" t="s">
        <v>716</v>
      </c>
      <c r="C41" s="170" t="s">
        <v>841</v>
      </c>
    </row>
    <row r="42" spans="1:3" ht="168" customHeight="1">
      <c r="A42" s="173">
        <v>836</v>
      </c>
      <c r="B42" s="173" t="s">
        <v>717</v>
      </c>
      <c r="C42" s="170" t="s">
        <v>842</v>
      </c>
    </row>
    <row r="43" spans="1:3" ht="111.75" customHeight="1">
      <c r="A43" s="173">
        <v>836</v>
      </c>
      <c r="B43" s="173" t="s">
        <v>718</v>
      </c>
      <c r="C43" s="170" t="s">
        <v>843</v>
      </c>
    </row>
    <row r="44" spans="1:3" ht="129" customHeight="1">
      <c r="A44" s="173">
        <v>836</v>
      </c>
      <c r="B44" s="173" t="s">
        <v>719</v>
      </c>
      <c r="C44" s="170" t="s">
        <v>844</v>
      </c>
    </row>
    <row r="45" spans="1:3" ht="195" customHeight="1">
      <c r="A45" s="173">
        <v>836</v>
      </c>
      <c r="B45" s="173" t="s">
        <v>904</v>
      </c>
      <c r="C45" s="170" t="s">
        <v>905</v>
      </c>
    </row>
    <row r="46" spans="1:3" ht="37.5">
      <c r="A46" s="451">
        <v>840</v>
      </c>
      <c r="B46" s="173"/>
      <c r="C46" s="175" t="s">
        <v>720</v>
      </c>
    </row>
    <row r="47" spans="1:3" ht="93" customHeight="1">
      <c r="A47" s="173">
        <v>840</v>
      </c>
      <c r="B47" s="173" t="s">
        <v>634</v>
      </c>
      <c r="C47" s="170" t="s">
        <v>839</v>
      </c>
    </row>
    <row r="48" spans="1:3" ht="37.5">
      <c r="A48" s="451">
        <v>854</v>
      </c>
      <c r="B48" s="173"/>
      <c r="C48" s="175" t="s">
        <v>721</v>
      </c>
    </row>
    <row r="49" spans="1:6" ht="91.15" customHeight="1">
      <c r="A49" s="173">
        <v>854</v>
      </c>
      <c r="B49" s="173" t="s">
        <v>634</v>
      </c>
      <c r="C49" s="170" t="s">
        <v>839</v>
      </c>
    </row>
    <row r="50" spans="1:6" ht="94.15" customHeight="1">
      <c r="A50" s="173">
        <v>854</v>
      </c>
      <c r="B50" s="173" t="s">
        <v>742</v>
      </c>
      <c r="C50" s="170" t="s">
        <v>743</v>
      </c>
    </row>
    <row r="51" spans="1:6" ht="149.44999999999999" customHeight="1">
      <c r="A51" s="173">
        <v>854</v>
      </c>
      <c r="B51" s="173" t="s">
        <v>744</v>
      </c>
      <c r="C51" s="170" t="s">
        <v>845</v>
      </c>
    </row>
    <row r="52" spans="1:6" ht="37.5">
      <c r="A52" s="452">
        <v>902</v>
      </c>
      <c r="B52" s="460"/>
      <c r="C52" s="175" t="s">
        <v>1</v>
      </c>
    </row>
    <row r="53" spans="1:6" s="164" customFormat="1" ht="37.5">
      <c r="A53" s="460">
        <v>902</v>
      </c>
      <c r="B53" s="460" t="s">
        <v>611</v>
      </c>
      <c r="C53" s="170" t="s">
        <v>612</v>
      </c>
      <c r="D53" s="163"/>
      <c r="E53" s="163"/>
      <c r="F53" s="163"/>
    </row>
    <row r="54" spans="1:6" s="164" customFormat="1" ht="56.25">
      <c r="A54" s="460">
        <v>902</v>
      </c>
      <c r="B54" s="460" t="s">
        <v>613</v>
      </c>
      <c r="C54" s="170" t="s">
        <v>614</v>
      </c>
      <c r="D54" s="163"/>
      <c r="E54" s="163"/>
      <c r="F54" s="163"/>
    </row>
    <row r="55" spans="1:6" s="164" customFormat="1" ht="91.15" customHeight="1">
      <c r="A55" s="460">
        <v>902</v>
      </c>
      <c r="B55" s="460" t="s">
        <v>674</v>
      </c>
      <c r="C55" s="170" t="s">
        <v>675</v>
      </c>
      <c r="D55" s="163"/>
      <c r="E55" s="163"/>
      <c r="F55" s="163"/>
    </row>
    <row r="56" spans="1:6" s="164" customFormat="1" ht="52.5" customHeight="1">
      <c r="A56" s="460">
        <v>902</v>
      </c>
      <c r="B56" s="460" t="s">
        <v>615</v>
      </c>
      <c r="C56" s="170" t="s">
        <v>30</v>
      </c>
      <c r="D56" s="163"/>
      <c r="E56" s="163"/>
      <c r="F56" s="163"/>
    </row>
    <row r="57" spans="1:6" s="164" customFormat="1" ht="39.75" customHeight="1">
      <c r="A57" s="460">
        <v>902</v>
      </c>
      <c r="B57" s="460" t="s">
        <v>616</v>
      </c>
      <c r="C57" s="170" t="s">
        <v>617</v>
      </c>
      <c r="D57" s="163"/>
      <c r="E57" s="163"/>
      <c r="F57" s="163"/>
    </row>
    <row r="58" spans="1:6" ht="113.25" customHeight="1">
      <c r="A58" s="173">
        <v>902</v>
      </c>
      <c r="B58" s="173" t="s">
        <v>704</v>
      </c>
      <c r="C58" s="170" t="s">
        <v>846</v>
      </c>
    </row>
    <row r="59" spans="1:6" ht="168.75">
      <c r="A59" s="173">
        <v>902</v>
      </c>
      <c r="B59" s="173" t="s">
        <v>705</v>
      </c>
      <c r="C59" s="170" t="s">
        <v>847</v>
      </c>
    </row>
    <row r="60" spans="1:6" ht="111.75" customHeight="1">
      <c r="A60" s="173">
        <v>902</v>
      </c>
      <c r="B60" s="173" t="s">
        <v>706</v>
      </c>
      <c r="C60" s="170" t="s">
        <v>848</v>
      </c>
    </row>
    <row r="61" spans="1:6" s="532" customFormat="1" ht="112.9" customHeight="1">
      <c r="A61" s="460">
        <v>902</v>
      </c>
      <c r="B61" s="460" t="s">
        <v>731</v>
      </c>
      <c r="C61" s="170" t="s">
        <v>857</v>
      </c>
      <c r="D61" s="531"/>
      <c r="E61" s="531"/>
      <c r="F61" s="531"/>
    </row>
    <row r="62" spans="1:6" s="164" customFormat="1" ht="110.45" customHeight="1">
      <c r="A62" s="460">
        <v>902</v>
      </c>
      <c r="B62" s="460" t="s">
        <v>710</v>
      </c>
      <c r="C62" s="170" t="s">
        <v>858</v>
      </c>
      <c r="D62" s="163"/>
      <c r="E62" s="163"/>
      <c r="F62" s="163"/>
    </row>
    <row r="63" spans="1:6" s="513" customFormat="1" ht="109.9" customHeight="1">
      <c r="A63" s="460">
        <v>902</v>
      </c>
      <c r="B63" s="460" t="s">
        <v>711</v>
      </c>
      <c r="C63" s="170" t="s">
        <v>853</v>
      </c>
      <c r="D63" s="512"/>
      <c r="E63" s="512"/>
      <c r="F63" s="512"/>
    </row>
    <row r="64" spans="1:6" s="513" customFormat="1" ht="131.25">
      <c r="A64" s="460">
        <v>902</v>
      </c>
      <c r="B64" s="460" t="s">
        <v>716</v>
      </c>
      <c r="C64" s="201" t="s">
        <v>841</v>
      </c>
      <c r="D64" s="512"/>
      <c r="E64" s="512"/>
      <c r="F64" s="512"/>
    </row>
    <row r="65" spans="1:6" s="164" customFormat="1" ht="113.25" customHeight="1">
      <c r="A65" s="460">
        <v>902</v>
      </c>
      <c r="B65" s="460" t="s">
        <v>718</v>
      </c>
      <c r="C65" s="170" t="s">
        <v>859</v>
      </c>
      <c r="D65" s="163"/>
      <c r="E65" s="163"/>
      <c r="F65" s="163"/>
    </row>
    <row r="66" spans="1:6" s="164" customFormat="1" ht="132.75" customHeight="1">
      <c r="A66" s="460">
        <v>902</v>
      </c>
      <c r="B66" s="460" t="s">
        <v>719</v>
      </c>
      <c r="C66" s="170" t="s">
        <v>860</v>
      </c>
      <c r="D66" s="163"/>
      <c r="E66" s="163"/>
      <c r="F66" s="163"/>
    </row>
    <row r="67" spans="1:6" s="164" customFormat="1" ht="112.5" customHeight="1">
      <c r="A67" s="173">
        <v>902</v>
      </c>
      <c r="B67" s="173" t="s">
        <v>618</v>
      </c>
      <c r="C67" s="170" t="s">
        <v>619</v>
      </c>
      <c r="D67" s="163"/>
      <c r="E67" s="163"/>
      <c r="F67" s="163"/>
    </row>
    <row r="68" spans="1:6" s="164" customFormat="1" ht="112.15" customHeight="1">
      <c r="A68" s="173">
        <v>902</v>
      </c>
      <c r="B68" s="173" t="s">
        <v>620</v>
      </c>
      <c r="C68" s="170" t="s">
        <v>621</v>
      </c>
      <c r="D68" s="163"/>
      <c r="E68" s="163"/>
      <c r="F68" s="163"/>
    </row>
    <row r="69" spans="1:6" s="164" customFormat="1" ht="72.75" customHeight="1">
      <c r="A69" s="173">
        <v>902</v>
      </c>
      <c r="B69" s="173" t="s">
        <v>622</v>
      </c>
      <c r="C69" s="170" t="s">
        <v>623</v>
      </c>
      <c r="D69" s="163"/>
      <c r="E69" s="163"/>
      <c r="F69" s="163"/>
    </row>
    <row r="70" spans="1:6" s="164" customFormat="1" ht="75">
      <c r="A70" s="173">
        <v>902</v>
      </c>
      <c r="B70" s="173" t="s">
        <v>624</v>
      </c>
      <c r="C70" s="170" t="s">
        <v>625</v>
      </c>
      <c r="D70" s="163"/>
      <c r="E70" s="163"/>
      <c r="F70" s="163"/>
    </row>
    <row r="71" spans="1:6" s="164" customFormat="1" ht="214.15" customHeight="1">
      <c r="A71" s="173">
        <v>902</v>
      </c>
      <c r="B71" s="173" t="s">
        <v>626</v>
      </c>
      <c r="C71" s="170" t="s">
        <v>627</v>
      </c>
      <c r="D71" s="163"/>
      <c r="E71" s="163"/>
      <c r="F71" s="163"/>
    </row>
    <row r="72" spans="1:6" s="164" customFormat="1" ht="208.5" customHeight="1">
      <c r="A72" s="173">
        <v>902</v>
      </c>
      <c r="B72" s="173" t="s">
        <v>628</v>
      </c>
      <c r="C72" s="170" t="s">
        <v>629</v>
      </c>
      <c r="D72" s="163"/>
      <c r="E72" s="163"/>
      <c r="F72" s="163"/>
    </row>
    <row r="73" spans="1:6" s="164" customFormat="1" ht="153" customHeight="1">
      <c r="A73" s="173">
        <v>902</v>
      </c>
      <c r="B73" s="173" t="s">
        <v>630</v>
      </c>
      <c r="C73" s="170" t="s">
        <v>631</v>
      </c>
      <c r="D73" s="163"/>
      <c r="E73" s="163"/>
      <c r="F73" s="163"/>
    </row>
    <row r="74" spans="1:6" s="164" customFormat="1" ht="97.5" customHeight="1">
      <c r="A74" s="173">
        <v>902</v>
      </c>
      <c r="B74" s="173" t="s">
        <v>632</v>
      </c>
      <c r="C74" s="170" t="s">
        <v>633</v>
      </c>
      <c r="D74" s="163"/>
      <c r="E74" s="163"/>
      <c r="F74" s="163"/>
    </row>
    <row r="75" spans="1:6" s="454" customFormat="1" ht="97.5" customHeight="1">
      <c r="A75" s="173">
        <v>902</v>
      </c>
      <c r="B75" s="173" t="s">
        <v>634</v>
      </c>
      <c r="C75" s="201" t="s">
        <v>839</v>
      </c>
      <c r="D75" s="453"/>
      <c r="E75" s="453"/>
      <c r="F75" s="453"/>
    </row>
    <row r="76" spans="1:6" s="164" customFormat="1" ht="40.5" customHeight="1">
      <c r="A76" s="173">
        <v>902</v>
      </c>
      <c r="B76" s="173" t="s">
        <v>635</v>
      </c>
      <c r="C76" s="170" t="s">
        <v>2</v>
      </c>
      <c r="D76" s="163"/>
      <c r="E76" s="163"/>
      <c r="F76" s="163"/>
    </row>
    <row r="77" spans="1:6" s="164" customFormat="1" ht="37.5">
      <c r="A77" s="464" t="s">
        <v>3</v>
      </c>
      <c r="B77" s="460" t="s">
        <v>636</v>
      </c>
      <c r="C77" s="214" t="s">
        <v>529</v>
      </c>
      <c r="D77" s="163"/>
      <c r="E77" s="163"/>
      <c r="F77" s="163"/>
    </row>
    <row r="78" spans="1:6" s="164" customFormat="1" ht="38.25" customHeight="1">
      <c r="A78" s="460">
        <v>902</v>
      </c>
      <c r="B78" s="460" t="s">
        <v>748</v>
      </c>
      <c r="C78" s="214" t="s">
        <v>752</v>
      </c>
      <c r="D78" s="163"/>
      <c r="E78" s="163"/>
      <c r="F78" s="163"/>
    </row>
    <row r="79" spans="1:6" s="164" customFormat="1" ht="156" customHeight="1">
      <c r="A79" s="460">
        <v>902</v>
      </c>
      <c r="B79" s="460" t="s">
        <v>803</v>
      </c>
      <c r="C79" s="214" t="s">
        <v>802</v>
      </c>
      <c r="D79" s="163"/>
      <c r="E79" s="163"/>
      <c r="F79" s="163"/>
    </row>
    <row r="80" spans="1:6" s="164" customFormat="1" ht="117.6" customHeight="1">
      <c r="A80" s="460">
        <v>902</v>
      </c>
      <c r="B80" s="460" t="s">
        <v>805</v>
      </c>
      <c r="C80" s="214" t="s">
        <v>807</v>
      </c>
      <c r="D80" s="163"/>
      <c r="E80" s="163"/>
      <c r="F80" s="163"/>
    </row>
    <row r="81" spans="1:6" ht="27.75" customHeight="1">
      <c r="A81" s="173">
        <v>902</v>
      </c>
      <c r="B81" s="461" t="s">
        <v>542</v>
      </c>
      <c r="C81" s="170" t="s">
        <v>4</v>
      </c>
    </row>
    <row r="82" spans="1:6" ht="56.25">
      <c r="A82" s="173">
        <v>902</v>
      </c>
      <c r="B82" s="460" t="s">
        <v>543</v>
      </c>
      <c r="C82" s="170" t="s">
        <v>5</v>
      </c>
    </row>
    <row r="83" spans="1:6" ht="93.75">
      <c r="A83" s="173">
        <v>902</v>
      </c>
      <c r="B83" s="460" t="s">
        <v>544</v>
      </c>
      <c r="C83" s="170" t="s">
        <v>455</v>
      </c>
    </row>
    <row r="84" spans="1:6" ht="62.25" customHeight="1">
      <c r="A84" s="173">
        <v>902</v>
      </c>
      <c r="B84" s="460" t="s">
        <v>892</v>
      </c>
      <c r="C84" s="586" t="s">
        <v>893</v>
      </c>
    </row>
    <row r="85" spans="1:6" ht="117.75" customHeight="1">
      <c r="A85" s="460">
        <v>902</v>
      </c>
      <c r="B85" s="460" t="s">
        <v>637</v>
      </c>
      <c r="C85" s="214" t="s">
        <v>638</v>
      </c>
    </row>
    <row r="86" spans="1:6" ht="59.25" customHeight="1">
      <c r="A86" s="460">
        <v>902</v>
      </c>
      <c r="B86" s="460" t="s">
        <v>639</v>
      </c>
      <c r="C86" s="214" t="s">
        <v>640</v>
      </c>
    </row>
    <row r="87" spans="1:6" ht="39.75" customHeight="1">
      <c r="A87" s="460">
        <v>902</v>
      </c>
      <c r="B87" s="460" t="s">
        <v>641</v>
      </c>
      <c r="C87" s="214" t="s">
        <v>642</v>
      </c>
    </row>
    <row r="88" spans="1:6" ht="78" customHeight="1">
      <c r="A88" s="173">
        <v>902</v>
      </c>
      <c r="B88" s="460" t="s">
        <v>594</v>
      </c>
      <c r="C88" s="170" t="s">
        <v>456</v>
      </c>
    </row>
    <row r="89" spans="1:6" ht="75">
      <c r="A89" s="173">
        <v>902</v>
      </c>
      <c r="B89" s="460" t="s">
        <v>564</v>
      </c>
      <c r="C89" s="170" t="s">
        <v>457</v>
      </c>
    </row>
    <row r="90" spans="1:6" s="164" customFormat="1" ht="59.25" customHeight="1">
      <c r="A90" s="460">
        <v>902</v>
      </c>
      <c r="B90" s="460" t="s">
        <v>361</v>
      </c>
      <c r="C90" s="170" t="s">
        <v>861</v>
      </c>
      <c r="D90" s="163"/>
      <c r="E90" s="163"/>
      <c r="F90" s="163"/>
    </row>
    <row r="91" spans="1:6" s="164" customFormat="1" ht="56.25">
      <c r="A91" s="460">
        <v>902</v>
      </c>
      <c r="B91" s="460" t="s">
        <v>6</v>
      </c>
      <c r="C91" s="170" t="s">
        <v>7</v>
      </c>
      <c r="D91" s="163"/>
      <c r="E91" s="163"/>
      <c r="F91" s="163"/>
    </row>
    <row r="92" spans="1:6" s="164" customFormat="1" ht="75">
      <c r="A92" s="460">
        <v>902</v>
      </c>
      <c r="B92" s="460" t="s">
        <v>8</v>
      </c>
      <c r="C92" s="170" t="s">
        <v>878</v>
      </c>
      <c r="D92" s="163"/>
      <c r="E92" s="163"/>
      <c r="F92" s="163"/>
    </row>
    <row r="93" spans="1:6" s="164" customFormat="1" ht="58.9" customHeight="1">
      <c r="A93" s="173">
        <v>902</v>
      </c>
      <c r="B93" s="460" t="s">
        <v>9</v>
      </c>
      <c r="C93" s="170" t="s">
        <v>864</v>
      </c>
      <c r="D93" s="163"/>
      <c r="E93" s="163"/>
      <c r="F93" s="163"/>
    </row>
    <row r="94" spans="1:6" s="164" customFormat="1" ht="75">
      <c r="A94" s="173">
        <v>902</v>
      </c>
      <c r="B94" s="460" t="s">
        <v>418</v>
      </c>
      <c r="C94" s="170" t="s">
        <v>417</v>
      </c>
      <c r="D94" s="163"/>
      <c r="E94" s="163"/>
      <c r="F94" s="163"/>
    </row>
    <row r="95" spans="1:6" s="164" customFormat="1" ht="72" customHeight="1">
      <c r="A95" s="173">
        <v>902</v>
      </c>
      <c r="B95" s="460" t="s">
        <v>419</v>
      </c>
      <c r="C95" s="170" t="s">
        <v>420</v>
      </c>
      <c r="D95" s="163"/>
      <c r="E95" s="163"/>
      <c r="F95" s="163"/>
    </row>
    <row r="96" spans="1:6" ht="51.75" customHeight="1">
      <c r="A96" s="452">
        <v>905</v>
      </c>
      <c r="B96" s="460"/>
      <c r="C96" s="175" t="s">
        <v>10</v>
      </c>
    </row>
    <row r="97" spans="1:6" ht="39.75" customHeight="1">
      <c r="A97" s="460">
        <v>905</v>
      </c>
      <c r="B97" s="460" t="s">
        <v>615</v>
      </c>
      <c r="C97" s="170" t="s">
        <v>30</v>
      </c>
      <c r="D97" s="215"/>
      <c r="E97" s="215"/>
      <c r="F97" s="215"/>
    </row>
    <row r="98" spans="1:6" ht="40.5" customHeight="1">
      <c r="A98" s="460">
        <v>905</v>
      </c>
      <c r="B98" s="460" t="s">
        <v>616</v>
      </c>
      <c r="C98" s="170" t="s">
        <v>617</v>
      </c>
      <c r="D98" s="215"/>
      <c r="E98" s="215"/>
      <c r="F98" s="215"/>
    </row>
    <row r="99" spans="1:6" s="532" customFormat="1" ht="112.5">
      <c r="A99" s="460">
        <v>905</v>
      </c>
      <c r="B99" s="460" t="s">
        <v>731</v>
      </c>
      <c r="C99" s="170" t="s">
        <v>857</v>
      </c>
      <c r="D99" s="531"/>
      <c r="E99" s="531"/>
      <c r="F99" s="531"/>
    </row>
    <row r="100" spans="1:6" ht="187.5">
      <c r="A100" s="460">
        <v>905</v>
      </c>
      <c r="B100" s="460" t="s">
        <v>643</v>
      </c>
      <c r="C100" s="170" t="s">
        <v>866</v>
      </c>
      <c r="D100" s="215"/>
      <c r="E100" s="215"/>
      <c r="F100" s="215"/>
    </row>
    <row r="101" spans="1:6" ht="337.5">
      <c r="A101" s="460">
        <v>905</v>
      </c>
      <c r="B101" s="173" t="s">
        <v>644</v>
      </c>
      <c r="C101" s="170" t="s">
        <v>867</v>
      </c>
      <c r="D101" s="215"/>
      <c r="E101" s="215"/>
      <c r="F101" s="215"/>
    </row>
    <row r="102" spans="1:6" ht="112.5">
      <c r="A102" s="460">
        <v>905</v>
      </c>
      <c r="B102" s="460" t="s">
        <v>645</v>
      </c>
      <c r="C102" s="170" t="s">
        <v>868</v>
      </c>
      <c r="D102" s="215"/>
      <c r="E102" s="215"/>
      <c r="F102" s="215"/>
    </row>
    <row r="103" spans="1:6" s="164" customFormat="1" ht="62.25" customHeight="1">
      <c r="A103" s="173">
        <v>905</v>
      </c>
      <c r="B103" s="173" t="s">
        <v>624</v>
      </c>
      <c r="C103" s="170" t="s">
        <v>625</v>
      </c>
      <c r="D103" s="163"/>
      <c r="E103" s="163"/>
      <c r="F103" s="163"/>
    </row>
    <row r="104" spans="1:6" s="164" customFormat="1" ht="35.25" customHeight="1">
      <c r="A104" s="173">
        <v>905</v>
      </c>
      <c r="B104" s="173" t="s">
        <v>635</v>
      </c>
      <c r="C104" s="170" t="s">
        <v>2</v>
      </c>
      <c r="D104" s="163"/>
      <c r="E104" s="163"/>
      <c r="F104" s="163"/>
    </row>
    <row r="105" spans="1:6" ht="57" customHeight="1">
      <c r="A105" s="460">
        <v>905</v>
      </c>
      <c r="B105" s="460" t="s">
        <v>545</v>
      </c>
      <c r="C105" s="170" t="s">
        <v>681</v>
      </c>
    </row>
    <row r="106" spans="1:6" ht="58.5" customHeight="1">
      <c r="A106" s="460">
        <v>905</v>
      </c>
      <c r="B106" s="460" t="s">
        <v>546</v>
      </c>
      <c r="C106" s="170" t="s">
        <v>11</v>
      </c>
    </row>
    <row r="107" spans="1:6" ht="32.25" customHeight="1">
      <c r="A107" s="460">
        <v>905</v>
      </c>
      <c r="B107" s="460" t="s">
        <v>542</v>
      </c>
      <c r="C107" s="170" t="s">
        <v>4</v>
      </c>
    </row>
    <row r="108" spans="1:6" ht="99.75" customHeight="1">
      <c r="A108" s="460">
        <v>905</v>
      </c>
      <c r="B108" s="460" t="s">
        <v>547</v>
      </c>
      <c r="C108" s="170" t="s">
        <v>16</v>
      </c>
    </row>
    <row r="109" spans="1:6" ht="48" customHeight="1">
      <c r="A109" s="460">
        <v>905</v>
      </c>
      <c r="B109" s="460" t="s">
        <v>550</v>
      </c>
      <c r="C109" s="170" t="s">
        <v>21</v>
      </c>
    </row>
    <row r="110" spans="1:6" ht="136.9" customHeight="1">
      <c r="A110" s="460">
        <v>905</v>
      </c>
      <c r="B110" s="460" t="s">
        <v>566</v>
      </c>
      <c r="C110" s="202" t="s">
        <v>491</v>
      </c>
    </row>
    <row r="111" spans="1:6" ht="77.25" customHeight="1">
      <c r="A111" s="173">
        <v>905</v>
      </c>
      <c r="B111" s="460" t="s">
        <v>564</v>
      </c>
      <c r="C111" s="170" t="s">
        <v>457</v>
      </c>
    </row>
    <row r="112" spans="1:6" ht="42.75" customHeight="1">
      <c r="A112" s="460">
        <v>905</v>
      </c>
      <c r="B112" s="460" t="s">
        <v>12</v>
      </c>
      <c r="C112" s="170" t="s">
        <v>13</v>
      </c>
    </row>
    <row r="113" spans="1:6" ht="41.25" customHeight="1">
      <c r="A113" s="460">
        <v>905</v>
      </c>
      <c r="B113" s="460" t="s">
        <v>14</v>
      </c>
      <c r="C113" s="170" t="s">
        <v>15</v>
      </c>
    </row>
    <row r="114" spans="1:6" ht="37.5">
      <c r="A114" s="452">
        <v>910</v>
      </c>
      <c r="B114" s="460"/>
      <c r="C114" s="175" t="s">
        <v>55</v>
      </c>
    </row>
    <row r="115" spans="1:6" ht="42.75" customHeight="1">
      <c r="A115" s="173">
        <v>910</v>
      </c>
      <c r="B115" s="173" t="s">
        <v>616</v>
      </c>
      <c r="C115" s="170" t="s">
        <v>617</v>
      </c>
    </row>
    <row r="116" spans="1:6" ht="112.5">
      <c r="A116" s="173">
        <v>910</v>
      </c>
      <c r="B116" s="173" t="s">
        <v>646</v>
      </c>
      <c r="C116" s="170" t="s">
        <v>869</v>
      </c>
    </row>
    <row r="117" spans="1:6" s="532" customFormat="1" ht="96" customHeight="1">
      <c r="A117" s="460">
        <v>910</v>
      </c>
      <c r="B117" s="460" t="s">
        <v>731</v>
      </c>
      <c r="C117" s="170" t="s">
        <v>857</v>
      </c>
      <c r="D117" s="531"/>
      <c r="E117" s="531"/>
      <c r="F117" s="531"/>
    </row>
    <row r="118" spans="1:6" ht="170.25" customHeight="1">
      <c r="A118" s="173">
        <v>910</v>
      </c>
      <c r="B118" s="173" t="s">
        <v>643</v>
      </c>
      <c r="C118" s="170" t="s">
        <v>866</v>
      </c>
    </row>
    <row r="119" spans="1:6" ht="337.5">
      <c r="A119" s="460">
        <v>910</v>
      </c>
      <c r="B119" s="173" t="s">
        <v>644</v>
      </c>
      <c r="C119" s="170" t="s">
        <v>867</v>
      </c>
      <c r="D119" s="215"/>
      <c r="E119" s="215"/>
      <c r="F119" s="215"/>
    </row>
    <row r="120" spans="1:6" s="164" customFormat="1" ht="115.5" customHeight="1">
      <c r="A120" s="173">
        <v>910</v>
      </c>
      <c r="B120" s="173" t="s">
        <v>645</v>
      </c>
      <c r="C120" s="170" t="s">
        <v>868</v>
      </c>
      <c r="D120" s="163"/>
      <c r="E120" s="163"/>
      <c r="F120" s="163"/>
    </row>
    <row r="121" spans="1:6" s="164" customFormat="1" ht="78.75" customHeight="1">
      <c r="A121" s="173">
        <v>910</v>
      </c>
      <c r="B121" s="173" t="s">
        <v>722</v>
      </c>
      <c r="C121" s="170" t="s">
        <v>723</v>
      </c>
      <c r="D121" s="163"/>
      <c r="E121" s="163"/>
      <c r="F121" s="163"/>
    </row>
    <row r="122" spans="1:6" s="164" customFormat="1" ht="42.75" customHeight="1">
      <c r="A122" s="460">
        <v>910</v>
      </c>
      <c r="B122" s="173" t="s">
        <v>635</v>
      </c>
      <c r="C122" s="170" t="s">
        <v>2</v>
      </c>
      <c r="D122" s="163"/>
      <c r="E122" s="163"/>
      <c r="F122" s="163"/>
    </row>
    <row r="123" spans="1:6" ht="96" customHeight="1">
      <c r="A123" s="460">
        <v>910</v>
      </c>
      <c r="B123" s="460" t="s">
        <v>547</v>
      </c>
      <c r="C123" s="170" t="s">
        <v>16</v>
      </c>
    </row>
    <row r="124" spans="1:6" ht="74.25" customHeight="1">
      <c r="A124" s="460">
        <v>910</v>
      </c>
      <c r="B124" s="460" t="s">
        <v>564</v>
      </c>
      <c r="C124" s="170" t="s">
        <v>457</v>
      </c>
    </row>
    <row r="125" spans="1:6" ht="56.25">
      <c r="A125" s="451">
        <v>921</v>
      </c>
      <c r="B125" s="173"/>
      <c r="C125" s="175" t="s">
        <v>17</v>
      </c>
    </row>
    <row r="126" spans="1:6" s="164" customFormat="1" ht="75">
      <c r="A126" s="460">
        <v>921</v>
      </c>
      <c r="B126" s="460" t="s">
        <v>170</v>
      </c>
      <c r="C126" s="170" t="s">
        <v>647</v>
      </c>
      <c r="D126" s="163"/>
      <c r="E126" s="163"/>
      <c r="F126" s="163"/>
    </row>
    <row r="127" spans="1:6" s="164" customFormat="1" ht="75">
      <c r="A127" s="460">
        <v>921</v>
      </c>
      <c r="B127" s="460" t="s">
        <v>648</v>
      </c>
      <c r="C127" s="170" t="s">
        <v>649</v>
      </c>
      <c r="D127" s="163"/>
      <c r="E127" s="163"/>
      <c r="F127" s="163"/>
    </row>
    <row r="128" spans="1:6" s="164" customFormat="1" ht="133.5" customHeight="1">
      <c r="A128" s="460">
        <v>921</v>
      </c>
      <c r="B128" s="173" t="s">
        <v>650</v>
      </c>
      <c r="C128" s="170" t="s">
        <v>879</v>
      </c>
      <c r="D128" s="163"/>
      <c r="E128" s="163"/>
      <c r="F128" s="163"/>
    </row>
    <row r="129" spans="1:6" s="164" customFormat="1" ht="60.75" customHeight="1">
      <c r="A129" s="460">
        <v>921</v>
      </c>
      <c r="B129" s="460" t="s">
        <v>362</v>
      </c>
      <c r="C129" s="170" t="s">
        <v>18</v>
      </c>
      <c r="D129" s="163"/>
      <c r="E129" s="163"/>
      <c r="F129" s="163"/>
    </row>
    <row r="130" spans="1:6" s="164" customFormat="1" ht="78.75" customHeight="1">
      <c r="A130" s="460">
        <v>921</v>
      </c>
      <c r="B130" s="460" t="s">
        <v>172</v>
      </c>
      <c r="C130" s="170" t="s">
        <v>651</v>
      </c>
      <c r="D130" s="163"/>
      <c r="E130" s="163"/>
      <c r="F130" s="163"/>
    </row>
    <row r="131" spans="1:6" s="164" customFormat="1" ht="118.5" customHeight="1">
      <c r="A131" s="460">
        <v>921</v>
      </c>
      <c r="B131" s="460" t="s">
        <v>421</v>
      </c>
      <c r="C131" s="170" t="s">
        <v>422</v>
      </c>
      <c r="D131" s="163"/>
      <c r="E131" s="163"/>
      <c r="F131" s="163"/>
    </row>
    <row r="132" spans="1:6" s="164" customFormat="1" ht="56.25" customHeight="1">
      <c r="A132" s="460">
        <v>921</v>
      </c>
      <c r="B132" s="460" t="s">
        <v>615</v>
      </c>
      <c r="C132" s="170" t="s">
        <v>30</v>
      </c>
      <c r="D132" s="163"/>
      <c r="E132" s="163"/>
      <c r="F132" s="163"/>
    </row>
    <row r="133" spans="1:6" s="164" customFormat="1" ht="56.25">
      <c r="A133" s="460">
        <v>921</v>
      </c>
      <c r="B133" s="460" t="s">
        <v>652</v>
      </c>
      <c r="C133" s="170" t="s">
        <v>515</v>
      </c>
      <c r="D133" s="163"/>
      <c r="E133" s="163"/>
      <c r="F133" s="163"/>
    </row>
    <row r="134" spans="1:6" s="164" customFormat="1" ht="42" customHeight="1">
      <c r="A134" s="460">
        <v>921</v>
      </c>
      <c r="B134" s="460" t="s">
        <v>616</v>
      </c>
      <c r="C134" s="170" t="s">
        <v>617</v>
      </c>
      <c r="D134" s="163"/>
      <c r="E134" s="163"/>
      <c r="F134" s="163"/>
    </row>
    <row r="135" spans="1:6" s="164" customFormat="1" ht="131.25">
      <c r="A135" s="460">
        <v>921</v>
      </c>
      <c r="B135" s="460" t="s">
        <v>653</v>
      </c>
      <c r="C135" s="170" t="s">
        <v>654</v>
      </c>
      <c r="D135" s="163"/>
      <c r="E135" s="163"/>
      <c r="F135" s="163"/>
    </row>
    <row r="136" spans="1:6" s="164" customFormat="1" ht="135" customHeight="1">
      <c r="A136" s="460">
        <v>921</v>
      </c>
      <c r="B136" s="460" t="s">
        <v>655</v>
      </c>
      <c r="C136" s="170" t="s">
        <v>656</v>
      </c>
      <c r="D136" s="163"/>
      <c r="E136" s="163"/>
      <c r="F136" s="163"/>
    </row>
    <row r="137" spans="1:6" s="164" customFormat="1" ht="110.25" customHeight="1">
      <c r="A137" s="460">
        <v>921</v>
      </c>
      <c r="B137" s="460" t="s">
        <v>657</v>
      </c>
      <c r="C137" s="170" t="s">
        <v>658</v>
      </c>
      <c r="D137" s="163"/>
      <c r="E137" s="163"/>
      <c r="F137" s="163"/>
    </row>
    <row r="138" spans="1:6" s="164" customFormat="1" ht="129" customHeight="1">
      <c r="A138" s="460">
        <v>921</v>
      </c>
      <c r="B138" s="460" t="s">
        <v>659</v>
      </c>
      <c r="C138" s="170" t="s">
        <v>660</v>
      </c>
      <c r="D138" s="163"/>
      <c r="E138" s="163"/>
      <c r="F138" s="163"/>
    </row>
    <row r="139" spans="1:6" s="164" customFormat="1" ht="92.25" customHeight="1">
      <c r="A139" s="460">
        <v>921</v>
      </c>
      <c r="B139" s="173" t="s">
        <v>661</v>
      </c>
      <c r="C139" s="170" t="s">
        <v>662</v>
      </c>
      <c r="D139" s="163"/>
      <c r="E139" s="163"/>
      <c r="F139" s="163"/>
    </row>
    <row r="140" spans="1:6" s="164" customFormat="1" ht="78.75" customHeight="1">
      <c r="A140" s="460">
        <v>921</v>
      </c>
      <c r="B140" s="173" t="s">
        <v>663</v>
      </c>
      <c r="C140" s="170" t="s">
        <v>664</v>
      </c>
      <c r="D140" s="163"/>
      <c r="E140" s="163"/>
      <c r="F140" s="163"/>
    </row>
    <row r="141" spans="1:6" s="164" customFormat="1" ht="130.5" customHeight="1">
      <c r="A141" s="460">
        <v>921</v>
      </c>
      <c r="B141" s="173" t="s">
        <v>665</v>
      </c>
      <c r="C141" s="170" t="s">
        <v>666</v>
      </c>
      <c r="D141" s="163"/>
      <c r="E141" s="163"/>
      <c r="F141" s="163"/>
    </row>
    <row r="142" spans="1:6" s="164" customFormat="1" ht="75">
      <c r="A142" s="460">
        <v>921</v>
      </c>
      <c r="B142" s="173" t="s">
        <v>667</v>
      </c>
      <c r="C142" s="170" t="s">
        <v>668</v>
      </c>
      <c r="D142" s="163"/>
      <c r="E142" s="163"/>
      <c r="F142" s="163"/>
    </row>
    <row r="143" spans="1:6" s="532" customFormat="1" ht="111.75" customHeight="1">
      <c r="A143" s="460">
        <v>921</v>
      </c>
      <c r="B143" s="460" t="s">
        <v>731</v>
      </c>
      <c r="C143" s="201" t="s">
        <v>857</v>
      </c>
      <c r="D143" s="531"/>
      <c r="E143" s="531"/>
      <c r="F143" s="531"/>
    </row>
    <row r="144" spans="1:6" s="164" customFormat="1" ht="111" customHeight="1">
      <c r="A144" s="173">
        <v>921</v>
      </c>
      <c r="B144" s="173" t="s">
        <v>620</v>
      </c>
      <c r="C144" s="170" t="s">
        <v>669</v>
      </c>
      <c r="D144" s="163"/>
      <c r="E144" s="163"/>
      <c r="F144" s="163"/>
    </row>
    <row r="145" spans="1:6" s="164" customFormat="1" ht="58.5" customHeight="1">
      <c r="A145" s="173">
        <v>921</v>
      </c>
      <c r="B145" s="173" t="s">
        <v>624</v>
      </c>
      <c r="C145" s="170" t="s">
        <v>625</v>
      </c>
      <c r="D145" s="163"/>
      <c r="E145" s="163"/>
      <c r="F145" s="163"/>
    </row>
    <row r="146" spans="1:6" s="164" customFormat="1" ht="93" customHeight="1">
      <c r="A146" s="173">
        <v>921</v>
      </c>
      <c r="B146" s="173" t="s">
        <v>670</v>
      </c>
      <c r="C146" s="170" t="s">
        <v>671</v>
      </c>
      <c r="D146" s="163"/>
      <c r="E146" s="163"/>
      <c r="F146" s="163"/>
    </row>
    <row r="147" spans="1:6" s="164" customFormat="1" ht="42.75" customHeight="1">
      <c r="A147" s="173">
        <v>921</v>
      </c>
      <c r="B147" s="173" t="s">
        <v>635</v>
      </c>
      <c r="C147" s="170" t="s">
        <v>2</v>
      </c>
      <c r="D147" s="163"/>
      <c r="E147" s="163"/>
      <c r="F147" s="163"/>
    </row>
    <row r="148" spans="1:6" s="164" customFormat="1" ht="37.5">
      <c r="A148" s="460">
        <v>921</v>
      </c>
      <c r="B148" s="460" t="s">
        <v>636</v>
      </c>
      <c r="C148" s="214" t="s">
        <v>529</v>
      </c>
      <c r="D148" s="163"/>
      <c r="E148" s="163"/>
      <c r="F148" s="163"/>
    </row>
    <row r="149" spans="1:6" s="164" customFormat="1" ht="56.25">
      <c r="A149" s="173">
        <v>921</v>
      </c>
      <c r="B149" s="460" t="s">
        <v>672</v>
      </c>
      <c r="C149" s="170" t="s">
        <v>673</v>
      </c>
      <c r="D149" s="217"/>
      <c r="E149" s="163"/>
      <c r="F149" s="216"/>
    </row>
    <row r="150" spans="1:6" s="219" customFormat="1" ht="56.25">
      <c r="A150" s="465">
        <v>921</v>
      </c>
      <c r="B150" s="462" t="s">
        <v>596</v>
      </c>
      <c r="C150" s="218" t="s">
        <v>597</v>
      </c>
    </row>
    <row r="151" spans="1:6" ht="27.75" customHeight="1">
      <c r="A151" s="173">
        <v>921</v>
      </c>
      <c r="B151" s="460" t="s">
        <v>542</v>
      </c>
      <c r="C151" s="170" t="s">
        <v>4</v>
      </c>
    </row>
    <row r="152" spans="1:6" ht="56.25">
      <c r="A152" s="173">
        <v>921</v>
      </c>
      <c r="B152" s="460" t="s">
        <v>543</v>
      </c>
      <c r="C152" s="170" t="s">
        <v>5</v>
      </c>
    </row>
    <row r="153" spans="1:6" ht="93.75">
      <c r="A153" s="173">
        <v>921</v>
      </c>
      <c r="B153" s="460" t="s">
        <v>548</v>
      </c>
      <c r="C153" s="170" t="s">
        <v>19</v>
      </c>
    </row>
    <row r="154" spans="1:6" ht="34.5" customHeight="1">
      <c r="A154" s="173">
        <v>921</v>
      </c>
      <c r="B154" s="460" t="s">
        <v>549</v>
      </c>
      <c r="C154" s="170" t="s">
        <v>20</v>
      </c>
    </row>
    <row r="155" spans="1:6" ht="37.5">
      <c r="A155" s="173">
        <v>921</v>
      </c>
      <c r="B155" s="173" t="s">
        <v>550</v>
      </c>
      <c r="C155" s="170" t="s">
        <v>21</v>
      </c>
    </row>
    <row r="156" spans="1:6" ht="75">
      <c r="A156" s="173">
        <v>921</v>
      </c>
      <c r="B156" s="460" t="s">
        <v>564</v>
      </c>
      <c r="C156" s="170" t="s">
        <v>457</v>
      </c>
    </row>
    <row r="157" spans="1:6" ht="44.25" customHeight="1">
      <c r="A157" s="451">
        <v>925</v>
      </c>
      <c r="B157" s="173"/>
      <c r="C157" s="175" t="s">
        <v>23</v>
      </c>
    </row>
    <row r="158" spans="1:6" s="164" customFormat="1" ht="112.5">
      <c r="A158" s="460">
        <v>925</v>
      </c>
      <c r="B158" s="460" t="s">
        <v>674</v>
      </c>
      <c r="C158" s="170" t="s">
        <v>675</v>
      </c>
      <c r="D158" s="163"/>
      <c r="E158" s="163"/>
      <c r="F158" s="163"/>
    </row>
    <row r="159" spans="1:6" s="164" customFormat="1" ht="56.25">
      <c r="A159" s="460">
        <v>925</v>
      </c>
      <c r="B159" s="460" t="s">
        <v>652</v>
      </c>
      <c r="C159" s="170" t="s">
        <v>515</v>
      </c>
      <c r="D159" s="163"/>
      <c r="E159" s="163"/>
      <c r="F159" s="163"/>
    </row>
    <row r="160" spans="1:6" s="164" customFormat="1" ht="40.5" customHeight="1">
      <c r="A160" s="460">
        <v>925</v>
      </c>
      <c r="B160" s="460" t="s">
        <v>616</v>
      </c>
      <c r="C160" s="170" t="s">
        <v>617</v>
      </c>
      <c r="D160" s="163"/>
      <c r="E160" s="163"/>
      <c r="F160" s="163"/>
    </row>
    <row r="161" spans="1:6" s="164" customFormat="1" ht="111.75" customHeight="1">
      <c r="A161" s="460">
        <v>925</v>
      </c>
      <c r="B161" s="460" t="s">
        <v>657</v>
      </c>
      <c r="C161" s="170" t="s">
        <v>658</v>
      </c>
      <c r="D161" s="163"/>
      <c r="E161" s="163"/>
      <c r="F161" s="163"/>
    </row>
    <row r="162" spans="1:6" s="532" customFormat="1" ht="110.25" customHeight="1">
      <c r="A162" s="460">
        <v>925</v>
      </c>
      <c r="B162" s="460" t="s">
        <v>731</v>
      </c>
      <c r="C162" s="170" t="s">
        <v>857</v>
      </c>
      <c r="D162" s="531"/>
      <c r="E162" s="531"/>
      <c r="F162" s="531"/>
    </row>
    <row r="163" spans="1:6" s="164" customFormat="1" ht="112.5">
      <c r="A163" s="460">
        <v>925</v>
      </c>
      <c r="B163" s="460" t="s">
        <v>618</v>
      </c>
      <c r="C163" s="170" t="s">
        <v>619</v>
      </c>
      <c r="D163" s="163"/>
      <c r="E163" s="163"/>
      <c r="F163" s="163"/>
    </row>
    <row r="164" spans="1:6" s="164" customFormat="1" ht="112.5">
      <c r="A164" s="173">
        <v>925</v>
      </c>
      <c r="B164" s="173" t="s">
        <v>620</v>
      </c>
      <c r="C164" s="170" t="s">
        <v>621</v>
      </c>
      <c r="D164" s="163"/>
      <c r="E164" s="163"/>
      <c r="F164" s="163"/>
    </row>
    <row r="165" spans="1:6" s="164" customFormat="1" ht="60.75" customHeight="1">
      <c r="A165" s="173">
        <v>925</v>
      </c>
      <c r="B165" s="173" t="s">
        <v>624</v>
      </c>
      <c r="C165" s="170" t="s">
        <v>625</v>
      </c>
      <c r="D165" s="163"/>
      <c r="E165" s="163"/>
      <c r="F165" s="163"/>
    </row>
    <row r="166" spans="1:6" s="164" customFormat="1" ht="37.5">
      <c r="A166" s="173">
        <v>925</v>
      </c>
      <c r="B166" s="173" t="s">
        <v>635</v>
      </c>
      <c r="C166" s="170" t="s">
        <v>2</v>
      </c>
      <c r="D166" s="163"/>
      <c r="E166" s="163"/>
      <c r="F166" s="163"/>
    </row>
    <row r="167" spans="1:6" s="164" customFormat="1" ht="37.5">
      <c r="A167" s="460">
        <v>925</v>
      </c>
      <c r="B167" s="460" t="s">
        <v>636</v>
      </c>
      <c r="C167" s="214" t="s">
        <v>529</v>
      </c>
      <c r="D167" s="163"/>
      <c r="E167" s="163"/>
      <c r="F167" s="163"/>
    </row>
    <row r="168" spans="1:6" ht="133.5" customHeight="1">
      <c r="A168" s="173">
        <v>925</v>
      </c>
      <c r="B168" s="460" t="s">
        <v>595</v>
      </c>
      <c r="C168" s="202" t="s">
        <v>766</v>
      </c>
    </row>
    <row r="169" spans="1:6" ht="98.25" customHeight="1">
      <c r="A169" s="173">
        <v>925</v>
      </c>
      <c r="B169" s="460" t="s">
        <v>760</v>
      </c>
      <c r="C169" s="170" t="s">
        <v>761</v>
      </c>
    </row>
    <row r="170" spans="1:6" ht="23.25" customHeight="1">
      <c r="A170" s="173">
        <v>925</v>
      </c>
      <c r="B170" s="460" t="s">
        <v>542</v>
      </c>
      <c r="C170" s="170" t="s">
        <v>4</v>
      </c>
    </row>
    <row r="171" spans="1:6" ht="56.25">
      <c r="A171" s="173">
        <v>925</v>
      </c>
      <c r="B171" s="460" t="s">
        <v>543</v>
      </c>
      <c r="C171" s="170" t="s">
        <v>5</v>
      </c>
    </row>
    <row r="172" spans="1:6" ht="111.75" customHeight="1">
      <c r="A172" s="173">
        <v>925</v>
      </c>
      <c r="B172" s="460" t="s">
        <v>551</v>
      </c>
      <c r="C172" s="170" t="s">
        <v>24</v>
      </c>
    </row>
    <row r="173" spans="1:6" ht="99.75" customHeight="1">
      <c r="A173" s="173">
        <v>925</v>
      </c>
      <c r="B173" s="460" t="s">
        <v>759</v>
      </c>
      <c r="C173" s="170" t="s">
        <v>793</v>
      </c>
    </row>
    <row r="174" spans="1:6" ht="45" customHeight="1">
      <c r="A174" s="173">
        <v>925</v>
      </c>
      <c r="B174" s="173" t="s">
        <v>550</v>
      </c>
      <c r="C174" s="170" t="s">
        <v>21</v>
      </c>
    </row>
    <row r="175" spans="1:6" ht="57" customHeight="1">
      <c r="A175" s="173">
        <v>925</v>
      </c>
      <c r="B175" s="460" t="s">
        <v>639</v>
      </c>
      <c r="C175" s="170" t="s">
        <v>640</v>
      </c>
    </row>
    <row r="176" spans="1:6" ht="58.5" customHeight="1">
      <c r="A176" s="173">
        <v>925</v>
      </c>
      <c r="B176" s="460" t="s">
        <v>563</v>
      </c>
      <c r="C176" s="170" t="s">
        <v>22</v>
      </c>
    </row>
    <row r="177" spans="1:6" ht="129" customHeight="1">
      <c r="A177" s="173">
        <v>925</v>
      </c>
      <c r="B177" s="460" t="s">
        <v>870</v>
      </c>
      <c r="C177" s="807" t="s">
        <v>1031</v>
      </c>
    </row>
    <row r="178" spans="1:6" ht="112.5">
      <c r="A178" s="173">
        <v>925</v>
      </c>
      <c r="B178" s="460" t="s">
        <v>985</v>
      </c>
      <c r="C178" s="170" t="s">
        <v>987</v>
      </c>
    </row>
    <row r="179" spans="1:6" ht="112.5">
      <c r="A179" s="173">
        <v>925</v>
      </c>
      <c r="B179" s="460" t="s">
        <v>986</v>
      </c>
      <c r="C179" s="170" t="s">
        <v>988</v>
      </c>
    </row>
    <row r="180" spans="1:6" ht="81" customHeight="1">
      <c r="A180" s="173">
        <v>925</v>
      </c>
      <c r="B180" s="460" t="s">
        <v>564</v>
      </c>
      <c r="C180" s="170" t="s">
        <v>457</v>
      </c>
    </row>
    <row r="181" spans="1:6" ht="56.25">
      <c r="A181" s="451">
        <v>926</v>
      </c>
      <c r="B181" s="173"/>
      <c r="C181" s="175" t="s">
        <v>25</v>
      </c>
    </row>
    <row r="182" spans="1:6" ht="100.5" customHeight="1">
      <c r="A182" s="460">
        <v>926</v>
      </c>
      <c r="B182" s="460" t="s">
        <v>674</v>
      </c>
      <c r="C182" s="170" t="s">
        <v>675</v>
      </c>
    </row>
    <row r="183" spans="1:6" ht="40.5" customHeight="1">
      <c r="A183" s="460">
        <v>926</v>
      </c>
      <c r="B183" s="460" t="s">
        <v>615</v>
      </c>
      <c r="C183" s="170" t="s">
        <v>30</v>
      </c>
    </row>
    <row r="184" spans="1:6" s="164" customFormat="1" ht="45.75" customHeight="1">
      <c r="A184" s="460">
        <v>926</v>
      </c>
      <c r="B184" s="460" t="s">
        <v>616</v>
      </c>
      <c r="C184" s="170" t="s">
        <v>617</v>
      </c>
      <c r="D184" s="163"/>
      <c r="E184" s="163"/>
      <c r="F184" s="163"/>
    </row>
    <row r="185" spans="1:6" s="532" customFormat="1" ht="111" customHeight="1">
      <c r="A185" s="460">
        <v>926</v>
      </c>
      <c r="B185" s="460" t="s">
        <v>731</v>
      </c>
      <c r="C185" s="170" t="s">
        <v>857</v>
      </c>
      <c r="D185" s="531"/>
      <c r="E185" s="531"/>
      <c r="F185" s="531"/>
    </row>
    <row r="186" spans="1:6" s="164" customFormat="1" ht="109.5" customHeight="1">
      <c r="A186" s="173">
        <v>926</v>
      </c>
      <c r="B186" s="173" t="s">
        <v>620</v>
      </c>
      <c r="C186" s="170" t="s">
        <v>669</v>
      </c>
      <c r="D186" s="163"/>
      <c r="E186" s="163"/>
      <c r="F186" s="163"/>
    </row>
    <row r="187" spans="1:6" s="164" customFormat="1" ht="63" customHeight="1">
      <c r="A187" s="173">
        <v>926</v>
      </c>
      <c r="B187" s="173" t="s">
        <v>624</v>
      </c>
      <c r="C187" s="170" t="s">
        <v>625</v>
      </c>
      <c r="D187" s="163"/>
      <c r="E187" s="163"/>
      <c r="F187" s="163"/>
    </row>
    <row r="188" spans="1:6" s="164" customFormat="1" ht="37.5">
      <c r="A188" s="173">
        <v>926</v>
      </c>
      <c r="B188" s="173" t="s">
        <v>635</v>
      </c>
      <c r="C188" s="170" t="s">
        <v>2</v>
      </c>
      <c r="D188" s="163"/>
      <c r="E188" s="163"/>
      <c r="F188" s="163"/>
    </row>
    <row r="189" spans="1:6" ht="37.5">
      <c r="A189" s="173">
        <v>926</v>
      </c>
      <c r="B189" s="460" t="s">
        <v>542</v>
      </c>
      <c r="C189" s="170" t="s">
        <v>4</v>
      </c>
    </row>
    <row r="190" spans="1:6" ht="96" customHeight="1">
      <c r="A190" s="173">
        <v>926</v>
      </c>
      <c r="B190" s="460" t="s">
        <v>547</v>
      </c>
      <c r="C190" s="170" t="s">
        <v>16</v>
      </c>
    </row>
    <row r="191" spans="1:6" ht="37.5">
      <c r="A191" s="173">
        <v>926</v>
      </c>
      <c r="B191" s="460" t="s">
        <v>550</v>
      </c>
      <c r="C191" s="170" t="s">
        <v>21</v>
      </c>
    </row>
    <row r="192" spans="1:6" ht="56.25">
      <c r="A192" s="173">
        <v>926</v>
      </c>
      <c r="B192" s="460" t="s">
        <v>639</v>
      </c>
      <c r="C192" s="170" t="s">
        <v>640</v>
      </c>
    </row>
    <row r="193" spans="1:6" ht="56.25">
      <c r="A193" s="173">
        <v>926</v>
      </c>
      <c r="B193" s="460" t="s">
        <v>563</v>
      </c>
      <c r="C193" s="170" t="s">
        <v>22</v>
      </c>
    </row>
    <row r="194" spans="1:6" ht="58.5" customHeight="1">
      <c r="A194" s="168">
        <v>926</v>
      </c>
      <c r="B194" s="171" t="s">
        <v>872</v>
      </c>
      <c r="C194" s="170" t="s">
        <v>871</v>
      </c>
    </row>
    <row r="195" spans="1:6" ht="79.5" customHeight="1">
      <c r="A195" s="173">
        <v>926</v>
      </c>
      <c r="B195" s="460" t="s">
        <v>564</v>
      </c>
      <c r="C195" s="170" t="s">
        <v>457</v>
      </c>
    </row>
    <row r="196" spans="1:6" ht="59.25" customHeight="1">
      <c r="A196" s="451">
        <v>929</v>
      </c>
      <c r="B196" s="460"/>
      <c r="C196" s="175" t="s">
        <v>26</v>
      </c>
    </row>
    <row r="197" spans="1:6" ht="98.25" customHeight="1">
      <c r="A197" s="173">
        <v>929</v>
      </c>
      <c r="B197" s="173" t="s">
        <v>674</v>
      </c>
      <c r="C197" s="170" t="s">
        <v>675</v>
      </c>
      <c r="D197" s="163"/>
    </row>
    <row r="198" spans="1:6" ht="37.5">
      <c r="A198" s="173">
        <v>929</v>
      </c>
      <c r="B198" s="173" t="s">
        <v>616</v>
      </c>
      <c r="C198" s="170" t="s">
        <v>617</v>
      </c>
    </row>
    <row r="199" spans="1:6" ht="131.25">
      <c r="A199" s="460">
        <v>929</v>
      </c>
      <c r="B199" s="460" t="s">
        <v>657</v>
      </c>
      <c r="C199" s="170" t="s">
        <v>658</v>
      </c>
      <c r="D199" s="215"/>
      <c r="E199" s="215"/>
      <c r="F199" s="215"/>
    </row>
    <row r="200" spans="1:6" s="532" customFormat="1" ht="116.25" customHeight="1">
      <c r="A200" s="460">
        <v>929</v>
      </c>
      <c r="B200" s="460" t="s">
        <v>731</v>
      </c>
      <c r="C200" s="170" t="s">
        <v>857</v>
      </c>
      <c r="D200" s="531"/>
      <c r="E200" s="531"/>
      <c r="F200" s="531"/>
    </row>
    <row r="201" spans="1:6" s="532" customFormat="1" ht="111" customHeight="1">
      <c r="A201" s="460">
        <v>929</v>
      </c>
      <c r="B201" s="460" t="s">
        <v>618</v>
      </c>
      <c r="C201" s="170" t="s">
        <v>619</v>
      </c>
      <c r="D201" s="531"/>
      <c r="E201" s="531"/>
      <c r="F201" s="531"/>
    </row>
    <row r="202" spans="1:6" ht="37.5">
      <c r="A202" s="460">
        <v>929</v>
      </c>
      <c r="B202" s="173" t="s">
        <v>635</v>
      </c>
      <c r="C202" s="170" t="s">
        <v>2</v>
      </c>
      <c r="D202" s="215"/>
      <c r="E202" s="215"/>
      <c r="F202" s="215"/>
    </row>
    <row r="203" spans="1:6" ht="37.5">
      <c r="A203" s="460">
        <v>929</v>
      </c>
      <c r="B203" s="460" t="s">
        <v>636</v>
      </c>
      <c r="C203" s="214" t="s">
        <v>529</v>
      </c>
      <c r="D203" s="215"/>
      <c r="E203" s="215"/>
      <c r="F203" s="215"/>
    </row>
    <row r="204" spans="1:6" ht="57.75" customHeight="1">
      <c r="A204" s="460">
        <v>929</v>
      </c>
      <c r="B204" s="461" t="s">
        <v>886</v>
      </c>
      <c r="C204" s="202" t="s">
        <v>887</v>
      </c>
      <c r="D204" s="215"/>
      <c r="E204" s="215"/>
      <c r="F204" s="215"/>
    </row>
    <row r="205" spans="1:6" ht="30" customHeight="1">
      <c r="A205" s="173">
        <v>929</v>
      </c>
      <c r="B205" s="460" t="s">
        <v>542</v>
      </c>
      <c r="C205" s="170" t="s">
        <v>4</v>
      </c>
    </row>
    <row r="206" spans="1:6" ht="56.25">
      <c r="A206" s="460">
        <v>929</v>
      </c>
      <c r="B206" s="460" t="s">
        <v>543</v>
      </c>
      <c r="C206" s="170" t="s">
        <v>5</v>
      </c>
    </row>
    <row r="207" spans="1:6" ht="75">
      <c r="A207" s="173">
        <v>929</v>
      </c>
      <c r="B207" s="460" t="s">
        <v>564</v>
      </c>
      <c r="C207" s="170" t="s">
        <v>457</v>
      </c>
    </row>
    <row r="208" spans="1:6" ht="43.5" customHeight="1">
      <c r="A208" s="451">
        <v>934</v>
      </c>
      <c r="B208" s="460"/>
      <c r="C208" s="175" t="s">
        <v>27</v>
      </c>
    </row>
    <row r="209" spans="1:8" s="164" customFormat="1" ht="37.5">
      <c r="A209" s="173">
        <v>934</v>
      </c>
      <c r="B209" s="173" t="s">
        <v>616</v>
      </c>
      <c r="C209" s="170" t="s">
        <v>617</v>
      </c>
      <c r="D209" s="163"/>
      <c r="E209" s="163"/>
      <c r="F209" s="163"/>
    </row>
    <row r="210" spans="1:8" s="532" customFormat="1" ht="114" customHeight="1">
      <c r="A210" s="460">
        <v>934</v>
      </c>
      <c r="B210" s="460" t="s">
        <v>731</v>
      </c>
      <c r="C210" s="170" t="s">
        <v>857</v>
      </c>
      <c r="D210" s="531"/>
      <c r="E210" s="531"/>
      <c r="F210" s="531"/>
    </row>
    <row r="211" spans="1:8" s="164" customFormat="1" ht="59.25" customHeight="1">
      <c r="A211" s="173">
        <v>934</v>
      </c>
      <c r="B211" s="173" t="s">
        <v>624</v>
      </c>
      <c r="C211" s="170" t="s">
        <v>625</v>
      </c>
      <c r="D211" s="163"/>
      <c r="E211" s="163"/>
      <c r="F211" s="163"/>
    </row>
    <row r="212" spans="1:8" s="164" customFormat="1" ht="37.5">
      <c r="A212" s="460">
        <v>934</v>
      </c>
      <c r="B212" s="173" t="s">
        <v>635</v>
      </c>
      <c r="C212" s="170" t="s">
        <v>2</v>
      </c>
      <c r="D212" s="163"/>
      <c r="E212" s="163"/>
      <c r="F212" s="163"/>
    </row>
    <row r="213" spans="1:8" ht="43.5" customHeight="1">
      <c r="A213" s="451">
        <v>953</v>
      </c>
      <c r="B213" s="173"/>
      <c r="C213" s="175" t="s">
        <v>28</v>
      </c>
    </row>
    <row r="214" spans="1:8" ht="37.5">
      <c r="A214" s="460">
        <v>953</v>
      </c>
      <c r="B214" s="173" t="s">
        <v>616</v>
      </c>
      <c r="C214" s="170" t="s">
        <v>617</v>
      </c>
    </row>
    <row r="215" spans="1:8" s="164" customFormat="1" ht="37.5">
      <c r="A215" s="460">
        <v>953</v>
      </c>
      <c r="B215" s="173" t="s">
        <v>635</v>
      </c>
      <c r="C215" s="170" t="s">
        <v>2</v>
      </c>
      <c r="D215" s="163"/>
      <c r="E215" s="163"/>
      <c r="F215" s="163"/>
    </row>
    <row r="216" spans="1:8" ht="56.25">
      <c r="A216" s="173">
        <v>953</v>
      </c>
      <c r="B216" s="460" t="s">
        <v>543</v>
      </c>
      <c r="C216" s="170" t="s">
        <v>5</v>
      </c>
    </row>
    <row r="217" spans="1:8" ht="75.75" customHeight="1">
      <c r="A217" s="173">
        <v>953</v>
      </c>
      <c r="B217" s="460" t="s">
        <v>552</v>
      </c>
      <c r="C217" s="170" t="s">
        <v>29</v>
      </c>
    </row>
    <row r="218" spans="1:8" ht="75">
      <c r="A218" s="173">
        <v>953</v>
      </c>
      <c r="B218" s="460" t="s">
        <v>564</v>
      </c>
      <c r="C218" s="170" t="s">
        <v>457</v>
      </c>
    </row>
    <row r="220" spans="1:8" ht="18.75">
      <c r="A220" s="825" t="s">
        <v>363</v>
      </c>
      <c r="B220" s="825"/>
      <c r="C220" s="825"/>
    </row>
    <row r="223" spans="1:8" s="181" customFormat="1" ht="18.75">
      <c r="A223" s="466" t="s">
        <v>467</v>
      </c>
      <c r="B223" s="463"/>
      <c r="C223" s="457"/>
      <c r="D223" s="178"/>
      <c r="E223" s="178"/>
      <c r="F223" s="178"/>
      <c r="G223" s="179"/>
      <c r="H223" s="180"/>
    </row>
    <row r="224" spans="1:8" s="181" customFormat="1" ht="18.75">
      <c r="A224" s="466" t="s">
        <v>468</v>
      </c>
      <c r="B224" s="463"/>
      <c r="C224" s="457"/>
      <c r="D224" s="178"/>
      <c r="E224" s="178"/>
      <c r="F224" s="178"/>
      <c r="G224" s="179"/>
      <c r="H224" s="180"/>
    </row>
    <row r="225" spans="1:6" s="181" customFormat="1" ht="18.75">
      <c r="A225" s="467" t="s">
        <v>469</v>
      </c>
      <c r="B225" s="463"/>
      <c r="C225" s="458" t="s">
        <v>494</v>
      </c>
      <c r="D225" s="178"/>
      <c r="E225" s="178"/>
      <c r="F225" s="178"/>
    </row>
  </sheetData>
  <mergeCells count="5">
    <mergeCell ref="A220:C220"/>
    <mergeCell ref="A7:C7"/>
    <mergeCell ref="A9:B9"/>
    <mergeCell ref="C10:C11"/>
    <mergeCell ref="A10:B10"/>
  </mergeCells>
  <printOptions horizontalCentered="1"/>
  <pageMargins left="1.1811023622047245" right="0.39370078740157483" top="0.78740157480314965" bottom="0.39370078740157483" header="0.11811023622047245" footer="0.11811023622047245"/>
  <pageSetup paperSize="9" scale="75" fitToHeight="0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585"/>
  <sheetViews>
    <sheetView topLeftCell="D1" zoomScale="80" zoomScaleNormal="80" workbookViewId="0">
      <selection activeCell="H2" sqref="H2"/>
    </sheetView>
  </sheetViews>
  <sheetFormatPr defaultColWidth="9.140625" defaultRowHeight="15.75"/>
  <cols>
    <col min="1" max="1" width="4.5703125" style="245" customWidth="1"/>
    <col min="2" max="2" width="62.42578125" style="246" customWidth="1"/>
    <col min="3" max="3" width="3.140625" style="247" customWidth="1"/>
    <col min="4" max="4" width="2" style="247" customWidth="1"/>
    <col min="5" max="5" width="3.140625" style="247" customWidth="1"/>
    <col min="6" max="6" width="8.7109375" style="247" customWidth="1"/>
    <col min="7" max="7" width="5.5703125" style="248" customWidth="1"/>
    <col min="8" max="8" width="15.7109375" style="251" customWidth="1"/>
    <col min="9" max="9" width="9.140625" style="250"/>
    <col min="10" max="10" width="17.7109375" style="250" customWidth="1"/>
    <col min="11" max="16384" width="9.140625" style="250"/>
  </cols>
  <sheetData>
    <row r="1" spans="1:12" s="165" customFormat="1" ht="18.75">
      <c r="H1" s="404" t="s">
        <v>461</v>
      </c>
      <c r="K1" s="658"/>
      <c r="L1" s="659"/>
    </row>
    <row r="2" spans="1:12" s="165" customFormat="1" ht="18.75">
      <c r="H2" s="404" t="s">
        <v>1036</v>
      </c>
      <c r="K2" s="658"/>
      <c r="L2" s="660"/>
    </row>
    <row r="4" spans="1:12" ht="18.75">
      <c r="H4" s="249" t="s">
        <v>540</v>
      </c>
    </row>
    <row r="5" spans="1:12" ht="18.75">
      <c r="H5" s="455" t="s">
        <v>914</v>
      </c>
    </row>
    <row r="8" spans="1:12" ht="72" customHeight="1">
      <c r="A8" s="856" t="s">
        <v>771</v>
      </c>
      <c r="B8" s="856"/>
      <c r="C8" s="856"/>
      <c r="D8" s="856"/>
      <c r="E8" s="856"/>
      <c r="F8" s="856"/>
      <c r="G8" s="856"/>
      <c r="H8" s="856"/>
    </row>
    <row r="9" spans="1:12">
      <c r="A9" s="250"/>
      <c r="B9" s="250"/>
      <c r="C9" s="245"/>
      <c r="D9" s="245"/>
      <c r="E9" s="245"/>
      <c r="F9" s="245"/>
      <c r="G9" s="251"/>
    </row>
    <row r="10" spans="1:12" ht="18.75">
      <c r="A10" s="252"/>
      <c r="B10" s="253"/>
      <c r="C10" s="254"/>
      <c r="D10" s="254"/>
      <c r="E10" s="254"/>
      <c r="F10" s="254"/>
      <c r="G10" s="250"/>
      <c r="H10" s="255" t="s">
        <v>42</v>
      </c>
    </row>
    <row r="11" spans="1:12" ht="37.15" customHeight="1">
      <c r="A11" s="732" t="s">
        <v>43</v>
      </c>
      <c r="B11" s="733" t="s">
        <v>44</v>
      </c>
      <c r="C11" s="857" t="s">
        <v>48</v>
      </c>
      <c r="D11" s="858"/>
      <c r="E11" s="858"/>
      <c r="F11" s="859"/>
      <c r="G11" s="733" t="s">
        <v>49</v>
      </c>
      <c r="H11" s="256" t="s">
        <v>33</v>
      </c>
    </row>
    <row r="12" spans="1:12" ht="18.75">
      <c r="A12" s="257">
        <v>1</v>
      </c>
      <c r="B12" s="258">
        <v>2</v>
      </c>
      <c r="C12" s="860" t="s">
        <v>50</v>
      </c>
      <c r="D12" s="861"/>
      <c r="E12" s="861"/>
      <c r="F12" s="862"/>
      <c r="G12" s="259" t="s">
        <v>51</v>
      </c>
      <c r="H12" s="260">
        <v>5</v>
      </c>
    </row>
    <row r="13" spans="1:12" ht="19.5" customHeight="1">
      <c r="A13" s="261"/>
      <c r="B13" s="262" t="s">
        <v>224</v>
      </c>
      <c r="C13" s="263"/>
      <c r="D13" s="263"/>
      <c r="E13" s="263"/>
      <c r="F13" s="263"/>
      <c r="G13" s="264"/>
      <c r="H13" s="265">
        <f>H14+H141+H198+H233+H258+H294+H316+H354+H405+H416+H422+H432+H440+H446+H516+H564+H392+H510+H524</f>
        <v>1681843.9749400006</v>
      </c>
      <c r="J13" s="266">
        <f>H13-'прил12(ведом 21)'!M14</f>
        <v>0</v>
      </c>
    </row>
    <row r="14" spans="1:12" s="273" customFormat="1" ht="56.25">
      <c r="A14" s="267">
        <v>1</v>
      </c>
      <c r="B14" s="268" t="s">
        <v>227</v>
      </c>
      <c r="C14" s="269" t="s">
        <v>59</v>
      </c>
      <c r="D14" s="269" t="s">
        <v>62</v>
      </c>
      <c r="E14" s="269" t="s">
        <v>63</v>
      </c>
      <c r="F14" s="270" t="s">
        <v>64</v>
      </c>
      <c r="G14" s="271"/>
      <c r="H14" s="272">
        <f>H15+H79+H106</f>
        <v>1139454.9600000002</v>
      </c>
    </row>
    <row r="15" spans="1:12" ht="18.75" customHeight="1">
      <c r="A15" s="261"/>
      <c r="B15" s="274" t="s">
        <v>228</v>
      </c>
      <c r="C15" s="729" t="s">
        <v>59</v>
      </c>
      <c r="D15" s="729" t="s">
        <v>65</v>
      </c>
      <c r="E15" s="729" t="s">
        <v>63</v>
      </c>
      <c r="F15" s="730" t="s">
        <v>64</v>
      </c>
      <c r="G15" s="259"/>
      <c r="H15" s="275">
        <f>H16+H37+H76</f>
        <v>1004550.2000000001</v>
      </c>
    </row>
    <row r="16" spans="1:12" ht="17.25" customHeight="1">
      <c r="A16" s="261"/>
      <c r="B16" s="274" t="s">
        <v>307</v>
      </c>
      <c r="C16" s="734" t="s">
        <v>59</v>
      </c>
      <c r="D16" s="735" t="s">
        <v>65</v>
      </c>
      <c r="E16" s="735" t="s">
        <v>57</v>
      </c>
      <c r="F16" s="736" t="s">
        <v>64</v>
      </c>
      <c r="G16" s="259"/>
      <c r="H16" s="275">
        <f>H26+H29+H31+H17+H21+H23+H19+H33+H35</f>
        <v>368218.9</v>
      </c>
    </row>
    <row r="17" spans="1:8" ht="37.5">
      <c r="A17" s="261"/>
      <c r="B17" s="274" t="s">
        <v>795</v>
      </c>
      <c r="C17" s="734" t="s">
        <v>59</v>
      </c>
      <c r="D17" s="735" t="s">
        <v>65</v>
      </c>
      <c r="E17" s="735" t="s">
        <v>57</v>
      </c>
      <c r="F17" s="736" t="s">
        <v>112</v>
      </c>
      <c r="G17" s="121"/>
      <c r="H17" s="275">
        <f>H18</f>
        <v>95682.500000000015</v>
      </c>
    </row>
    <row r="18" spans="1:8" ht="37.5" customHeight="1">
      <c r="A18" s="261"/>
      <c r="B18" s="274" t="s">
        <v>97</v>
      </c>
      <c r="C18" s="734" t="s">
        <v>59</v>
      </c>
      <c r="D18" s="735" t="s">
        <v>65</v>
      </c>
      <c r="E18" s="735" t="s">
        <v>57</v>
      </c>
      <c r="F18" s="736" t="s">
        <v>112</v>
      </c>
      <c r="G18" s="121" t="s">
        <v>98</v>
      </c>
      <c r="H18" s="275">
        <f>'прил12(ведом 21)'!M418</f>
        <v>95682.500000000015</v>
      </c>
    </row>
    <row r="19" spans="1:8" ht="24.75" customHeight="1">
      <c r="A19" s="261"/>
      <c r="B19" s="135" t="s">
        <v>796</v>
      </c>
      <c r="C19" s="734" t="s">
        <v>59</v>
      </c>
      <c r="D19" s="735" t="s">
        <v>65</v>
      </c>
      <c r="E19" s="735" t="s">
        <v>57</v>
      </c>
      <c r="F19" s="736" t="s">
        <v>479</v>
      </c>
      <c r="G19" s="121"/>
      <c r="H19" s="275">
        <f>H20</f>
        <v>3839.2</v>
      </c>
    </row>
    <row r="20" spans="1:8" ht="38.25" customHeight="1">
      <c r="A20" s="261"/>
      <c r="B20" s="135" t="s">
        <v>97</v>
      </c>
      <c r="C20" s="734" t="s">
        <v>59</v>
      </c>
      <c r="D20" s="735" t="s">
        <v>65</v>
      </c>
      <c r="E20" s="735" t="s">
        <v>57</v>
      </c>
      <c r="F20" s="736" t="s">
        <v>479</v>
      </c>
      <c r="G20" s="121" t="s">
        <v>98</v>
      </c>
      <c r="H20" s="275">
        <f>'прил12(ведом 21)'!M420</f>
        <v>3839.2</v>
      </c>
    </row>
    <row r="21" spans="1:8" ht="38.25" customHeight="1">
      <c r="A21" s="261"/>
      <c r="B21" s="135" t="s">
        <v>229</v>
      </c>
      <c r="C21" s="734" t="s">
        <v>59</v>
      </c>
      <c r="D21" s="735" t="s">
        <v>65</v>
      </c>
      <c r="E21" s="735" t="s">
        <v>57</v>
      </c>
      <c r="F21" s="736" t="s">
        <v>313</v>
      </c>
      <c r="G21" s="121"/>
      <c r="H21" s="275">
        <f>H22</f>
        <v>14111.9</v>
      </c>
    </row>
    <row r="22" spans="1:8" ht="41.25" customHeight="1">
      <c r="A22" s="261"/>
      <c r="B22" s="135" t="s">
        <v>97</v>
      </c>
      <c r="C22" s="734" t="s">
        <v>59</v>
      </c>
      <c r="D22" s="735" t="s">
        <v>65</v>
      </c>
      <c r="E22" s="735" t="s">
        <v>57</v>
      </c>
      <c r="F22" s="736" t="s">
        <v>313</v>
      </c>
      <c r="G22" s="121" t="s">
        <v>98</v>
      </c>
      <c r="H22" s="275">
        <f>'прил12(ведом 21)'!M422</f>
        <v>14111.9</v>
      </c>
    </row>
    <row r="23" spans="1:8" ht="36" customHeight="1">
      <c r="A23" s="261"/>
      <c r="B23" s="135" t="s">
        <v>230</v>
      </c>
      <c r="C23" s="734" t="s">
        <v>59</v>
      </c>
      <c r="D23" s="735" t="s">
        <v>65</v>
      </c>
      <c r="E23" s="735" t="s">
        <v>57</v>
      </c>
      <c r="F23" s="736" t="s">
        <v>314</v>
      </c>
      <c r="G23" s="121"/>
      <c r="H23" s="275">
        <f>H24+H25</f>
        <v>3250.9999999999995</v>
      </c>
    </row>
    <row r="24" spans="1:8" ht="39" customHeight="1">
      <c r="A24" s="261"/>
      <c r="B24" s="277" t="s">
        <v>225</v>
      </c>
      <c r="C24" s="734" t="s">
        <v>59</v>
      </c>
      <c r="D24" s="735" t="s">
        <v>65</v>
      </c>
      <c r="E24" s="735" t="s">
        <v>57</v>
      </c>
      <c r="F24" s="736" t="s">
        <v>314</v>
      </c>
      <c r="G24" s="121" t="s">
        <v>226</v>
      </c>
      <c r="H24" s="275">
        <f>'прил12(ведом 21)'!M379</f>
        <v>3192.7999999999997</v>
      </c>
    </row>
    <row r="25" spans="1:8" ht="39" customHeight="1">
      <c r="A25" s="261"/>
      <c r="B25" s="135" t="s">
        <v>97</v>
      </c>
      <c r="C25" s="734" t="s">
        <v>59</v>
      </c>
      <c r="D25" s="735" t="s">
        <v>65</v>
      </c>
      <c r="E25" s="735" t="s">
        <v>57</v>
      </c>
      <c r="F25" s="736" t="s">
        <v>314</v>
      </c>
      <c r="G25" s="121" t="s">
        <v>98</v>
      </c>
      <c r="H25" s="137">
        <f>'прил12(ведом 21)'!M424</f>
        <v>58.2</v>
      </c>
    </row>
    <row r="26" spans="1:8" ht="112.5" customHeight="1">
      <c r="A26" s="261"/>
      <c r="B26" s="274" t="s">
        <v>323</v>
      </c>
      <c r="C26" s="734" t="s">
        <v>59</v>
      </c>
      <c r="D26" s="735" t="s">
        <v>65</v>
      </c>
      <c r="E26" s="735" t="s">
        <v>57</v>
      </c>
      <c r="F26" s="736" t="s">
        <v>324</v>
      </c>
      <c r="G26" s="121"/>
      <c r="H26" s="275">
        <f>SUM(H27:H28)</f>
        <v>7434.2</v>
      </c>
    </row>
    <row r="27" spans="1:8" ht="37.5">
      <c r="A27" s="261"/>
      <c r="B27" s="274" t="s">
        <v>75</v>
      </c>
      <c r="C27" s="734" t="s">
        <v>59</v>
      </c>
      <c r="D27" s="735" t="s">
        <v>65</v>
      </c>
      <c r="E27" s="735" t="s">
        <v>57</v>
      </c>
      <c r="F27" s="736" t="s">
        <v>324</v>
      </c>
      <c r="G27" s="121" t="s">
        <v>76</v>
      </c>
      <c r="H27" s="275">
        <f>'прил12(ведом 21)'!M553</f>
        <v>109.8</v>
      </c>
    </row>
    <row r="28" spans="1:8" ht="22.5" customHeight="1">
      <c r="A28" s="261"/>
      <c r="B28" s="276" t="s">
        <v>141</v>
      </c>
      <c r="C28" s="734" t="s">
        <v>59</v>
      </c>
      <c r="D28" s="735" t="s">
        <v>65</v>
      </c>
      <c r="E28" s="735" t="s">
        <v>57</v>
      </c>
      <c r="F28" s="736" t="s">
        <v>324</v>
      </c>
      <c r="G28" s="121" t="s">
        <v>142</v>
      </c>
      <c r="H28" s="275">
        <f>'прил12(ведом 21)'!M554</f>
        <v>7324.4</v>
      </c>
    </row>
    <row r="29" spans="1:8" ht="18.75">
      <c r="A29" s="261"/>
      <c r="B29" s="274" t="s">
        <v>308</v>
      </c>
      <c r="C29" s="734" t="s">
        <v>59</v>
      </c>
      <c r="D29" s="735" t="s">
        <v>65</v>
      </c>
      <c r="E29" s="735" t="s">
        <v>57</v>
      </c>
      <c r="F29" s="736" t="s">
        <v>309</v>
      </c>
      <c r="G29" s="121"/>
      <c r="H29" s="275">
        <f>H30</f>
        <v>460.3</v>
      </c>
    </row>
    <row r="30" spans="1:8" ht="41.25" customHeight="1">
      <c r="A30" s="261"/>
      <c r="B30" s="274" t="s">
        <v>97</v>
      </c>
      <c r="C30" s="734" t="s">
        <v>59</v>
      </c>
      <c r="D30" s="735" t="s">
        <v>65</v>
      </c>
      <c r="E30" s="735" t="s">
        <v>57</v>
      </c>
      <c r="F30" s="736" t="s">
        <v>309</v>
      </c>
      <c r="G30" s="121" t="s">
        <v>98</v>
      </c>
      <c r="H30" s="275">
        <f>'прил12(ведом 21)'!M426</f>
        <v>460.3</v>
      </c>
    </row>
    <row r="31" spans="1:8" ht="97.5" customHeight="1">
      <c r="A31" s="261"/>
      <c r="B31" s="274" t="s">
        <v>415</v>
      </c>
      <c r="C31" s="734" t="s">
        <v>59</v>
      </c>
      <c r="D31" s="735" t="s">
        <v>65</v>
      </c>
      <c r="E31" s="735" t="s">
        <v>57</v>
      </c>
      <c r="F31" s="736" t="s">
        <v>310</v>
      </c>
      <c r="G31" s="121"/>
      <c r="H31" s="275">
        <f>H32</f>
        <v>212697.8</v>
      </c>
    </row>
    <row r="32" spans="1:8" ht="39.75" customHeight="1">
      <c r="A32" s="261"/>
      <c r="B32" s="276" t="s">
        <v>97</v>
      </c>
      <c r="C32" s="734" t="s">
        <v>59</v>
      </c>
      <c r="D32" s="735" t="s">
        <v>65</v>
      </c>
      <c r="E32" s="735" t="s">
        <v>57</v>
      </c>
      <c r="F32" s="736" t="s">
        <v>310</v>
      </c>
      <c r="G32" s="121" t="s">
        <v>98</v>
      </c>
      <c r="H32" s="275">
        <f>'прил12(ведом 21)'!M428</f>
        <v>212697.8</v>
      </c>
    </row>
    <row r="33" spans="1:8" ht="56.25">
      <c r="A33" s="261"/>
      <c r="B33" s="135" t="s">
        <v>1005</v>
      </c>
      <c r="C33" s="734" t="s">
        <v>59</v>
      </c>
      <c r="D33" s="735" t="s">
        <v>65</v>
      </c>
      <c r="E33" s="735" t="s">
        <v>57</v>
      </c>
      <c r="F33" s="736" t="s">
        <v>1006</v>
      </c>
      <c r="G33" s="121"/>
      <c r="H33" s="275">
        <f>H34</f>
        <v>1420</v>
      </c>
    </row>
    <row r="34" spans="1:8" ht="39.75" customHeight="1">
      <c r="A34" s="261"/>
      <c r="B34" s="276" t="s">
        <v>97</v>
      </c>
      <c r="C34" s="734" t="s">
        <v>59</v>
      </c>
      <c r="D34" s="735" t="s">
        <v>65</v>
      </c>
      <c r="E34" s="735" t="s">
        <v>57</v>
      </c>
      <c r="F34" s="736" t="s">
        <v>1006</v>
      </c>
      <c r="G34" s="121" t="s">
        <v>98</v>
      </c>
      <c r="H34" s="275">
        <f>'прил12(ведом 21)'!M430</f>
        <v>1420</v>
      </c>
    </row>
    <row r="35" spans="1:8" ht="112.5">
      <c r="A35" s="261"/>
      <c r="B35" s="277" t="s">
        <v>1025</v>
      </c>
      <c r="C35" s="734" t="s">
        <v>59</v>
      </c>
      <c r="D35" s="735" t="s">
        <v>65</v>
      </c>
      <c r="E35" s="735" t="s">
        <v>57</v>
      </c>
      <c r="F35" s="736" t="s">
        <v>1022</v>
      </c>
      <c r="G35" s="121"/>
      <c r="H35" s="275">
        <f>H36</f>
        <v>29322</v>
      </c>
    </row>
    <row r="36" spans="1:8" ht="37.5">
      <c r="A36" s="261"/>
      <c r="B36" s="277" t="s">
        <v>225</v>
      </c>
      <c r="C36" s="734" t="s">
        <v>59</v>
      </c>
      <c r="D36" s="735" t="s">
        <v>65</v>
      </c>
      <c r="E36" s="735" t="s">
        <v>57</v>
      </c>
      <c r="F36" s="736" t="s">
        <v>1022</v>
      </c>
      <c r="G36" s="121" t="s">
        <v>226</v>
      </c>
      <c r="H36" s="275">
        <f>'прил12(ведом 21)'!M381</f>
        <v>29322</v>
      </c>
    </row>
    <row r="37" spans="1:8" ht="18.75">
      <c r="A37" s="261"/>
      <c r="B37" s="274" t="s">
        <v>312</v>
      </c>
      <c r="C37" s="734" t="s">
        <v>59</v>
      </c>
      <c r="D37" s="735" t="s">
        <v>65</v>
      </c>
      <c r="E37" s="735" t="s">
        <v>59</v>
      </c>
      <c r="F37" s="736" t="s">
        <v>64</v>
      </c>
      <c r="G37" s="121"/>
      <c r="H37" s="275">
        <f>H46+H49+H57+H61+H65+H38+H43+H68+H71+H54+H74</f>
        <v>635881.30000000005</v>
      </c>
    </row>
    <row r="38" spans="1:8" ht="37.5">
      <c r="A38" s="261"/>
      <c r="B38" s="274" t="s">
        <v>795</v>
      </c>
      <c r="C38" s="734" t="s">
        <v>59</v>
      </c>
      <c r="D38" s="735" t="s">
        <v>65</v>
      </c>
      <c r="E38" s="735" t="s">
        <v>59</v>
      </c>
      <c r="F38" s="736" t="s">
        <v>112</v>
      </c>
      <c r="G38" s="121"/>
      <c r="H38" s="275">
        <f>SUM(H39:H42)</f>
        <v>61986.499999999993</v>
      </c>
    </row>
    <row r="39" spans="1:8" ht="93.75">
      <c r="A39" s="261"/>
      <c r="B39" s="135" t="s">
        <v>69</v>
      </c>
      <c r="C39" s="734" t="s">
        <v>59</v>
      </c>
      <c r="D39" s="735" t="s">
        <v>65</v>
      </c>
      <c r="E39" s="735" t="s">
        <v>59</v>
      </c>
      <c r="F39" s="736" t="s">
        <v>112</v>
      </c>
      <c r="G39" s="121" t="s">
        <v>70</v>
      </c>
      <c r="H39" s="275">
        <f>'прил12(ведом 21)'!M444</f>
        <v>899.4</v>
      </c>
    </row>
    <row r="40" spans="1:8" ht="37.5">
      <c r="A40" s="261"/>
      <c r="B40" s="135" t="s">
        <v>75</v>
      </c>
      <c r="C40" s="734" t="s">
        <v>59</v>
      </c>
      <c r="D40" s="735" t="s">
        <v>65</v>
      </c>
      <c r="E40" s="735" t="s">
        <v>59</v>
      </c>
      <c r="F40" s="736" t="s">
        <v>112</v>
      </c>
      <c r="G40" s="121" t="s">
        <v>76</v>
      </c>
      <c r="H40" s="275">
        <f>'прил12(ведом 21)'!M445</f>
        <v>5422.9999999999991</v>
      </c>
    </row>
    <row r="41" spans="1:8" ht="40.5" customHeight="1">
      <c r="A41" s="261"/>
      <c r="B41" s="274" t="s">
        <v>97</v>
      </c>
      <c r="C41" s="734" t="s">
        <v>59</v>
      </c>
      <c r="D41" s="735" t="s">
        <v>65</v>
      </c>
      <c r="E41" s="735" t="s">
        <v>59</v>
      </c>
      <c r="F41" s="736" t="s">
        <v>112</v>
      </c>
      <c r="G41" s="121" t="s">
        <v>98</v>
      </c>
      <c r="H41" s="275">
        <f>'прил12(ведом 21)'!M446</f>
        <v>55021.599999999991</v>
      </c>
    </row>
    <row r="42" spans="1:8" ht="18.75">
      <c r="A42" s="261"/>
      <c r="B42" s="274" t="s">
        <v>77</v>
      </c>
      <c r="C42" s="734" t="s">
        <v>59</v>
      </c>
      <c r="D42" s="735" t="s">
        <v>65</v>
      </c>
      <c r="E42" s="735" t="s">
        <v>59</v>
      </c>
      <c r="F42" s="736" t="s">
        <v>112</v>
      </c>
      <c r="G42" s="121" t="s">
        <v>78</v>
      </c>
      <c r="H42" s="275">
        <f>'прил12(ведом 21)'!M447</f>
        <v>642.5</v>
      </c>
    </row>
    <row r="43" spans="1:8" ht="18.75">
      <c r="A43" s="261"/>
      <c r="B43" s="135" t="s">
        <v>796</v>
      </c>
      <c r="C43" s="734" t="s">
        <v>59</v>
      </c>
      <c r="D43" s="735" t="s">
        <v>65</v>
      </c>
      <c r="E43" s="735" t="s">
        <v>59</v>
      </c>
      <c r="F43" s="736" t="s">
        <v>479</v>
      </c>
      <c r="G43" s="121"/>
      <c r="H43" s="275">
        <f>SUM(H44:H45)</f>
        <v>16396.400000000001</v>
      </c>
    </row>
    <row r="44" spans="1:8" ht="37.5">
      <c r="A44" s="261"/>
      <c r="B44" s="135" t="s">
        <v>75</v>
      </c>
      <c r="C44" s="734" t="s">
        <v>59</v>
      </c>
      <c r="D44" s="735" t="s">
        <v>65</v>
      </c>
      <c r="E44" s="735" t="s">
        <v>59</v>
      </c>
      <c r="F44" s="736" t="s">
        <v>479</v>
      </c>
      <c r="G44" s="121" t="s">
        <v>76</v>
      </c>
      <c r="H44" s="275">
        <f>'прил12(ведом 21)'!M449</f>
        <v>2125.5</v>
      </c>
    </row>
    <row r="45" spans="1:8" ht="43.5" customHeight="1">
      <c r="A45" s="261"/>
      <c r="B45" s="274" t="s">
        <v>97</v>
      </c>
      <c r="C45" s="734" t="s">
        <v>59</v>
      </c>
      <c r="D45" s="735" t="s">
        <v>65</v>
      </c>
      <c r="E45" s="735" t="s">
        <v>59</v>
      </c>
      <c r="F45" s="736" t="s">
        <v>479</v>
      </c>
      <c r="G45" s="121" t="s">
        <v>98</v>
      </c>
      <c r="H45" s="275">
        <f>'прил12(ведом 21)'!M450</f>
        <v>14270.900000000001</v>
      </c>
    </row>
    <row r="46" spans="1:8" ht="42.75" customHeight="1">
      <c r="A46" s="261"/>
      <c r="B46" s="274" t="s">
        <v>229</v>
      </c>
      <c r="C46" s="734" t="s">
        <v>59</v>
      </c>
      <c r="D46" s="735" t="s">
        <v>65</v>
      </c>
      <c r="E46" s="735" t="s">
        <v>59</v>
      </c>
      <c r="F46" s="736" t="s">
        <v>313</v>
      </c>
      <c r="G46" s="121"/>
      <c r="H46" s="275">
        <f>SUM(H47:H48)</f>
        <v>23934.899999999998</v>
      </c>
    </row>
    <row r="47" spans="1:8" ht="37.5">
      <c r="A47" s="261"/>
      <c r="B47" s="135" t="s">
        <v>75</v>
      </c>
      <c r="C47" s="734" t="s">
        <v>59</v>
      </c>
      <c r="D47" s="735" t="s">
        <v>65</v>
      </c>
      <c r="E47" s="735" t="s">
        <v>59</v>
      </c>
      <c r="F47" s="736" t="s">
        <v>313</v>
      </c>
      <c r="G47" s="121" t="s">
        <v>76</v>
      </c>
      <c r="H47" s="275">
        <f>'прил12(ведом 21)'!M452</f>
        <v>3514</v>
      </c>
    </row>
    <row r="48" spans="1:8" ht="42" customHeight="1">
      <c r="A48" s="261"/>
      <c r="B48" s="274" t="s">
        <v>97</v>
      </c>
      <c r="C48" s="734" t="s">
        <v>59</v>
      </c>
      <c r="D48" s="735" t="s">
        <v>65</v>
      </c>
      <c r="E48" s="735" t="s">
        <v>59</v>
      </c>
      <c r="F48" s="736" t="s">
        <v>313</v>
      </c>
      <c r="G48" s="121" t="s">
        <v>98</v>
      </c>
      <c r="H48" s="275">
        <f>'прил12(ведом 21)'!M453</f>
        <v>20420.899999999998</v>
      </c>
    </row>
    <row r="49" spans="1:8" ht="37.5">
      <c r="A49" s="261"/>
      <c r="B49" s="274" t="s">
        <v>230</v>
      </c>
      <c r="C49" s="734" t="s">
        <v>59</v>
      </c>
      <c r="D49" s="735" t="s">
        <v>65</v>
      </c>
      <c r="E49" s="735" t="s">
        <v>59</v>
      </c>
      <c r="F49" s="736" t="s">
        <v>314</v>
      </c>
      <c r="G49" s="121"/>
      <c r="H49" s="275">
        <f>SUM(H50:H53)</f>
        <v>22660.9</v>
      </c>
    </row>
    <row r="50" spans="1:8" ht="37.5">
      <c r="A50" s="261"/>
      <c r="B50" s="135" t="s">
        <v>75</v>
      </c>
      <c r="C50" s="734" t="s">
        <v>59</v>
      </c>
      <c r="D50" s="735" t="s">
        <v>65</v>
      </c>
      <c r="E50" s="735" t="s">
        <v>59</v>
      </c>
      <c r="F50" s="736" t="s">
        <v>314</v>
      </c>
      <c r="G50" s="121" t="s">
        <v>76</v>
      </c>
      <c r="H50" s="275">
        <f>'прил12(ведом 21)'!M455</f>
        <v>337.79999999999995</v>
      </c>
    </row>
    <row r="51" spans="1:8" ht="37.5">
      <c r="A51" s="261"/>
      <c r="B51" s="135" t="s">
        <v>141</v>
      </c>
      <c r="C51" s="734" t="s">
        <v>59</v>
      </c>
      <c r="D51" s="735" t="s">
        <v>65</v>
      </c>
      <c r="E51" s="735" t="s">
        <v>59</v>
      </c>
      <c r="F51" s="736" t="s">
        <v>314</v>
      </c>
      <c r="G51" s="121" t="s">
        <v>142</v>
      </c>
      <c r="H51" s="275">
        <f>'прил12(ведом 21)'!M456</f>
        <v>26.9</v>
      </c>
    </row>
    <row r="52" spans="1:8" ht="37.5">
      <c r="A52" s="261"/>
      <c r="B52" s="277" t="s">
        <v>225</v>
      </c>
      <c r="C52" s="734" t="s">
        <v>59</v>
      </c>
      <c r="D52" s="735" t="s">
        <v>65</v>
      </c>
      <c r="E52" s="735" t="s">
        <v>59</v>
      </c>
      <c r="F52" s="736" t="s">
        <v>314</v>
      </c>
      <c r="G52" s="121" t="s">
        <v>226</v>
      </c>
      <c r="H52" s="275">
        <f>'прил12(ведом 21)'!M457+'прил12(ведом 21)'!M387</f>
        <v>4489.7</v>
      </c>
    </row>
    <row r="53" spans="1:8" ht="42" customHeight="1">
      <c r="A53" s="261"/>
      <c r="B53" s="274" t="s">
        <v>97</v>
      </c>
      <c r="C53" s="734" t="s">
        <v>59</v>
      </c>
      <c r="D53" s="735" t="s">
        <v>65</v>
      </c>
      <c r="E53" s="735" t="s">
        <v>59</v>
      </c>
      <c r="F53" s="736" t="s">
        <v>314</v>
      </c>
      <c r="G53" s="121" t="s">
        <v>98</v>
      </c>
      <c r="H53" s="275">
        <f>'прил12(ведом 21)'!M458</f>
        <v>17806.5</v>
      </c>
    </row>
    <row r="54" spans="1:8" ht="77.25" customHeight="1">
      <c r="A54" s="261"/>
      <c r="B54" s="135" t="s">
        <v>889</v>
      </c>
      <c r="C54" s="734" t="s">
        <v>59</v>
      </c>
      <c r="D54" s="735" t="s">
        <v>65</v>
      </c>
      <c r="E54" s="735" t="s">
        <v>59</v>
      </c>
      <c r="F54" s="736" t="s">
        <v>888</v>
      </c>
      <c r="G54" s="121"/>
      <c r="H54" s="275">
        <f>H55+H56</f>
        <v>36560.199999999997</v>
      </c>
    </row>
    <row r="55" spans="1:8" ht="71.45" customHeight="1">
      <c r="A55" s="261"/>
      <c r="B55" s="135" t="s">
        <v>69</v>
      </c>
      <c r="C55" s="734" t="s">
        <v>59</v>
      </c>
      <c r="D55" s="735" t="s">
        <v>65</v>
      </c>
      <c r="E55" s="735" t="s">
        <v>59</v>
      </c>
      <c r="F55" s="736" t="s">
        <v>888</v>
      </c>
      <c r="G55" s="121" t="s">
        <v>70</v>
      </c>
      <c r="H55" s="275">
        <f>'прил12(ведом 21)'!M460</f>
        <v>2968.6</v>
      </c>
    </row>
    <row r="56" spans="1:8" ht="42" customHeight="1">
      <c r="A56" s="261"/>
      <c r="B56" s="135" t="s">
        <v>97</v>
      </c>
      <c r="C56" s="734" t="s">
        <v>59</v>
      </c>
      <c r="D56" s="735" t="s">
        <v>65</v>
      </c>
      <c r="E56" s="735" t="s">
        <v>59</v>
      </c>
      <c r="F56" s="736" t="s">
        <v>888</v>
      </c>
      <c r="G56" s="121" t="s">
        <v>98</v>
      </c>
      <c r="H56" s="275">
        <f>'прил12(ведом 21)'!M461</f>
        <v>33591.599999999999</v>
      </c>
    </row>
    <row r="57" spans="1:8" ht="18.75">
      <c r="A57" s="261"/>
      <c r="B57" s="274" t="s">
        <v>308</v>
      </c>
      <c r="C57" s="734" t="s">
        <v>59</v>
      </c>
      <c r="D57" s="735" t="s">
        <v>65</v>
      </c>
      <c r="E57" s="735" t="s">
        <v>59</v>
      </c>
      <c r="F57" s="736" t="s">
        <v>309</v>
      </c>
      <c r="G57" s="121"/>
      <c r="H57" s="275">
        <f>SUM(H58:H60)</f>
        <v>1459.8</v>
      </c>
    </row>
    <row r="58" spans="1:8" ht="93.75">
      <c r="A58" s="261"/>
      <c r="B58" s="135" t="s">
        <v>69</v>
      </c>
      <c r="C58" s="734" t="s">
        <v>59</v>
      </c>
      <c r="D58" s="735" t="s">
        <v>65</v>
      </c>
      <c r="E58" s="735" t="s">
        <v>59</v>
      </c>
      <c r="F58" s="736" t="s">
        <v>309</v>
      </c>
      <c r="G58" s="121" t="s">
        <v>70</v>
      </c>
      <c r="H58" s="275">
        <f>'прил12(ведом 21)'!M463</f>
        <v>99.699999999999989</v>
      </c>
    </row>
    <row r="59" spans="1:8" ht="24.75" customHeight="1">
      <c r="A59" s="261"/>
      <c r="B59" s="135" t="s">
        <v>141</v>
      </c>
      <c r="C59" s="734" t="s">
        <v>59</v>
      </c>
      <c r="D59" s="735" t="s">
        <v>65</v>
      </c>
      <c r="E59" s="735" t="s">
        <v>59</v>
      </c>
      <c r="F59" s="736" t="s">
        <v>309</v>
      </c>
      <c r="G59" s="121" t="s">
        <v>142</v>
      </c>
      <c r="H59" s="275">
        <f>'прил12(ведом 21)'!M464</f>
        <v>6.6000000000000005</v>
      </c>
    </row>
    <row r="60" spans="1:8" ht="42" customHeight="1">
      <c r="A60" s="261"/>
      <c r="B60" s="274" t="s">
        <v>97</v>
      </c>
      <c r="C60" s="734" t="s">
        <v>59</v>
      </c>
      <c r="D60" s="735" t="s">
        <v>65</v>
      </c>
      <c r="E60" s="735" t="s">
        <v>59</v>
      </c>
      <c r="F60" s="736" t="s">
        <v>309</v>
      </c>
      <c r="G60" s="121" t="s">
        <v>98</v>
      </c>
      <c r="H60" s="275">
        <f>'прил12(ведом 21)'!M465</f>
        <v>1353.5</v>
      </c>
    </row>
    <row r="61" spans="1:8" ht="99" customHeight="1">
      <c r="A61" s="261"/>
      <c r="B61" s="274" t="s">
        <v>415</v>
      </c>
      <c r="C61" s="734" t="s">
        <v>59</v>
      </c>
      <c r="D61" s="735" t="s">
        <v>65</v>
      </c>
      <c r="E61" s="735" t="s">
        <v>59</v>
      </c>
      <c r="F61" s="736" t="s">
        <v>310</v>
      </c>
      <c r="G61" s="121"/>
      <c r="H61" s="275">
        <f>SUM(H62:H64)</f>
        <v>404790.7</v>
      </c>
    </row>
    <row r="62" spans="1:8" ht="93.75">
      <c r="A62" s="261"/>
      <c r="B62" s="274" t="s">
        <v>69</v>
      </c>
      <c r="C62" s="734" t="s">
        <v>59</v>
      </c>
      <c r="D62" s="735" t="s">
        <v>65</v>
      </c>
      <c r="E62" s="735" t="s">
        <v>59</v>
      </c>
      <c r="F62" s="736" t="s">
        <v>310</v>
      </c>
      <c r="G62" s="121" t="s">
        <v>70</v>
      </c>
      <c r="H62" s="275">
        <f>'прил12(ведом 21)'!M467</f>
        <v>27932.7</v>
      </c>
    </row>
    <row r="63" spans="1:8" ht="37.5">
      <c r="A63" s="261"/>
      <c r="B63" s="274" t="s">
        <v>75</v>
      </c>
      <c r="C63" s="734" t="s">
        <v>59</v>
      </c>
      <c r="D63" s="735" t="s">
        <v>65</v>
      </c>
      <c r="E63" s="735" t="s">
        <v>59</v>
      </c>
      <c r="F63" s="736" t="s">
        <v>310</v>
      </c>
      <c r="G63" s="121" t="s">
        <v>76</v>
      </c>
      <c r="H63" s="275">
        <f>'прил12(ведом 21)'!M468</f>
        <v>1927.7</v>
      </c>
    </row>
    <row r="64" spans="1:8" ht="41.25" customHeight="1">
      <c r="A64" s="261"/>
      <c r="B64" s="274" t="s">
        <v>97</v>
      </c>
      <c r="C64" s="734" t="s">
        <v>59</v>
      </c>
      <c r="D64" s="735" t="s">
        <v>65</v>
      </c>
      <c r="E64" s="735" t="s">
        <v>59</v>
      </c>
      <c r="F64" s="736" t="s">
        <v>310</v>
      </c>
      <c r="G64" s="121" t="s">
        <v>98</v>
      </c>
      <c r="H64" s="275">
        <f>'прил12(ведом 21)'!M469</f>
        <v>374930.3</v>
      </c>
    </row>
    <row r="65" spans="1:8" ht="81" customHeight="1">
      <c r="A65" s="261"/>
      <c r="B65" s="274" t="s">
        <v>231</v>
      </c>
      <c r="C65" s="729" t="s">
        <v>59</v>
      </c>
      <c r="D65" s="729" t="s">
        <v>65</v>
      </c>
      <c r="E65" s="729" t="s">
        <v>59</v>
      </c>
      <c r="F65" s="730" t="s">
        <v>315</v>
      </c>
      <c r="G65" s="259"/>
      <c r="H65" s="275">
        <f>SUM(H66:H67)</f>
        <v>1982.9999999999998</v>
      </c>
    </row>
    <row r="66" spans="1:8" ht="37.5">
      <c r="A66" s="261"/>
      <c r="B66" s="135" t="s">
        <v>75</v>
      </c>
      <c r="C66" s="734" t="s">
        <v>59</v>
      </c>
      <c r="D66" s="735" t="s">
        <v>65</v>
      </c>
      <c r="E66" s="735" t="s">
        <v>59</v>
      </c>
      <c r="F66" s="736" t="s">
        <v>315</v>
      </c>
      <c r="G66" s="121" t="s">
        <v>76</v>
      </c>
      <c r="H66" s="275">
        <f>'прил12(ведом 21)'!M471</f>
        <v>93.2</v>
      </c>
    </row>
    <row r="67" spans="1:8" ht="41.25" customHeight="1">
      <c r="A67" s="261"/>
      <c r="B67" s="274" t="s">
        <v>97</v>
      </c>
      <c r="C67" s="729" t="s">
        <v>59</v>
      </c>
      <c r="D67" s="729" t="s">
        <v>65</v>
      </c>
      <c r="E67" s="729" t="s">
        <v>59</v>
      </c>
      <c r="F67" s="730" t="s">
        <v>315</v>
      </c>
      <c r="G67" s="259" t="s">
        <v>98</v>
      </c>
      <c r="H67" s="275">
        <f>'прил12(ведом 21)'!M472</f>
        <v>1889.7999999999997</v>
      </c>
    </row>
    <row r="68" spans="1:8" ht="56.25">
      <c r="A68" s="261"/>
      <c r="B68" s="135" t="s">
        <v>1005</v>
      </c>
      <c r="C68" s="734" t="s">
        <v>59</v>
      </c>
      <c r="D68" s="735" t="s">
        <v>65</v>
      </c>
      <c r="E68" s="735" t="s">
        <v>59</v>
      </c>
      <c r="F68" s="736" t="s">
        <v>1006</v>
      </c>
      <c r="G68" s="121"/>
      <c r="H68" s="275">
        <f>H69+H70</f>
        <v>6665</v>
      </c>
    </row>
    <row r="69" spans="1:8" ht="41.25" customHeight="1">
      <c r="A69" s="261"/>
      <c r="B69" s="135" t="s">
        <v>75</v>
      </c>
      <c r="C69" s="734" t="s">
        <v>59</v>
      </c>
      <c r="D69" s="735" t="s">
        <v>65</v>
      </c>
      <c r="E69" s="735" t="s">
        <v>59</v>
      </c>
      <c r="F69" s="736" t="s">
        <v>1006</v>
      </c>
      <c r="G69" s="121" t="s">
        <v>76</v>
      </c>
      <c r="H69" s="275">
        <f>'прил12(ведом 21)'!M474</f>
        <v>800</v>
      </c>
    </row>
    <row r="70" spans="1:8" ht="56.25">
      <c r="A70" s="261"/>
      <c r="B70" s="135" t="s">
        <v>97</v>
      </c>
      <c r="C70" s="734" t="s">
        <v>59</v>
      </c>
      <c r="D70" s="735" t="s">
        <v>65</v>
      </c>
      <c r="E70" s="735" t="s">
        <v>59</v>
      </c>
      <c r="F70" s="736" t="s">
        <v>1006</v>
      </c>
      <c r="G70" s="121" t="s">
        <v>98</v>
      </c>
      <c r="H70" s="275">
        <f>'прил12(ведом 21)'!M475</f>
        <v>5865</v>
      </c>
    </row>
    <row r="71" spans="1:8" ht="75" customHeight="1">
      <c r="A71" s="261"/>
      <c r="B71" s="135" t="s">
        <v>765</v>
      </c>
      <c r="C71" s="734" t="s">
        <v>59</v>
      </c>
      <c r="D71" s="735" t="s">
        <v>65</v>
      </c>
      <c r="E71" s="735" t="s">
        <v>59</v>
      </c>
      <c r="F71" s="736" t="s">
        <v>764</v>
      </c>
      <c r="G71" s="121"/>
      <c r="H71" s="275">
        <f>H72+H73</f>
        <v>53475.6</v>
      </c>
    </row>
    <row r="72" spans="1:8" ht="38.25" customHeight="1">
      <c r="A72" s="261"/>
      <c r="B72" s="135" t="s">
        <v>75</v>
      </c>
      <c r="C72" s="734" t="s">
        <v>59</v>
      </c>
      <c r="D72" s="735" t="s">
        <v>65</v>
      </c>
      <c r="E72" s="735" t="s">
        <v>59</v>
      </c>
      <c r="F72" s="736" t="s">
        <v>764</v>
      </c>
      <c r="G72" s="121" t="s">
        <v>76</v>
      </c>
      <c r="H72" s="275">
        <f>'прил12(ведом 21)'!M477</f>
        <v>1613.7</v>
      </c>
    </row>
    <row r="73" spans="1:8" ht="39" customHeight="1">
      <c r="A73" s="261"/>
      <c r="B73" s="135" t="s">
        <v>97</v>
      </c>
      <c r="C73" s="734" t="s">
        <v>59</v>
      </c>
      <c r="D73" s="735" t="s">
        <v>65</v>
      </c>
      <c r="E73" s="735" t="s">
        <v>59</v>
      </c>
      <c r="F73" s="736" t="s">
        <v>764</v>
      </c>
      <c r="G73" s="121" t="s">
        <v>98</v>
      </c>
      <c r="H73" s="275">
        <f>'прил12(ведом 21)'!M478</f>
        <v>51861.9</v>
      </c>
    </row>
    <row r="74" spans="1:8" ht="18.75">
      <c r="A74" s="261"/>
      <c r="B74" s="135" t="s">
        <v>1012</v>
      </c>
      <c r="C74" s="734" t="s">
        <v>59</v>
      </c>
      <c r="D74" s="735" t="s">
        <v>65</v>
      </c>
      <c r="E74" s="735" t="s">
        <v>59</v>
      </c>
      <c r="F74" s="736" t="s">
        <v>1011</v>
      </c>
      <c r="G74" s="121"/>
      <c r="H74" s="275">
        <f>H75</f>
        <v>5968.3</v>
      </c>
    </row>
    <row r="75" spans="1:8" ht="56.25">
      <c r="A75" s="261"/>
      <c r="B75" s="135" t="s">
        <v>97</v>
      </c>
      <c r="C75" s="734" t="s">
        <v>59</v>
      </c>
      <c r="D75" s="735" t="s">
        <v>65</v>
      </c>
      <c r="E75" s="735" t="s">
        <v>59</v>
      </c>
      <c r="F75" s="736" t="s">
        <v>1011</v>
      </c>
      <c r="G75" s="121" t="s">
        <v>98</v>
      </c>
      <c r="H75" s="275">
        <f>'прил12(ведом 21)'!M480</f>
        <v>5968.3</v>
      </c>
    </row>
    <row r="76" spans="1:8" ht="42" customHeight="1">
      <c r="A76" s="261"/>
      <c r="B76" s="135" t="s">
        <v>726</v>
      </c>
      <c r="C76" s="734" t="s">
        <v>59</v>
      </c>
      <c r="D76" s="735" t="s">
        <v>65</v>
      </c>
      <c r="E76" s="735" t="s">
        <v>725</v>
      </c>
      <c r="F76" s="736" t="s">
        <v>64</v>
      </c>
      <c r="G76" s="121"/>
      <c r="H76" s="275">
        <f>H77</f>
        <v>450</v>
      </c>
    </row>
    <row r="77" spans="1:8" ht="42" customHeight="1">
      <c r="A77" s="261"/>
      <c r="B77" s="135" t="s">
        <v>682</v>
      </c>
      <c r="C77" s="734" t="s">
        <v>59</v>
      </c>
      <c r="D77" s="735" t="s">
        <v>65</v>
      </c>
      <c r="E77" s="735" t="s">
        <v>725</v>
      </c>
      <c r="F77" s="736" t="s">
        <v>683</v>
      </c>
      <c r="G77" s="121"/>
      <c r="H77" s="275">
        <f>H78</f>
        <v>450</v>
      </c>
    </row>
    <row r="78" spans="1:8" ht="42" customHeight="1">
      <c r="A78" s="261"/>
      <c r="B78" s="135" t="s">
        <v>97</v>
      </c>
      <c r="C78" s="734" t="s">
        <v>59</v>
      </c>
      <c r="D78" s="735" t="s">
        <v>65</v>
      </c>
      <c r="E78" s="735" t="s">
        <v>725</v>
      </c>
      <c r="F78" s="736" t="s">
        <v>683</v>
      </c>
      <c r="G78" s="121" t="s">
        <v>98</v>
      </c>
      <c r="H78" s="275">
        <f>'прил12(ведом 21)'!M433+'прил12(ведом 21)'!M483</f>
        <v>450</v>
      </c>
    </row>
    <row r="79" spans="1:8" ht="18.75">
      <c r="A79" s="261"/>
      <c r="B79" s="274" t="s">
        <v>232</v>
      </c>
      <c r="C79" s="734" t="s">
        <v>59</v>
      </c>
      <c r="D79" s="735" t="s">
        <v>110</v>
      </c>
      <c r="E79" s="735" t="s">
        <v>63</v>
      </c>
      <c r="F79" s="736" t="s">
        <v>64</v>
      </c>
      <c r="G79" s="259"/>
      <c r="H79" s="275">
        <f>H80+H100+H103</f>
        <v>61503.088000000003</v>
      </c>
    </row>
    <row r="80" spans="1:8" ht="37.5">
      <c r="A80" s="261"/>
      <c r="B80" s="274" t="s">
        <v>316</v>
      </c>
      <c r="C80" s="734" t="s">
        <v>59</v>
      </c>
      <c r="D80" s="735" t="s">
        <v>110</v>
      </c>
      <c r="E80" s="735" t="s">
        <v>57</v>
      </c>
      <c r="F80" s="736" t="s">
        <v>64</v>
      </c>
      <c r="G80" s="259"/>
      <c r="H80" s="275">
        <f>H81+H96+H88+H94+H98+H91+H86</f>
        <v>61317.088000000003</v>
      </c>
    </row>
    <row r="81" spans="1:8" ht="37.5">
      <c r="A81" s="261"/>
      <c r="B81" s="274" t="s">
        <v>795</v>
      </c>
      <c r="C81" s="734" t="s">
        <v>59</v>
      </c>
      <c r="D81" s="735" t="s">
        <v>110</v>
      </c>
      <c r="E81" s="735" t="s">
        <v>57</v>
      </c>
      <c r="F81" s="736" t="s">
        <v>112</v>
      </c>
      <c r="G81" s="121"/>
      <c r="H81" s="275">
        <f>SUM(H82:H85)</f>
        <v>49657.588000000003</v>
      </c>
    </row>
    <row r="82" spans="1:8" ht="93.75">
      <c r="A82" s="261"/>
      <c r="B82" s="135" t="s">
        <v>69</v>
      </c>
      <c r="C82" s="734" t="s">
        <v>59</v>
      </c>
      <c r="D82" s="735" t="s">
        <v>110</v>
      </c>
      <c r="E82" s="735" t="s">
        <v>57</v>
      </c>
      <c r="F82" s="736" t="s">
        <v>112</v>
      </c>
      <c r="G82" s="121" t="s">
        <v>70</v>
      </c>
      <c r="H82" s="275">
        <f>'прил12(ведом 21)'!M494</f>
        <v>18947.600000000002</v>
      </c>
    </row>
    <row r="83" spans="1:8" ht="37.5">
      <c r="A83" s="261"/>
      <c r="B83" s="135" t="s">
        <v>75</v>
      </c>
      <c r="C83" s="734" t="s">
        <v>59</v>
      </c>
      <c r="D83" s="735" t="s">
        <v>110</v>
      </c>
      <c r="E83" s="735" t="s">
        <v>57</v>
      </c>
      <c r="F83" s="736" t="s">
        <v>112</v>
      </c>
      <c r="G83" s="121" t="s">
        <v>76</v>
      </c>
      <c r="H83" s="275">
        <f>'прил12(ведом 21)'!M495</f>
        <v>1806.9469999999999</v>
      </c>
    </row>
    <row r="84" spans="1:8" ht="38.25" customHeight="1">
      <c r="A84" s="261"/>
      <c r="B84" s="274" t="s">
        <v>97</v>
      </c>
      <c r="C84" s="734" t="s">
        <v>59</v>
      </c>
      <c r="D84" s="735" t="s">
        <v>110</v>
      </c>
      <c r="E84" s="735" t="s">
        <v>57</v>
      </c>
      <c r="F84" s="736" t="s">
        <v>112</v>
      </c>
      <c r="G84" s="121" t="s">
        <v>98</v>
      </c>
      <c r="H84" s="275">
        <f>'прил12(ведом 21)'!M496</f>
        <v>28811.596999999998</v>
      </c>
    </row>
    <row r="85" spans="1:8" ht="18.75">
      <c r="A85" s="261"/>
      <c r="B85" s="135" t="s">
        <v>77</v>
      </c>
      <c r="C85" s="734" t="s">
        <v>59</v>
      </c>
      <c r="D85" s="735" t="s">
        <v>110</v>
      </c>
      <c r="E85" s="735" t="s">
        <v>57</v>
      </c>
      <c r="F85" s="736" t="s">
        <v>112</v>
      </c>
      <c r="G85" s="121" t="s">
        <v>78</v>
      </c>
      <c r="H85" s="275">
        <f>'прил12(ведом 21)'!M497</f>
        <v>91.443999999999988</v>
      </c>
    </row>
    <row r="86" spans="1:8" ht="18.75">
      <c r="A86" s="261"/>
      <c r="B86" s="135" t="s">
        <v>796</v>
      </c>
      <c r="C86" s="734" t="s">
        <v>59</v>
      </c>
      <c r="D86" s="735" t="s">
        <v>110</v>
      </c>
      <c r="E86" s="735" t="s">
        <v>57</v>
      </c>
      <c r="F86" s="736" t="s">
        <v>479</v>
      </c>
      <c r="G86" s="121"/>
      <c r="H86" s="275">
        <f>H87</f>
        <v>1056.2</v>
      </c>
    </row>
    <row r="87" spans="1:8" ht="38.450000000000003" customHeight="1">
      <c r="A87" s="261"/>
      <c r="B87" s="135" t="s">
        <v>75</v>
      </c>
      <c r="C87" s="734" t="s">
        <v>59</v>
      </c>
      <c r="D87" s="735" t="s">
        <v>110</v>
      </c>
      <c r="E87" s="735" t="s">
        <v>57</v>
      </c>
      <c r="F87" s="736" t="s">
        <v>479</v>
      </c>
      <c r="G87" s="121" t="s">
        <v>76</v>
      </c>
      <c r="H87" s="275">
        <f>'прил12(ведом 21)'!M499</f>
        <v>1056.2</v>
      </c>
    </row>
    <row r="88" spans="1:8" ht="44.25" customHeight="1">
      <c r="A88" s="261"/>
      <c r="B88" s="135" t="s">
        <v>229</v>
      </c>
      <c r="C88" s="734" t="s">
        <v>59</v>
      </c>
      <c r="D88" s="735" t="s">
        <v>110</v>
      </c>
      <c r="E88" s="735" t="s">
        <v>57</v>
      </c>
      <c r="F88" s="736" t="s">
        <v>313</v>
      </c>
      <c r="G88" s="121"/>
      <c r="H88" s="275">
        <f>SUM(H89:H90)</f>
        <v>1246.9000000000001</v>
      </c>
    </row>
    <row r="89" spans="1:8" ht="37.5">
      <c r="A89" s="261"/>
      <c r="B89" s="135" t="s">
        <v>75</v>
      </c>
      <c r="C89" s="734" t="s">
        <v>59</v>
      </c>
      <c r="D89" s="735" t="s">
        <v>110</v>
      </c>
      <c r="E89" s="735" t="s">
        <v>57</v>
      </c>
      <c r="F89" s="736" t="s">
        <v>313</v>
      </c>
      <c r="G89" s="121" t="s">
        <v>76</v>
      </c>
      <c r="H89" s="275">
        <f>'прил12(ведом 21)'!M501</f>
        <v>559.40000000000009</v>
      </c>
    </row>
    <row r="90" spans="1:8" ht="42" customHeight="1">
      <c r="A90" s="261"/>
      <c r="B90" s="282" t="s">
        <v>97</v>
      </c>
      <c r="C90" s="734" t="s">
        <v>59</v>
      </c>
      <c r="D90" s="735" t="s">
        <v>110</v>
      </c>
      <c r="E90" s="735" t="s">
        <v>57</v>
      </c>
      <c r="F90" s="736" t="s">
        <v>313</v>
      </c>
      <c r="G90" s="121" t="s">
        <v>98</v>
      </c>
      <c r="H90" s="275">
        <f>'прил12(ведом 21)'!M502</f>
        <v>687.5</v>
      </c>
    </row>
    <row r="91" spans="1:8" ht="42" customHeight="1">
      <c r="A91" s="261"/>
      <c r="B91" s="135" t="s">
        <v>230</v>
      </c>
      <c r="C91" s="734" t="s">
        <v>59</v>
      </c>
      <c r="D91" s="735" t="s">
        <v>110</v>
      </c>
      <c r="E91" s="735" t="s">
        <v>57</v>
      </c>
      <c r="F91" s="736" t="s">
        <v>314</v>
      </c>
      <c r="G91" s="121"/>
      <c r="H91" s="275">
        <f>H92+H93</f>
        <v>1276.5</v>
      </c>
    </row>
    <row r="92" spans="1:8" ht="42" customHeight="1">
      <c r="A92" s="261"/>
      <c r="B92" s="135" t="s">
        <v>75</v>
      </c>
      <c r="C92" s="734" t="s">
        <v>59</v>
      </c>
      <c r="D92" s="735" t="s">
        <v>110</v>
      </c>
      <c r="E92" s="735" t="s">
        <v>57</v>
      </c>
      <c r="F92" s="736" t="s">
        <v>314</v>
      </c>
      <c r="G92" s="121" t="s">
        <v>76</v>
      </c>
      <c r="H92" s="275">
        <f>'прил12(ведом 21)'!M504</f>
        <v>1259.5</v>
      </c>
    </row>
    <row r="93" spans="1:8" ht="42" customHeight="1">
      <c r="A93" s="261"/>
      <c r="B93" s="282" t="s">
        <v>97</v>
      </c>
      <c r="C93" s="734" t="s">
        <v>59</v>
      </c>
      <c r="D93" s="735" t="s">
        <v>110</v>
      </c>
      <c r="E93" s="735" t="s">
        <v>57</v>
      </c>
      <c r="F93" s="736" t="s">
        <v>314</v>
      </c>
      <c r="G93" s="121" t="s">
        <v>98</v>
      </c>
      <c r="H93" s="275">
        <f>'прил12(ведом 21)'!M505</f>
        <v>17</v>
      </c>
    </row>
    <row r="94" spans="1:8" ht="171" customHeight="1">
      <c r="A94" s="261"/>
      <c r="B94" s="135" t="s">
        <v>694</v>
      </c>
      <c r="C94" s="734" t="s">
        <v>59</v>
      </c>
      <c r="D94" s="735" t="s">
        <v>110</v>
      </c>
      <c r="E94" s="735" t="s">
        <v>57</v>
      </c>
      <c r="F94" s="736" t="s">
        <v>538</v>
      </c>
      <c r="G94" s="121"/>
      <c r="H94" s="275">
        <f>H95</f>
        <v>124.7</v>
      </c>
    </row>
    <row r="95" spans="1:8" ht="93.75">
      <c r="A95" s="261"/>
      <c r="B95" s="135" t="s">
        <v>69</v>
      </c>
      <c r="C95" s="734" t="s">
        <v>59</v>
      </c>
      <c r="D95" s="735" t="s">
        <v>110</v>
      </c>
      <c r="E95" s="735" t="s">
        <v>57</v>
      </c>
      <c r="F95" s="736" t="s">
        <v>538</v>
      </c>
      <c r="G95" s="121" t="s">
        <v>70</v>
      </c>
      <c r="H95" s="275">
        <f>'прил12(ведом 21)'!M507</f>
        <v>124.7</v>
      </c>
    </row>
    <row r="96" spans="1:8" ht="18.75">
      <c r="A96" s="261"/>
      <c r="B96" s="274" t="s">
        <v>308</v>
      </c>
      <c r="C96" s="734" t="s">
        <v>59</v>
      </c>
      <c r="D96" s="735" t="s">
        <v>110</v>
      </c>
      <c r="E96" s="735" t="s">
        <v>57</v>
      </c>
      <c r="F96" s="736" t="s">
        <v>309</v>
      </c>
      <c r="G96" s="121"/>
      <c r="H96" s="275">
        <f>H97</f>
        <v>79.8</v>
      </c>
    </row>
    <row r="97" spans="1:8" ht="56.25">
      <c r="A97" s="261"/>
      <c r="B97" s="135" t="s">
        <v>97</v>
      </c>
      <c r="C97" s="734" t="s">
        <v>59</v>
      </c>
      <c r="D97" s="735" t="s">
        <v>110</v>
      </c>
      <c r="E97" s="735" t="s">
        <v>57</v>
      </c>
      <c r="F97" s="736" t="s">
        <v>309</v>
      </c>
      <c r="G97" s="121" t="s">
        <v>98</v>
      </c>
      <c r="H97" s="275">
        <f>'прил12(ведом 21)'!M509</f>
        <v>79.8</v>
      </c>
    </row>
    <row r="98" spans="1:8" ht="97.5" customHeight="1">
      <c r="A98" s="261"/>
      <c r="B98" s="135" t="s">
        <v>415</v>
      </c>
      <c r="C98" s="734" t="s">
        <v>59</v>
      </c>
      <c r="D98" s="735" t="s">
        <v>110</v>
      </c>
      <c r="E98" s="735" t="s">
        <v>57</v>
      </c>
      <c r="F98" s="736" t="s">
        <v>310</v>
      </c>
      <c r="G98" s="121"/>
      <c r="H98" s="275">
        <f>H99</f>
        <v>7875.4</v>
      </c>
    </row>
    <row r="99" spans="1:8" ht="41.25" customHeight="1">
      <c r="A99" s="261"/>
      <c r="B99" s="135" t="s">
        <v>97</v>
      </c>
      <c r="C99" s="734" t="s">
        <v>59</v>
      </c>
      <c r="D99" s="735" t="s">
        <v>110</v>
      </c>
      <c r="E99" s="735" t="s">
        <v>57</v>
      </c>
      <c r="F99" s="736" t="s">
        <v>310</v>
      </c>
      <c r="G99" s="121" t="s">
        <v>98</v>
      </c>
      <c r="H99" s="275">
        <f>'прил12(ведом 21)'!M511</f>
        <v>7875.4</v>
      </c>
    </row>
    <row r="100" spans="1:8" ht="18.75">
      <c r="A100" s="261"/>
      <c r="B100" s="135" t="s">
        <v>317</v>
      </c>
      <c r="C100" s="734" t="s">
        <v>59</v>
      </c>
      <c r="D100" s="735" t="s">
        <v>110</v>
      </c>
      <c r="E100" s="735" t="s">
        <v>59</v>
      </c>
      <c r="F100" s="736" t="s">
        <v>64</v>
      </c>
      <c r="G100" s="121"/>
      <c r="H100" s="275">
        <f>H101</f>
        <v>36</v>
      </c>
    </row>
    <row r="101" spans="1:8" ht="37.5">
      <c r="A101" s="261"/>
      <c r="B101" s="135" t="s">
        <v>318</v>
      </c>
      <c r="C101" s="734" t="s">
        <v>59</v>
      </c>
      <c r="D101" s="735" t="s">
        <v>110</v>
      </c>
      <c r="E101" s="735" t="s">
        <v>59</v>
      </c>
      <c r="F101" s="736" t="s">
        <v>319</v>
      </c>
      <c r="G101" s="121"/>
      <c r="H101" s="275">
        <f>H102</f>
        <v>36</v>
      </c>
    </row>
    <row r="102" spans="1:8" ht="20.25" customHeight="1">
      <c r="A102" s="261"/>
      <c r="B102" s="135" t="s">
        <v>141</v>
      </c>
      <c r="C102" s="734" t="s">
        <v>59</v>
      </c>
      <c r="D102" s="735" t="s">
        <v>110</v>
      </c>
      <c r="E102" s="735" t="s">
        <v>59</v>
      </c>
      <c r="F102" s="736" t="s">
        <v>319</v>
      </c>
      <c r="G102" s="121" t="s">
        <v>142</v>
      </c>
      <c r="H102" s="275">
        <f>'прил12(ведом 21)'!M528</f>
        <v>36</v>
      </c>
    </row>
    <row r="103" spans="1:8" ht="36" customHeight="1">
      <c r="A103" s="261"/>
      <c r="B103" s="135" t="s">
        <v>726</v>
      </c>
      <c r="C103" s="734" t="s">
        <v>59</v>
      </c>
      <c r="D103" s="735" t="s">
        <v>110</v>
      </c>
      <c r="E103" s="735" t="s">
        <v>725</v>
      </c>
      <c r="F103" s="736" t="s">
        <v>64</v>
      </c>
      <c r="G103" s="121"/>
      <c r="H103" s="275">
        <f>H104</f>
        <v>150</v>
      </c>
    </row>
    <row r="104" spans="1:8" ht="38.25" customHeight="1">
      <c r="A104" s="261"/>
      <c r="B104" s="135" t="s">
        <v>682</v>
      </c>
      <c r="C104" s="734" t="s">
        <v>59</v>
      </c>
      <c r="D104" s="735" t="s">
        <v>110</v>
      </c>
      <c r="E104" s="735" t="s">
        <v>725</v>
      </c>
      <c r="F104" s="736" t="s">
        <v>683</v>
      </c>
      <c r="G104" s="121"/>
      <c r="H104" s="275">
        <f>H105</f>
        <v>150</v>
      </c>
    </row>
    <row r="105" spans="1:8" ht="43.5" customHeight="1">
      <c r="A105" s="261"/>
      <c r="B105" s="135" t="s">
        <v>97</v>
      </c>
      <c r="C105" s="734" t="s">
        <v>59</v>
      </c>
      <c r="D105" s="735" t="s">
        <v>110</v>
      </c>
      <c r="E105" s="735" t="s">
        <v>725</v>
      </c>
      <c r="F105" s="736" t="s">
        <v>683</v>
      </c>
      <c r="G105" s="121" t="s">
        <v>98</v>
      </c>
      <c r="H105" s="275">
        <f>'прил12(ведом 21)'!M514</f>
        <v>150</v>
      </c>
    </row>
    <row r="106" spans="1:8" ht="43.5" customHeight="1">
      <c r="A106" s="261"/>
      <c r="B106" s="274" t="s">
        <v>234</v>
      </c>
      <c r="C106" s="734" t="s">
        <v>59</v>
      </c>
      <c r="D106" s="735" t="s">
        <v>50</v>
      </c>
      <c r="E106" s="735" t="s">
        <v>63</v>
      </c>
      <c r="F106" s="736" t="s">
        <v>64</v>
      </c>
      <c r="G106" s="259"/>
      <c r="H106" s="275">
        <f>H107+H126+H131+H134+H137</f>
        <v>73401.671999999991</v>
      </c>
    </row>
    <row r="107" spans="1:8" ht="37.5">
      <c r="A107" s="261"/>
      <c r="B107" s="274" t="s">
        <v>322</v>
      </c>
      <c r="C107" s="734" t="s">
        <v>59</v>
      </c>
      <c r="D107" s="735" t="s">
        <v>50</v>
      </c>
      <c r="E107" s="735" t="s">
        <v>57</v>
      </c>
      <c r="F107" s="736" t="s">
        <v>64</v>
      </c>
      <c r="G107" s="259"/>
      <c r="H107" s="275">
        <f>H108+H117+H112+H124+H121+H119</f>
        <v>64699.671999999999</v>
      </c>
    </row>
    <row r="108" spans="1:8" ht="37.5">
      <c r="A108" s="261"/>
      <c r="B108" s="274" t="s">
        <v>67</v>
      </c>
      <c r="C108" s="734" t="s">
        <v>59</v>
      </c>
      <c r="D108" s="735" t="s">
        <v>50</v>
      </c>
      <c r="E108" s="735" t="s">
        <v>57</v>
      </c>
      <c r="F108" s="736" t="s">
        <v>68</v>
      </c>
      <c r="G108" s="121"/>
      <c r="H108" s="275">
        <f>SUM(H109:H111)</f>
        <v>9945.0660000000007</v>
      </c>
    </row>
    <row r="109" spans="1:8" ht="93.75">
      <c r="A109" s="261"/>
      <c r="B109" s="274" t="s">
        <v>69</v>
      </c>
      <c r="C109" s="734" t="s">
        <v>59</v>
      </c>
      <c r="D109" s="735" t="s">
        <v>50</v>
      </c>
      <c r="E109" s="735" t="s">
        <v>57</v>
      </c>
      <c r="F109" s="736" t="s">
        <v>68</v>
      </c>
      <c r="G109" s="121" t="s">
        <v>70</v>
      </c>
      <c r="H109" s="275">
        <f>'прил12(ведом 21)'!M532</f>
        <v>9265.9</v>
      </c>
    </row>
    <row r="110" spans="1:8" ht="37.5">
      <c r="A110" s="261"/>
      <c r="B110" s="274" t="s">
        <v>75</v>
      </c>
      <c r="C110" s="734" t="s">
        <v>59</v>
      </c>
      <c r="D110" s="735" t="s">
        <v>50</v>
      </c>
      <c r="E110" s="735" t="s">
        <v>57</v>
      </c>
      <c r="F110" s="736" t="s">
        <v>68</v>
      </c>
      <c r="G110" s="121" t="s">
        <v>76</v>
      </c>
      <c r="H110" s="275">
        <f>'прил12(ведом 21)'!M533</f>
        <v>661.96600000000012</v>
      </c>
    </row>
    <row r="111" spans="1:8" ht="18.75">
      <c r="A111" s="261"/>
      <c r="B111" s="274" t="s">
        <v>77</v>
      </c>
      <c r="C111" s="734" t="s">
        <v>59</v>
      </c>
      <c r="D111" s="735" t="s">
        <v>50</v>
      </c>
      <c r="E111" s="735" t="s">
        <v>57</v>
      </c>
      <c r="F111" s="736" t="s">
        <v>68</v>
      </c>
      <c r="G111" s="121" t="s">
        <v>78</v>
      </c>
      <c r="H111" s="275">
        <f>'прил12(ведом 21)'!M534</f>
        <v>17.2</v>
      </c>
    </row>
    <row r="112" spans="1:8" ht="37.5">
      <c r="A112" s="261"/>
      <c r="B112" s="274" t="s">
        <v>795</v>
      </c>
      <c r="C112" s="734" t="s">
        <v>59</v>
      </c>
      <c r="D112" s="735" t="s">
        <v>50</v>
      </c>
      <c r="E112" s="735" t="s">
        <v>57</v>
      </c>
      <c r="F112" s="736" t="s">
        <v>112</v>
      </c>
      <c r="G112" s="121"/>
      <c r="H112" s="275">
        <f>SUM(H113:H116)</f>
        <v>46129.405999999995</v>
      </c>
    </row>
    <row r="113" spans="1:8" ht="93.75">
      <c r="A113" s="261"/>
      <c r="B113" s="274" t="s">
        <v>69</v>
      </c>
      <c r="C113" s="734" t="s">
        <v>59</v>
      </c>
      <c r="D113" s="735" t="s">
        <v>50</v>
      </c>
      <c r="E113" s="735" t="s">
        <v>57</v>
      </c>
      <c r="F113" s="736" t="s">
        <v>112</v>
      </c>
      <c r="G113" s="121" t="s">
        <v>70</v>
      </c>
      <c r="H113" s="275">
        <f>'прил12(ведом 21)'!M536</f>
        <v>27266.3</v>
      </c>
    </row>
    <row r="114" spans="1:8" ht="37.5">
      <c r="A114" s="261"/>
      <c r="B114" s="274" t="s">
        <v>75</v>
      </c>
      <c r="C114" s="734" t="s">
        <v>59</v>
      </c>
      <c r="D114" s="735" t="s">
        <v>50</v>
      </c>
      <c r="E114" s="735" t="s">
        <v>57</v>
      </c>
      <c r="F114" s="736" t="s">
        <v>112</v>
      </c>
      <c r="G114" s="121" t="s">
        <v>76</v>
      </c>
      <c r="H114" s="275">
        <f>'прил12(ведом 21)'!M537</f>
        <v>2469.9059999999999</v>
      </c>
    </row>
    <row r="115" spans="1:8" ht="44.25" customHeight="1">
      <c r="A115" s="261"/>
      <c r="B115" s="135" t="s">
        <v>97</v>
      </c>
      <c r="C115" s="734" t="s">
        <v>59</v>
      </c>
      <c r="D115" s="735" t="s">
        <v>50</v>
      </c>
      <c r="E115" s="735" t="s">
        <v>57</v>
      </c>
      <c r="F115" s="736" t="s">
        <v>112</v>
      </c>
      <c r="G115" s="121" t="s">
        <v>98</v>
      </c>
      <c r="H115" s="275">
        <f>'прил12(ведом 21)'!M538</f>
        <v>16385</v>
      </c>
    </row>
    <row r="116" spans="1:8" ht="18.75">
      <c r="A116" s="261"/>
      <c r="B116" s="274" t="s">
        <v>77</v>
      </c>
      <c r="C116" s="734" t="s">
        <v>59</v>
      </c>
      <c r="D116" s="735" t="s">
        <v>50</v>
      </c>
      <c r="E116" s="735" t="s">
        <v>57</v>
      </c>
      <c r="F116" s="736" t="s">
        <v>112</v>
      </c>
      <c r="G116" s="121" t="s">
        <v>78</v>
      </c>
      <c r="H116" s="275">
        <f>'прил12(ведом 21)'!M539</f>
        <v>8.1999999999999993</v>
      </c>
    </row>
    <row r="117" spans="1:8" ht="18.75">
      <c r="A117" s="261"/>
      <c r="B117" s="135" t="s">
        <v>796</v>
      </c>
      <c r="C117" s="734" t="s">
        <v>59</v>
      </c>
      <c r="D117" s="735" t="s">
        <v>50</v>
      </c>
      <c r="E117" s="735" t="s">
        <v>57</v>
      </c>
      <c r="F117" s="736" t="s">
        <v>479</v>
      </c>
      <c r="G117" s="121"/>
      <c r="H117" s="275">
        <f>H118</f>
        <v>67.3</v>
      </c>
    </row>
    <row r="118" spans="1:8" ht="37.5">
      <c r="A118" s="261"/>
      <c r="B118" s="135" t="s">
        <v>75</v>
      </c>
      <c r="C118" s="734" t="s">
        <v>59</v>
      </c>
      <c r="D118" s="735" t="s">
        <v>50</v>
      </c>
      <c r="E118" s="735" t="s">
        <v>57</v>
      </c>
      <c r="F118" s="736" t="s">
        <v>479</v>
      </c>
      <c r="G118" s="121" t="s">
        <v>76</v>
      </c>
      <c r="H118" s="275">
        <f>'прил12(ведом 21)'!M541</f>
        <v>67.3</v>
      </c>
    </row>
    <row r="119" spans="1:8" ht="37.5">
      <c r="A119" s="261"/>
      <c r="B119" s="135" t="s">
        <v>230</v>
      </c>
      <c r="C119" s="734" t="s">
        <v>59</v>
      </c>
      <c r="D119" s="735" t="s">
        <v>50</v>
      </c>
      <c r="E119" s="735" t="s">
        <v>57</v>
      </c>
      <c r="F119" s="736" t="s">
        <v>314</v>
      </c>
      <c r="G119" s="121"/>
      <c r="H119" s="275">
        <f>H120</f>
        <v>10</v>
      </c>
    </row>
    <row r="120" spans="1:8" ht="37.5">
      <c r="A120" s="261"/>
      <c r="B120" s="135" t="s">
        <v>75</v>
      </c>
      <c r="C120" s="734" t="s">
        <v>59</v>
      </c>
      <c r="D120" s="735" t="s">
        <v>50</v>
      </c>
      <c r="E120" s="735" t="s">
        <v>57</v>
      </c>
      <c r="F120" s="736" t="s">
        <v>314</v>
      </c>
      <c r="G120" s="121" t="s">
        <v>76</v>
      </c>
      <c r="H120" s="275">
        <f>'прил12(ведом 21)'!M543</f>
        <v>10</v>
      </c>
    </row>
    <row r="121" spans="1:8" ht="96.75" customHeight="1">
      <c r="A121" s="261"/>
      <c r="B121" s="135" t="s">
        <v>415</v>
      </c>
      <c r="C121" s="734" t="s">
        <v>59</v>
      </c>
      <c r="D121" s="735" t="s">
        <v>50</v>
      </c>
      <c r="E121" s="735" t="s">
        <v>57</v>
      </c>
      <c r="F121" s="736" t="s">
        <v>310</v>
      </c>
      <c r="G121" s="121"/>
      <c r="H121" s="275">
        <f>H122+H123</f>
        <v>6189.9</v>
      </c>
    </row>
    <row r="122" spans="1:8" ht="93.75">
      <c r="A122" s="261"/>
      <c r="B122" s="135" t="s">
        <v>69</v>
      </c>
      <c r="C122" s="734" t="s">
        <v>59</v>
      </c>
      <c r="D122" s="735" t="s">
        <v>50</v>
      </c>
      <c r="E122" s="735" t="s">
        <v>57</v>
      </c>
      <c r="F122" s="736" t="s">
        <v>310</v>
      </c>
      <c r="G122" s="121" t="s">
        <v>70</v>
      </c>
      <c r="H122" s="275">
        <f>'прил12(ведом 21)'!M545</f>
        <v>5863.4</v>
      </c>
    </row>
    <row r="123" spans="1:8" ht="37.5">
      <c r="A123" s="261"/>
      <c r="B123" s="274" t="s">
        <v>75</v>
      </c>
      <c r="C123" s="734" t="s">
        <v>59</v>
      </c>
      <c r="D123" s="735" t="s">
        <v>50</v>
      </c>
      <c r="E123" s="735" t="s">
        <v>57</v>
      </c>
      <c r="F123" s="736" t="s">
        <v>310</v>
      </c>
      <c r="G123" s="121" t="s">
        <v>76</v>
      </c>
      <c r="H123" s="275">
        <f>'прил12(ведом 21)'!M546</f>
        <v>326.5</v>
      </c>
    </row>
    <row r="124" spans="1:8" ht="18.75">
      <c r="A124" s="261"/>
      <c r="B124" s="135" t="s">
        <v>693</v>
      </c>
      <c r="C124" s="734" t="s">
        <v>59</v>
      </c>
      <c r="D124" s="735" t="s">
        <v>50</v>
      </c>
      <c r="E124" s="735" t="s">
        <v>57</v>
      </c>
      <c r="F124" s="736" t="s">
        <v>416</v>
      </c>
      <c r="G124" s="121"/>
      <c r="H124" s="275">
        <f>SUM(H125:H125)</f>
        <v>2358</v>
      </c>
    </row>
    <row r="125" spans="1:8" ht="42.75" customHeight="1">
      <c r="A125" s="261"/>
      <c r="B125" s="274" t="s">
        <v>97</v>
      </c>
      <c r="C125" s="734" t="s">
        <v>59</v>
      </c>
      <c r="D125" s="735" t="s">
        <v>50</v>
      </c>
      <c r="E125" s="735" t="s">
        <v>57</v>
      </c>
      <c r="F125" s="736" t="s">
        <v>416</v>
      </c>
      <c r="G125" s="121" t="s">
        <v>98</v>
      </c>
      <c r="H125" s="275">
        <f>'прил12(ведом 21)'!M488</f>
        <v>2358</v>
      </c>
    </row>
    <row r="126" spans="1:8" ht="42.75" customHeight="1">
      <c r="A126" s="261"/>
      <c r="B126" s="135" t="s">
        <v>321</v>
      </c>
      <c r="C126" s="734" t="s">
        <v>59</v>
      </c>
      <c r="D126" s="735" t="s">
        <v>50</v>
      </c>
      <c r="E126" s="735" t="s">
        <v>59</v>
      </c>
      <c r="F126" s="736" t="s">
        <v>64</v>
      </c>
      <c r="G126" s="121"/>
      <c r="H126" s="275">
        <f>H127+H129</f>
        <v>8398.6</v>
      </c>
    </row>
    <row r="127" spans="1:8" ht="42.75" customHeight="1">
      <c r="A127" s="261"/>
      <c r="B127" s="135" t="s">
        <v>810</v>
      </c>
      <c r="C127" s="734" t="s">
        <v>59</v>
      </c>
      <c r="D127" s="735" t="s">
        <v>50</v>
      </c>
      <c r="E127" s="735" t="s">
        <v>59</v>
      </c>
      <c r="F127" s="736" t="s">
        <v>809</v>
      </c>
      <c r="G127" s="121"/>
      <c r="H127" s="275">
        <f>H128</f>
        <v>1169.4000000000001</v>
      </c>
    </row>
    <row r="128" spans="1:8" ht="42.75" customHeight="1">
      <c r="A128" s="261"/>
      <c r="B128" s="135" t="s">
        <v>97</v>
      </c>
      <c r="C128" s="734" t="s">
        <v>59</v>
      </c>
      <c r="D128" s="735" t="s">
        <v>50</v>
      </c>
      <c r="E128" s="735" t="s">
        <v>59</v>
      </c>
      <c r="F128" s="736" t="s">
        <v>809</v>
      </c>
      <c r="G128" s="121" t="s">
        <v>98</v>
      </c>
      <c r="H128" s="275">
        <f>'прил12(ведом 21)'!M520</f>
        <v>1169.4000000000001</v>
      </c>
    </row>
    <row r="129" spans="1:8" ht="113.25" customHeight="1">
      <c r="A129" s="261"/>
      <c r="B129" s="135" t="s">
        <v>734</v>
      </c>
      <c r="C129" s="734" t="s">
        <v>59</v>
      </c>
      <c r="D129" s="735" t="s">
        <v>50</v>
      </c>
      <c r="E129" s="735" t="s">
        <v>59</v>
      </c>
      <c r="F129" s="736" t="s">
        <v>733</v>
      </c>
      <c r="G129" s="121"/>
      <c r="H129" s="275">
        <f>H130</f>
        <v>7229.2</v>
      </c>
    </row>
    <row r="130" spans="1:8" ht="34.5" customHeight="1">
      <c r="A130" s="261"/>
      <c r="B130" s="135" t="s">
        <v>97</v>
      </c>
      <c r="C130" s="734" t="s">
        <v>59</v>
      </c>
      <c r="D130" s="735" t="s">
        <v>50</v>
      </c>
      <c r="E130" s="735" t="s">
        <v>59</v>
      </c>
      <c r="F130" s="736" t="s">
        <v>733</v>
      </c>
      <c r="G130" s="121" t="s">
        <v>98</v>
      </c>
      <c r="H130" s="275">
        <f>'прил12(ведом 21)'!M522</f>
        <v>7229.2</v>
      </c>
    </row>
    <row r="131" spans="1:8" ht="39" customHeight="1">
      <c r="A131" s="261"/>
      <c r="B131" s="607" t="s">
        <v>428</v>
      </c>
      <c r="C131" s="608" t="s">
        <v>59</v>
      </c>
      <c r="D131" s="609" t="s">
        <v>50</v>
      </c>
      <c r="E131" s="609" t="s">
        <v>84</v>
      </c>
      <c r="F131" s="610" t="s">
        <v>64</v>
      </c>
      <c r="G131" s="611"/>
      <c r="H131" s="275">
        <f>H132</f>
        <v>175</v>
      </c>
    </row>
    <row r="132" spans="1:8" ht="59.25" customHeight="1">
      <c r="A132" s="261"/>
      <c r="B132" s="575" t="s">
        <v>814</v>
      </c>
      <c r="C132" s="608" t="s">
        <v>59</v>
      </c>
      <c r="D132" s="609" t="s">
        <v>50</v>
      </c>
      <c r="E132" s="609" t="s">
        <v>84</v>
      </c>
      <c r="F132" s="610" t="s">
        <v>126</v>
      </c>
      <c r="G132" s="611"/>
      <c r="H132" s="275">
        <f>H133</f>
        <v>175</v>
      </c>
    </row>
    <row r="133" spans="1:8" ht="36" customHeight="1">
      <c r="A133" s="261"/>
      <c r="B133" s="575" t="s">
        <v>75</v>
      </c>
      <c r="C133" s="608" t="s">
        <v>59</v>
      </c>
      <c r="D133" s="609" t="s">
        <v>50</v>
      </c>
      <c r="E133" s="609" t="s">
        <v>84</v>
      </c>
      <c r="F133" s="610" t="s">
        <v>126</v>
      </c>
      <c r="G133" s="611" t="s">
        <v>76</v>
      </c>
      <c r="H133" s="275">
        <f>'прил12(ведом 21)'!M405</f>
        <v>175</v>
      </c>
    </row>
    <row r="134" spans="1:8" ht="34.5" customHeight="1">
      <c r="A134" s="261"/>
      <c r="B134" s="575" t="s">
        <v>799</v>
      </c>
      <c r="C134" s="608" t="s">
        <v>59</v>
      </c>
      <c r="D134" s="609" t="s">
        <v>50</v>
      </c>
      <c r="E134" s="609" t="s">
        <v>72</v>
      </c>
      <c r="F134" s="610" t="s">
        <v>64</v>
      </c>
      <c r="G134" s="611"/>
      <c r="H134" s="275">
        <f>H135</f>
        <v>25</v>
      </c>
    </row>
    <row r="135" spans="1:8" ht="15.75" customHeight="1">
      <c r="A135" s="261"/>
      <c r="B135" s="575" t="s">
        <v>815</v>
      </c>
      <c r="C135" s="608" t="s">
        <v>59</v>
      </c>
      <c r="D135" s="609" t="s">
        <v>50</v>
      </c>
      <c r="E135" s="609" t="s">
        <v>72</v>
      </c>
      <c r="F135" s="610" t="s">
        <v>798</v>
      </c>
      <c r="G135" s="611"/>
      <c r="H135" s="275">
        <f>H136</f>
        <v>25</v>
      </c>
    </row>
    <row r="136" spans="1:8" ht="34.5" customHeight="1">
      <c r="A136" s="261"/>
      <c r="B136" s="575" t="s">
        <v>75</v>
      </c>
      <c r="C136" s="608" t="s">
        <v>59</v>
      </c>
      <c r="D136" s="609" t="s">
        <v>50</v>
      </c>
      <c r="E136" s="609" t="s">
        <v>72</v>
      </c>
      <c r="F136" s="610" t="s">
        <v>798</v>
      </c>
      <c r="G136" s="611" t="s">
        <v>76</v>
      </c>
      <c r="H136" s="275">
        <f>'прил12(ведом 21)'!M408</f>
        <v>25</v>
      </c>
    </row>
    <row r="137" spans="1:8" ht="36.75" customHeight="1">
      <c r="A137" s="261"/>
      <c r="B137" s="575" t="s">
        <v>811</v>
      </c>
      <c r="C137" s="608" t="s">
        <v>59</v>
      </c>
      <c r="D137" s="609" t="s">
        <v>50</v>
      </c>
      <c r="E137" s="609" t="s">
        <v>86</v>
      </c>
      <c r="F137" s="730" t="s">
        <v>64</v>
      </c>
      <c r="G137" s="259"/>
      <c r="H137" s="275">
        <f>H138</f>
        <v>103.4</v>
      </c>
    </row>
    <row r="138" spans="1:8" ht="33" customHeight="1">
      <c r="A138" s="261"/>
      <c r="B138" s="575" t="s">
        <v>148</v>
      </c>
      <c r="C138" s="608" t="s">
        <v>59</v>
      </c>
      <c r="D138" s="609" t="s">
        <v>50</v>
      </c>
      <c r="E138" s="609" t="s">
        <v>86</v>
      </c>
      <c r="F138" s="730" t="s">
        <v>111</v>
      </c>
      <c r="G138" s="259"/>
      <c r="H138" s="275">
        <f>H139</f>
        <v>103.4</v>
      </c>
    </row>
    <row r="139" spans="1:8" ht="33.75" customHeight="1">
      <c r="A139" s="261"/>
      <c r="B139" s="575" t="s">
        <v>75</v>
      </c>
      <c r="C139" s="608" t="s">
        <v>59</v>
      </c>
      <c r="D139" s="609" t="s">
        <v>50</v>
      </c>
      <c r="E139" s="609" t="s">
        <v>86</v>
      </c>
      <c r="F139" s="730" t="s">
        <v>111</v>
      </c>
      <c r="G139" s="259" t="s">
        <v>76</v>
      </c>
      <c r="H139" s="275">
        <f>'прил12(ведом 21)'!M411</f>
        <v>103.4</v>
      </c>
    </row>
    <row r="140" spans="1:8" ht="19.5" customHeight="1">
      <c r="A140" s="261"/>
      <c r="B140" s="283"/>
      <c r="C140" s="728"/>
      <c r="D140" s="729"/>
      <c r="E140" s="729"/>
      <c r="F140" s="730"/>
      <c r="G140" s="259"/>
      <c r="H140" s="275"/>
    </row>
    <row r="141" spans="1:8" s="273" customFormat="1" ht="56.25">
      <c r="A141" s="284">
        <v>2</v>
      </c>
      <c r="B141" s="268" t="s">
        <v>235</v>
      </c>
      <c r="C141" s="285" t="s">
        <v>84</v>
      </c>
      <c r="D141" s="285" t="s">
        <v>62</v>
      </c>
      <c r="E141" s="285" t="s">
        <v>63</v>
      </c>
      <c r="F141" s="286" t="s">
        <v>64</v>
      </c>
      <c r="G141" s="271"/>
      <c r="H141" s="272">
        <f>H142+H172+H179</f>
        <v>95332.800000000003</v>
      </c>
    </row>
    <row r="142" spans="1:8" s="273" customFormat="1" ht="56.25">
      <c r="A142" s="261"/>
      <c r="B142" s="287" t="s">
        <v>236</v>
      </c>
      <c r="C142" s="734" t="s">
        <v>84</v>
      </c>
      <c r="D142" s="735" t="s">
        <v>65</v>
      </c>
      <c r="E142" s="735" t="s">
        <v>63</v>
      </c>
      <c r="F142" s="736" t="s">
        <v>64</v>
      </c>
      <c r="G142" s="259"/>
      <c r="H142" s="275">
        <f>H143+H150+H153+H162+H169</f>
        <v>83939.9</v>
      </c>
    </row>
    <row r="143" spans="1:8" s="273" customFormat="1" ht="34.15" customHeight="1">
      <c r="A143" s="261"/>
      <c r="B143" s="287" t="s">
        <v>316</v>
      </c>
      <c r="C143" s="734" t="s">
        <v>84</v>
      </c>
      <c r="D143" s="735" t="s">
        <v>65</v>
      </c>
      <c r="E143" s="735" t="s">
        <v>57</v>
      </c>
      <c r="F143" s="736" t="s">
        <v>64</v>
      </c>
      <c r="G143" s="259"/>
      <c r="H143" s="275">
        <f>H144+H148+H146</f>
        <v>58038.1</v>
      </c>
    </row>
    <row r="144" spans="1:8" s="273" customFormat="1" ht="37.5">
      <c r="A144" s="261"/>
      <c r="B144" s="274" t="s">
        <v>795</v>
      </c>
      <c r="C144" s="734" t="s">
        <v>84</v>
      </c>
      <c r="D144" s="735" t="s">
        <v>65</v>
      </c>
      <c r="E144" s="735" t="s">
        <v>57</v>
      </c>
      <c r="F144" s="736" t="s">
        <v>112</v>
      </c>
      <c r="G144" s="121"/>
      <c r="H144" s="275">
        <f>H145</f>
        <v>54252.4</v>
      </c>
    </row>
    <row r="145" spans="1:8" s="273" customFormat="1" ht="44.25" customHeight="1">
      <c r="A145" s="261"/>
      <c r="B145" s="276" t="s">
        <v>97</v>
      </c>
      <c r="C145" s="734" t="s">
        <v>84</v>
      </c>
      <c r="D145" s="735" t="s">
        <v>65</v>
      </c>
      <c r="E145" s="735" t="s">
        <v>57</v>
      </c>
      <c r="F145" s="736" t="s">
        <v>112</v>
      </c>
      <c r="G145" s="121" t="s">
        <v>98</v>
      </c>
      <c r="H145" s="275">
        <f>'прил12(ведом 21)'!M573</f>
        <v>54252.4</v>
      </c>
    </row>
    <row r="146" spans="1:8" s="273" customFormat="1" ht="20.25" customHeight="1">
      <c r="A146" s="261"/>
      <c r="B146" s="139" t="s">
        <v>796</v>
      </c>
      <c r="C146" s="734" t="s">
        <v>84</v>
      </c>
      <c r="D146" s="735" t="s">
        <v>65</v>
      </c>
      <c r="E146" s="735" t="s">
        <v>57</v>
      </c>
      <c r="F146" s="736" t="s">
        <v>479</v>
      </c>
      <c r="G146" s="121"/>
      <c r="H146" s="275">
        <f>H147</f>
        <v>929.59999999999991</v>
      </c>
    </row>
    <row r="147" spans="1:8" s="273" customFormat="1" ht="44.25" customHeight="1">
      <c r="A147" s="261"/>
      <c r="B147" s="139" t="s">
        <v>97</v>
      </c>
      <c r="C147" s="734" t="s">
        <v>84</v>
      </c>
      <c r="D147" s="735" t="s">
        <v>65</v>
      </c>
      <c r="E147" s="735" t="s">
        <v>57</v>
      </c>
      <c r="F147" s="736" t="s">
        <v>479</v>
      </c>
      <c r="G147" s="121" t="s">
        <v>98</v>
      </c>
      <c r="H147" s="275">
        <f>'прил12(ведом 21)'!M575</f>
        <v>929.59999999999991</v>
      </c>
    </row>
    <row r="148" spans="1:8" s="273" customFormat="1" ht="37.5">
      <c r="A148" s="261"/>
      <c r="B148" s="139" t="s">
        <v>378</v>
      </c>
      <c r="C148" s="734" t="s">
        <v>84</v>
      </c>
      <c r="D148" s="735" t="s">
        <v>65</v>
      </c>
      <c r="E148" s="735" t="s">
        <v>57</v>
      </c>
      <c r="F148" s="736" t="s">
        <v>379</v>
      </c>
      <c r="G148" s="121"/>
      <c r="H148" s="275">
        <f>H149</f>
        <v>2856.1</v>
      </c>
    </row>
    <row r="149" spans="1:8" s="273" customFormat="1" ht="44.25" customHeight="1">
      <c r="A149" s="261"/>
      <c r="B149" s="139" t="s">
        <v>97</v>
      </c>
      <c r="C149" s="734" t="s">
        <v>84</v>
      </c>
      <c r="D149" s="735" t="s">
        <v>65</v>
      </c>
      <c r="E149" s="735" t="s">
        <v>57</v>
      </c>
      <c r="F149" s="736" t="s">
        <v>379</v>
      </c>
      <c r="G149" s="121" t="s">
        <v>98</v>
      </c>
      <c r="H149" s="275">
        <f>'прил12(ведом 21)'!M577</f>
        <v>2856.1</v>
      </c>
    </row>
    <row r="150" spans="1:8" ht="18.75">
      <c r="A150" s="289"/>
      <c r="B150" s="276" t="s">
        <v>317</v>
      </c>
      <c r="C150" s="734" t="s">
        <v>84</v>
      </c>
      <c r="D150" s="735" t="s">
        <v>65</v>
      </c>
      <c r="E150" s="735" t="s">
        <v>59</v>
      </c>
      <c r="F150" s="736" t="s">
        <v>64</v>
      </c>
      <c r="G150" s="121"/>
      <c r="H150" s="290">
        <f>H151</f>
        <v>198</v>
      </c>
    </row>
    <row r="151" spans="1:8" s="273" customFormat="1" ht="37.5">
      <c r="A151" s="261"/>
      <c r="B151" s="276" t="s">
        <v>233</v>
      </c>
      <c r="C151" s="734" t="s">
        <v>84</v>
      </c>
      <c r="D151" s="735" t="s">
        <v>65</v>
      </c>
      <c r="E151" s="735" t="s">
        <v>59</v>
      </c>
      <c r="F151" s="736" t="s">
        <v>319</v>
      </c>
      <c r="G151" s="121"/>
      <c r="H151" s="275">
        <f>H152</f>
        <v>198</v>
      </c>
    </row>
    <row r="152" spans="1:8" s="273" customFormat="1" ht="27" customHeight="1">
      <c r="A152" s="261"/>
      <c r="B152" s="276" t="s">
        <v>141</v>
      </c>
      <c r="C152" s="734" t="s">
        <v>84</v>
      </c>
      <c r="D152" s="735" t="s">
        <v>65</v>
      </c>
      <c r="E152" s="735" t="s">
        <v>59</v>
      </c>
      <c r="F152" s="736" t="s">
        <v>319</v>
      </c>
      <c r="G152" s="121" t="s">
        <v>142</v>
      </c>
      <c r="H152" s="275">
        <f>'прил12(ведом 21)'!M589</f>
        <v>198</v>
      </c>
    </row>
    <row r="153" spans="1:8" s="273" customFormat="1" ht="18.75">
      <c r="A153" s="261"/>
      <c r="B153" s="274" t="s">
        <v>380</v>
      </c>
      <c r="C153" s="151" t="s">
        <v>84</v>
      </c>
      <c r="D153" s="291" t="s">
        <v>65</v>
      </c>
      <c r="E153" s="291" t="s">
        <v>84</v>
      </c>
      <c r="F153" s="292" t="s">
        <v>64</v>
      </c>
      <c r="G153" s="293"/>
      <c r="H153" s="275">
        <f>H154+H158+H160+H157</f>
        <v>12162.6</v>
      </c>
    </row>
    <row r="154" spans="1:8" s="273" customFormat="1" ht="37.5">
      <c r="A154" s="261"/>
      <c r="B154" s="274" t="s">
        <v>795</v>
      </c>
      <c r="C154" s="151" t="s">
        <v>84</v>
      </c>
      <c r="D154" s="291" t="s">
        <v>65</v>
      </c>
      <c r="E154" s="291" t="s">
        <v>84</v>
      </c>
      <c r="F154" s="292" t="s">
        <v>112</v>
      </c>
      <c r="G154" s="293"/>
      <c r="H154" s="275">
        <f>H155</f>
        <v>11263.800000000001</v>
      </c>
    </row>
    <row r="155" spans="1:8" s="273" customFormat="1" ht="44.25" customHeight="1">
      <c r="A155" s="261"/>
      <c r="B155" s="276" t="s">
        <v>97</v>
      </c>
      <c r="C155" s="734" t="s">
        <v>84</v>
      </c>
      <c r="D155" s="735" t="s">
        <v>65</v>
      </c>
      <c r="E155" s="735" t="s">
        <v>84</v>
      </c>
      <c r="F155" s="736" t="s">
        <v>112</v>
      </c>
      <c r="G155" s="121" t="s">
        <v>98</v>
      </c>
      <c r="H155" s="275">
        <f>'прил12(ведом 21)'!M596</f>
        <v>11263.800000000001</v>
      </c>
    </row>
    <row r="156" spans="1:8" s="273" customFormat="1" ht="18.75">
      <c r="A156" s="261"/>
      <c r="B156" s="135" t="s">
        <v>796</v>
      </c>
      <c r="C156" s="734" t="s">
        <v>84</v>
      </c>
      <c r="D156" s="735" t="s">
        <v>65</v>
      </c>
      <c r="E156" s="735" t="s">
        <v>84</v>
      </c>
      <c r="F156" s="736" t="s">
        <v>479</v>
      </c>
      <c r="G156" s="121"/>
      <c r="H156" s="275">
        <f>H157</f>
        <v>125.4</v>
      </c>
    </row>
    <row r="157" spans="1:8" s="273" customFormat="1" ht="56.25">
      <c r="A157" s="261"/>
      <c r="B157" s="139" t="s">
        <v>97</v>
      </c>
      <c r="C157" s="734" t="s">
        <v>84</v>
      </c>
      <c r="D157" s="735" t="s">
        <v>65</v>
      </c>
      <c r="E157" s="735" t="s">
        <v>84</v>
      </c>
      <c r="F157" s="736" t="s">
        <v>479</v>
      </c>
      <c r="G157" s="121" t="s">
        <v>98</v>
      </c>
      <c r="H157" s="275">
        <f>'прил12(ведом 21)'!M598</f>
        <v>125.4</v>
      </c>
    </row>
    <row r="158" spans="1:8" s="273" customFormat="1" ht="37.5">
      <c r="A158" s="261"/>
      <c r="B158" s="276" t="s">
        <v>378</v>
      </c>
      <c r="C158" s="151" t="s">
        <v>84</v>
      </c>
      <c r="D158" s="291" t="s">
        <v>65</v>
      </c>
      <c r="E158" s="291" t="s">
        <v>84</v>
      </c>
      <c r="F158" s="292" t="s">
        <v>379</v>
      </c>
      <c r="G158" s="293"/>
      <c r="H158" s="275">
        <f>H159</f>
        <v>332.4</v>
      </c>
    </row>
    <row r="159" spans="1:8" s="273" customFormat="1" ht="56.25">
      <c r="A159" s="261"/>
      <c r="B159" s="276" t="s">
        <v>97</v>
      </c>
      <c r="C159" s="151" t="s">
        <v>84</v>
      </c>
      <c r="D159" s="291" t="s">
        <v>65</v>
      </c>
      <c r="E159" s="291" t="s">
        <v>84</v>
      </c>
      <c r="F159" s="292" t="s">
        <v>379</v>
      </c>
      <c r="G159" s="293" t="s">
        <v>98</v>
      </c>
      <c r="H159" s="275">
        <f>'прил12(ведом 21)'!M600</f>
        <v>332.4</v>
      </c>
    </row>
    <row r="160" spans="1:8" s="273" customFormat="1" ht="56.25">
      <c r="A160" s="261"/>
      <c r="B160" s="276" t="s">
        <v>237</v>
      </c>
      <c r="C160" s="734" t="s">
        <v>84</v>
      </c>
      <c r="D160" s="735" t="s">
        <v>65</v>
      </c>
      <c r="E160" s="735" t="s">
        <v>84</v>
      </c>
      <c r="F160" s="736" t="s">
        <v>381</v>
      </c>
      <c r="G160" s="121"/>
      <c r="H160" s="275">
        <f>H161</f>
        <v>441</v>
      </c>
    </row>
    <row r="161" spans="1:8" s="273" customFormat="1" ht="56.25">
      <c r="A161" s="261"/>
      <c r="B161" s="276" t="s">
        <v>97</v>
      </c>
      <c r="C161" s="734" t="s">
        <v>84</v>
      </c>
      <c r="D161" s="735" t="s">
        <v>65</v>
      </c>
      <c r="E161" s="735" t="s">
        <v>84</v>
      </c>
      <c r="F161" s="736" t="s">
        <v>381</v>
      </c>
      <c r="G161" s="121" t="s">
        <v>98</v>
      </c>
      <c r="H161" s="275">
        <f>'прил12(ведом 21)'!M602</f>
        <v>441</v>
      </c>
    </row>
    <row r="162" spans="1:8" s="273" customFormat="1" ht="37.5">
      <c r="A162" s="261"/>
      <c r="B162" s="276" t="s">
        <v>382</v>
      </c>
      <c r="C162" s="151" t="s">
        <v>84</v>
      </c>
      <c r="D162" s="291" t="s">
        <v>65</v>
      </c>
      <c r="E162" s="291" t="s">
        <v>72</v>
      </c>
      <c r="F162" s="736" t="s">
        <v>64</v>
      </c>
      <c r="G162" s="121"/>
      <c r="H162" s="275">
        <f>H163+H167</f>
        <v>13263.300000000001</v>
      </c>
    </row>
    <row r="163" spans="1:8" s="273" customFormat="1" ht="37.5">
      <c r="A163" s="261"/>
      <c r="B163" s="274" t="s">
        <v>795</v>
      </c>
      <c r="C163" s="151" t="s">
        <v>84</v>
      </c>
      <c r="D163" s="291" t="s">
        <v>65</v>
      </c>
      <c r="E163" s="291" t="s">
        <v>72</v>
      </c>
      <c r="F163" s="292" t="s">
        <v>112</v>
      </c>
      <c r="G163" s="293"/>
      <c r="H163" s="275">
        <f>SUM(H164:H166)</f>
        <v>13215.900000000001</v>
      </c>
    </row>
    <row r="164" spans="1:8" s="273" customFormat="1" ht="93.75">
      <c r="A164" s="261"/>
      <c r="B164" s="135" t="s">
        <v>69</v>
      </c>
      <c r="C164" s="734" t="s">
        <v>84</v>
      </c>
      <c r="D164" s="735" t="s">
        <v>65</v>
      </c>
      <c r="E164" s="735" t="s">
        <v>72</v>
      </c>
      <c r="F164" s="736" t="s">
        <v>112</v>
      </c>
      <c r="G164" s="121" t="s">
        <v>70</v>
      </c>
      <c r="H164" s="275">
        <f>'прил12(ведом 21)'!M605</f>
        <v>11426.1</v>
      </c>
    </row>
    <row r="165" spans="1:8" s="273" customFormat="1" ht="37.5">
      <c r="A165" s="261"/>
      <c r="B165" s="135" t="s">
        <v>75</v>
      </c>
      <c r="C165" s="734" t="s">
        <v>84</v>
      </c>
      <c r="D165" s="735" t="s">
        <v>65</v>
      </c>
      <c r="E165" s="735" t="s">
        <v>72</v>
      </c>
      <c r="F165" s="736" t="s">
        <v>112</v>
      </c>
      <c r="G165" s="121" t="s">
        <v>76</v>
      </c>
      <c r="H165" s="275">
        <f>'прил12(ведом 21)'!M606</f>
        <v>1742.8000000000002</v>
      </c>
    </row>
    <row r="166" spans="1:8" s="273" customFormat="1" ht="18.75">
      <c r="A166" s="261"/>
      <c r="B166" s="135" t="s">
        <v>77</v>
      </c>
      <c r="C166" s="734" t="s">
        <v>84</v>
      </c>
      <c r="D166" s="735" t="s">
        <v>65</v>
      </c>
      <c r="E166" s="735" t="s">
        <v>72</v>
      </c>
      <c r="F166" s="736" t="s">
        <v>112</v>
      </c>
      <c r="G166" s="121" t="s">
        <v>78</v>
      </c>
      <c r="H166" s="275">
        <f>'прил12(ведом 21)'!M607</f>
        <v>47</v>
      </c>
    </row>
    <row r="167" spans="1:8" s="273" customFormat="1" ht="18.75">
      <c r="A167" s="261"/>
      <c r="B167" s="135" t="s">
        <v>796</v>
      </c>
      <c r="C167" s="734" t="s">
        <v>84</v>
      </c>
      <c r="D167" s="735" t="s">
        <v>65</v>
      </c>
      <c r="E167" s="735" t="s">
        <v>72</v>
      </c>
      <c r="F167" s="736" t="s">
        <v>479</v>
      </c>
      <c r="G167" s="121"/>
      <c r="H167" s="275">
        <f>H168</f>
        <v>47.4</v>
      </c>
    </row>
    <row r="168" spans="1:8" s="273" customFormat="1" ht="37.5">
      <c r="A168" s="261"/>
      <c r="B168" s="135" t="s">
        <v>75</v>
      </c>
      <c r="C168" s="734" t="s">
        <v>84</v>
      </c>
      <c r="D168" s="735" t="s">
        <v>65</v>
      </c>
      <c r="E168" s="735" t="s">
        <v>72</v>
      </c>
      <c r="F168" s="736" t="s">
        <v>479</v>
      </c>
      <c r="G168" s="121" t="s">
        <v>76</v>
      </c>
      <c r="H168" s="275">
        <f>'прил12(ведом 21)'!M609</f>
        <v>47.4</v>
      </c>
    </row>
    <row r="169" spans="1:8" s="273" customFormat="1" ht="42" customHeight="1">
      <c r="A169" s="261"/>
      <c r="B169" s="139" t="s">
        <v>321</v>
      </c>
      <c r="C169" s="734" t="s">
        <v>84</v>
      </c>
      <c r="D169" s="735" t="s">
        <v>65</v>
      </c>
      <c r="E169" s="735" t="s">
        <v>86</v>
      </c>
      <c r="F169" s="736" t="s">
        <v>64</v>
      </c>
      <c r="G169" s="121"/>
      <c r="H169" s="275">
        <f>H170</f>
        <v>277.89999999999998</v>
      </c>
    </row>
    <row r="170" spans="1:8" s="273" customFormat="1" ht="37.5">
      <c r="A170" s="261"/>
      <c r="B170" s="139" t="s">
        <v>810</v>
      </c>
      <c r="C170" s="734" t="s">
        <v>84</v>
      </c>
      <c r="D170" s="735" t="s">
        <v>65</v>
      </c>
      <c r="E170" s="735" t="s">
        <v>86</v>
      </c>
      <c r="F170" s="736" t="s">
        <v>809</v>
      </c>
      <c r="G170" s="121"/>
      <c r="H170" s="275">
        <f>H171</f>
        <v>277.89999999999998</v>
      </c>
    </row>
    <row r="171" spans="1:8" s="273" customFormat="1" ht="39" customHeight="1">
      <c r="A171" s="261"/>
      <c r="B171" s="139" t="s">
        <v>97</v>
      </c>
      <c r="C171" s="734" t="s">
        <v>84</v>
      </c>
      <c r="D171" s="735" t="s">
        <v>65</v>
      </c>
      <c r="E171" s="735" t="s">
        <v>86</v>
      </c>
      <c r="F171" s="736" t="s">
        <v>809</v>
      </c>
      <c r="G171" s="121" t="s">
        <v>98</v>
      </c>
      <c r="H171" s="275">
        <f>'прил12(ведом 21)'!M583</f>
        <v>277.89999999999998</v>
      </c>
    </row>
    <row r="172" spans="1:8" ht="37.5">
      <c r="A172" s="261"/>
      <c r="B172" s="274" t="s">
        <v>390</v>
      </c>
      <c r="C172" s="151" t="s">
        <v>84</v>
      </c>
      <c r="D172" s="291" t="s">
        <v>110</v>
      </c>
      <c r="E172" s="291" t="s">
        <v>63</v>
      </c>
      <c r="F172" s="736" t="s">
        <v>64</v>
      </c>
      <c r="G172" s="293"/>
      <c r="H172" s="275">
        <f>H173</f>
        <v>1724.6</v>
      </c>
    </row>
    <row r="173" spans="1:8" ht="93.75">
      <c r="A173" s="261"/>
      <c r="B173" s="276" t="s">
        <v>383</v>
      </c>
      <c r="C173" s="151" t="s">
        <v>84</v>
      </c>
      <c r="D173" s="291" t="s">
        <v>110</v>
      </c>
      <c r="E173" s="291" t="s">
        <v>84</v>
      </c>
      <c r="F173" s="736" t="s">
        <v>64</v>
      </c>
      <c r="G173" s="293"/>
      <c r="H173" s="275">
        <f>H174+H177</f>
        <v>1724.6</v>
      </c>
    </row>
    <row r="174" spans="1:8" ht="37.5">
      <c r="A174" s="261"/>
      <c r="B174" s="276" t="s">
        <v>378</v>
      </c>
      <c r="C174" s="151" t="s">
        <v>84</v>
      </c>
      <c r="D174" s="291" t="s">
        <v>110</v>
      </c>
      <c r="E174" s="291" t="s">
        <v>84</v>
      </c>
      <c r="F174" s="292" t="s">
        <v>379</v>
      </c>
      <c r="G174" s="259"/>
      <c r="H174" s="275">
        <f>SUM(H175:H176)</f>
        <v>1682.5</v>
      </c>
    </row>
    <row r="175" spans="1:8" ht="37.5">
      <c r="A175" s="261"/>
      <c r="B175" s="274" t="s">
        <v>75</v>
      </c>
      <c r="C175" s="734" t="s">
        <v>84</v>
      </c>
      <c r="D175" s="735" t="s">
        <v>110</v>
      </c>
      <c r="E175" s="735" t="s">
        <v>84</v>
      </c>
      <c r="F175" s="736" t="s">
        <v>379</v>
      </c>
      <c r="G175" s="259" t="s">
        <v>76</v>
      </c>
      <c r="H175" s="275">
        <f>'прил12(ведом 21)'!M622+'прил12(ведом 21)'!M613</f>
        <v>1664.6</v>
      </c>
    </row>
    <row r="176" spans="1:8" ht="39.75" customHeight="1">
      <c r="A176" s="261"/>
      <c r="B176" s="276" t="s">
        <v>97</v>
      </c>
      <c r="C176" s="734" t="s">
        <v>84</v>
      </c>
      <c r="D176" s="735" t="s">
        <v>110</v>
      </c>
      <c r="E176" s="735" t="s">
        <v>84</v>
      </c>
      <c r="F176" s="736" t="s">
        <v>379</v>
      </c>
      <c r="G176" s="121" t="s">
        <v>98</v>
      </c>
      <c r="H176" s="275">
        <f>'прил12(ведом 21)'!M614</f>
        <v>17.899999999999999</v>
      </c>
    </row>
    <row r="177" spans="1:8" ht="40.5" customHeight="1">
      <c r="A177" s="261"/>
      <c r="B177" s="139" t="s">
        <v>586</v>
      </c>
      <c r="C177" s="734" t="s">
        <v>84</v>
      </c>
      <c r="D177" s="735" t="s">
        <v>110</v>
      </c>
      <c r="E177" s="735" t="s">
        <v>84</v>
      </c>
      <c r="F177" s="736" t="s">
        <v>587</v>
      </c>
      <c r="G177" s="121"/>
      <c r="H177" s="275">
        <f>H178</f>
        <v>42.1</v>
      </c>
    </row>
    <row r="178" spans="1:8" ht="41.25" customHeight="1">
      <c r="A178" s="261"/>
      <c r="B178" s="139" t="s">
        <v>97</v>
      </c>
      <c r="C178" s="734" t="s">
        <v>84</v>
      </c>
      <c r="D178" s="735" t="s">
        <v>110</v>
      </c>
      <c r="E178" s="735" t="s">
        <v>84</v>
      </c>
      <c r="F178" s="736" t="s">
        <v>587</v>
      </c>
      <c r="G178" s="121" t="s">
        <v>98</v>
      </c>
      <c r="H178" s="275">
        <f>'прил12(ведом 21)'!M616</f>
        <v>42.1</v>
      </c>
    </row>
    <row r="179" spans="1:8" s="273" customFormat="1" ht="42" customHeight="1">
      <c r="A179" s="261"/>
      <c r="B179" s="274" t="s">
        <v>238</v>
      </c>
      <c r="C179" s="734" t="s">
        <v>84</v>
      </c>
      <c r="D179" s="735" t="s">
        <v>50</v>
      </c>
      <c r="E179" s="735" t="s">
        <v>63</v>
      </c>
      <c r="F179" s="736" t="s">
        <v>64</v>
      </c>
      <c r="G179" s="259"/>
      <c r="H179" s="275">
        <f>H180+H191+H194</f>
        <v>9668.3000000000029</v>
      </c>
    </row>
    <row r="180" spans="1:8" s="273" customFormat="1" ht="37.5">
      <c r="A180" s="261"/>
      <c r="B180" s="274" t="s">
        <v>322</v>
      </c>
      <c r="C180" s="734" t="s">
        <v>84</v>
      </c>
      <c r="D180" s="735" t="s">
        <v>50</v>
      </c>
      <c r="E180" s="735" t="s">
        <v>57</v>
      </c>
      <c r="F180" s="736" t="s">
        <v>64</v>
      </c>
      <c r="G180" s="121"/>
      <c r="H180" s="275">
        <f>H181+H185+H189</f>
        <v>9442.5000000000018</v>
      </c>
    </row>
    <row r="181" spans="1:8" ht="37.5">
      <c r="A181" s="261"/>
      <c r="B181" s="274" t="s">
        <v>67</v>
      </c>
      <c r="C181" s="734" t="s">
        <v>84</v>
      </c>
      <c r="D181" s="735" t="s">
        <v>50</v>
      </c>
      <c r="E181" s="735" t="s">
        <v>57</v>
      </c>
      <c r="F181" s="736" t="s">
        <v>68</v>
      </c>
      <c r="G181" s="293"/>
      <c r="H181" s="275">
        <f>SUM(H182:H184)</f>
        <v>2859.3000000000006</v>
      </c>
    </row>
    <row r="182" spans="1:8" ht="93.75">
      <c r="A182" s="261"/>
      <c r="B182" s="274" t="s">
        <v>69</v>
      </c>
      <c r="C182" s="734" t="s">
        <v>84</v>
      </c>
      <c r="D182" s="735" t="s">
        <v>50</v>
      </c>
      <c r="E182" s="735" t="s">
        <v>57</v>
      </c>
      <c r="F182" s="736" t="s">
        <v>68</v>
      </c>
      <c r="G182" s="293" t="s">
        <v>70</v>
      </c>
      <c r="H182" s="275">
        <f>'прил12(ведом 21)'!M626</f>
        <v>2616.6000000000004</v>
      </c>
    </row>
    <row r="183" spans="1:8" ht="37.5">
      <c r="A183" s="261"/>
      <c r="B183" s="274" t="s">
        <v>75</v>
      </c>
      <c r="C183" s="734" t="s">
        <v>84</v>
      </c>
      <c r="D183" s="735" t="s">
        <v>50</v>
      </c>
      <c r="E183" s="735" t="s">
        <v>57</v>
      </c>
      <c r="F183" s="736" t="s">
        <v>68</v>
      </c>
      <c r="G183" s="293" t="s">
        <v>76</v>
      </c>
      <c r="H183" s="275">
        <f>'прил12(ведом 21)'!M627</f>
        <v>238.3</v>
      </c>
    </row>
    <row r="184" spans="1:8" ht="18.75">
      <c r="A184" s="261"/>
      <c r="B184" s="274" t="s">
        <v>77</v>
      </c>
      <c r="C184" s="734" t="s">
        <v>84</v>
      </c>
      <c r="D184" s="735" t="s">
        <v>50</v>
      </c>
      <c r="E184" s="735" t="s">
        <v>57</v>
      </c>
      <c r="F184" s="736" t="s">
        <v>68</v>
      </c>
      <c r="G184" s="121" t="s">
        <v>78</v>
      </c>
      <c r="H184" s="275">
        <f>'прил12(ведом 21)'!M628</f>
        <v>4.4000000000000057</v>
      </c>
    </row>
    <row r="185" spans="1:8" ht="37.5">
      <c r="A185" s="261"/>
      <c r="B185" s="274" t="s">
        <v>795</v>
      </c>
      <c r="C185" s="734" t="s">
        <v>84</v>
      </c>
      <c r="D185" s="735" t="s">
        <v>50</v>
      </c>
      <c r="E185" s="735" t="s">
        <v>57</v>
      </c>
      <c r="F185" s="736" t="s">
        <v>112</v>
      </c>
      <c r="G185" s="121"/>
      <c r="H185" s="275">
        <f>SUM(H186:H188)</f>
        <v>6439.5</v>
      </c>
    </row>
    <row r="186" spans="1:8" ht="93.75">
      <c r="A186" s="261"/>
      <c r="B186" s="274" t="s">
        <v>69</v>
      </c>
      <c r="C186" s="734" t="s">
        <v>84</v>
      </c>
      <c r="D186" s="735" t="s">
        <v>50</v>
      </c>
      <c r="E186" s="735" t="s">
        <v>57</v>
      </c>
      <c r="F186" s="736" t="s">
        <v>112</v>
      </c>
      <c r="G186" s="293" t="s">
        <v>70</v>
      </c>
      <c r="H186" s="275">
        <f>'прил12(ведом 21)'!M630</f>
        <v>5832</v>
      </c>
    </row>
    <row r="187" spans="1:8" ht="37.5">
      <c r="A187" s="261"/>
      <c r="B187" s="274" t="s">
        <v>75</v>
      </c>
      <c r="C187" s="734" t="s">
        <v>84</v>
      </c>
      <c r="D187" s="735" t="s">
        <v>50</v>
      </c>
      <c r="E187" s="735" t="s">
        <v>57</v>
      </c>
      <c r="F187" s="736" t="s">
        <v>112</v>
      </c>
      <c r="G187" s="293" t="s">
        <v>76</v>
      </c>
      <c r="H187" s="275">
        <f>'прил12(ведом 21)'!M631</f>
        <v>605.79999999999995</v>
      </c>
    </row>
    <row r="188" spans="1:8" ht="18.75">
      <c r="A188" s="261"/>
      <c r="B188" s="274" t="s">
        <v>77</v>
      </c>
      <c r="C188" s="734" t="s">
        <v>84</v>
      </c>
      <c r="D188" s="735" t="s">
        <v>50</v>
      </c>
      <c r="E188" s="735" t="s">
        <v>57</v>
      </c>
      <c r="F188" s="736" t="s">
        <v>112</v>
      </c>
      <c r="G188" s="121" t="s">
        <v>78</v>
      </c>
      <c r="H188" s="275">
        <f>'прил12(ведом 21)'!M632</f>
        <v>1.7</v>
      </c>
    </row>
    <row r="189" spans="1:8" ht="18.75">
      <c r="A189" s="261"/>
      <c r="B189" s="545" t="s">
        <v>796</v>
      </c>
      <c r="C189" s="734" t="s">
        <v>84</v>
      </c>
      <c r="D189" s="735" t="s">
        <v>50</v>
      </c>
      <c r="E189" s="735" t="s">
        <v>57</v>
      </c>
      <c r="F189" s="413" t="s">
        <v>479</v>
      </c>
      <c r="G189" s="541"/>
      <c r="H189" s="275">
        <f>H190</f>
        <v>143.69999999999999</v>
      </c>
    </row>
    <row r="190" spans="1:8" ht="37.5">
      <c r="A190" s="261"/>
      <c r="B190" s="135" t="s">
        <v>75</v>
      </c>
      <c r="C190" s="734" t="s">
        <v>84</v>
      </c>
      <c r="D190" s="735" t="s">
        <v>50</v>
      </c>
      <c r="E190" s="735" t="s">
        <v>57</v>
      </c>
      <c r="F190" s="543" t="s">
        <v>479</v>
      </c>
      <c r="G190" s="542" t="s">
        <v>76</v>
      </c>
      <c r="H190" s="275">
        <f>'прил12(ведом 21)'!M634</f>
        <v>143.69999999999999</v>
      </c>
    </row>
    <row r="191" spans="1:8" ht="37.5">
      <c r="A191" s="261"/>
      <c r="B191" s="135" t="s">
        <v>428</v>
      </c>
      <c r="C191" s="535" t="s">
        <v>84</v>
      </c>
      <c r="D191" s="536" t="s">
        <v>50</v>
      </c>
      <c r="E191" s="536" t="s">
        <v>59</v>
      </c>
      <c r="F191" s="537" t="s">
        <v>64</v>
      </c>
      <c r="G191" s="131"/>
      <c r="H191" s="275">
        <f>H192</f>
        <v>131.19999999999999</v>
      </c>
    </row>
    <row r="192" spans="1:8" ht="56.25">
      <c r="A192" s="261"/>
      <c r="B192" s="135" t="s">
        <v>429</v>
      </c>
      <c r="C192" s="535" t="s">
        <v>84</v>
      </c>
      <c r="D192" s="536" t="s">
        <v>50</v>
      </c>
      <c r="E192" s="536" t="s">
        <v>59</v>
      </c>
      <c r="F192" s="537" t="s">
        <v>126</v>
      </c>
      <c r="G192" s="131"/>
      <c r="H192" s="275">
        <f>H193</f>
        <v>131.19999999999999</v>
      </c>
    </row>
    <row r="193" spans="1:8" ht="37.5">
      <c r="A193" s="261"/>
      <c r="B193" s="135" t="s">
        <v>75</v>
      </c>
      <c r="C193" s="535" t="s">
        <v>84</v>
      </c>
      <c r="D193" s="536" t="s">
        <v>50</v>
      </c>
      <c r="E193" s="536" t="s">
        <v>59</v>
      </c>
      <c r="F193" s="537" t="s">
        <v>126</v>
      </c>
      <c r="G193" s="152" t="s">
        <v>76</v>
      </c>
      <c r="H193" s="275">
        <f>'прил12(ведом 21)'!M563</f>
        <v>131.19999999999999</v>
      </c>
    </row>
    <row r="194" spans="1:8" ht="37.5">
      <c r="A194" s="261"/>
      <c r="B194" s="135" t="s">
        <v>464</v>
      </c>
      <c r="C194" s="804" t="s">
        <v>84</v>
      </c>
      <c r="D194" s="804" t="s">
        <v>50</v>
      </c>
      <c r="E194" s="536" t="s">
        <v>84</v>
      </c>
      <c r="F194" s="537" t="s">
        <v>64</v>
      </c>
      <c r="G194" s="152"/>
      <c r="H194" s="275">
        <f>H195</f>
        <v>94.6</v>
      </c>
    </row>
    <row r="195" spans="1:8" ht="37.5">
      <c r="A195" s="261"/>
      <c r="B195" s="135" t="s">
        <v>402</v>
      </c>
      <c r="C195" s="804" t="s">
        <v>84</v>
      </c>
      <c r="D195" s="804" t="s">
        <v>50</v>
      </c>
      <c r="E195" s="536" t="s">
        <v>84</v>
      </c>
      <c r="F195" s="537" t="s">
        <v>401</v>
      </c>
      <c r="G195" s="152"/>
      <c r="H195" s="275">
        <f>H196</f>
        <v>94.6</v>
      </c>
    </row>
    <row r="196" spans="1:8" ht="18.75">
      <c r="A196" s="261"/>
      <c r="B196" s="135" t="s">
        <v>77</v>
      </c>
      <c r="C196" s="804" t="s">
        <v>84</v>
      </c>
      <c r="D196" s="804" t="s">
        <v>50</v>
      </c>
      <c r="E196" s="536" t="s">
        <v>84</v>
      </c>
      <c r="F196" s="537" t="s">
        <v>401</v>
      </c>
      <c r="G196" s="152" t="s">
        <v>78</v>
      </c>
      <c r="H196" s="275">
        <f>'прил12(ведом 21)'!M566</f>
        <v>94.6</v>
      </c>
    </row>
    <row r="197" spans="1:8" ht="18.75">
      <c r="A197" s="261"/>
      <c r="B197" s="283"/>
      <c r="C197" s="294"/>
      <c r="D197" s="294"/>
      <c r="E197" s="295"/>
      <c r="F197" s="296"/>
      <c r="G197" s="259"/>
      <c r="H197" s="275"/>
    </row>
    <row r="198" spans="1:8" s="273" customFormat="1" ht="56.25">
      <c r="A198" s="284">
        <v>3</v>
      </c>
      <c r="B198" s="297" t="s">
        <v>239</v>
      </c>
      <c r="C198" s="285" t="s">
        <v>72</v>
      </c>
      <c r="D198" s="285" t="s">
        <v>62</v>
      </c>
      <c r="E198" s="285" t="s">
        <v>63</v>
      </c>
      <c r="F198" s="286" t="s">
        <v>64</v>
      </c>
      <c r="G198" s="271"/>
      <c r="H198" s="272">
        <f>H199+H207+H229</f>
        <v>40767.800000000003</v>
      </c>
    </row>
    <row r="199" spans="1:8" ht="24" customHeight="1">
      <c r="A199" s="261"/>
      <c r="B199" s="287" t="s">
        <v>240</v>
      </c>
      <c r="C199" s="734" t="s">
        <v>72</v>
      </c>
      <c r="D199" s="735" t="s">
        <v>65</v>
      </c>
      <c r="E199" s="735" t="s">
        <v>63</v>
      </c>
      <c r="F199" s="736" t="s">
        <v>64</v>
      </c>
      <c r="G199" s="259"/>
      <c r="H199" s="275">
        <f>H200+H203</f>
        <v>1022.8</v>
      </c>
    </row>
    <row r="200" spans="1:8" ht="18.75">
      <c r="A200" s="261"/>
      <c r="B200" s="274" t="s">
        <v>317</v>
      </c>
      <c r="C200" s="734" t="s">
        <v>72</v>
      </c>
      <c r="D200" s="735" t="s">
        <v>65</v>
      </c>
      <c r="E200" s="735" t="s">
        <v>57</v>
      </c>
      <c r="F200" s="736" t="s">
        <v>64</v>
      </c>
      <c r="G200" s="259"/>
      <c r="H200" s="275">
        <f>H201</f>
        <v>144</v>
      </c>
    </row>
    <row r="201" spans="1:8" ht="37.5">
      <c r="A201" s="261"/>
      <c r="B201" s="274" t="s">
        <v>318</v>
      </c>
      <c r="C201" s="734" t="s">
        <v>72</v>
      </c>
      <c r="D201" s="735" t="s">
        <v>65</v>
      </c>
      <c r="E201" s="735" t="s">
        <v>57</v>
      </c>
      <c r="F201" s="736" t="s">
        <v>319</v>
      </c>
      <c r="G201" s="121"/>
      <c r="H201" s="275">
        <f>H202</f>
        <v>144</v>
      </c>
    </row>
    <row r="202" spans="1:8" ht="22.5" customHeight="1">
      <c r="A202" s="261"/>
      <c r="B202" s="274" t="s">
        <v>141</v>
      </c>
      <c r="C202" s="734" t="s">
        <v>72</v>
      </c>
      <c r="D202" s="735" t="s">
        <v>65</v>
      </c>
      <c r="E202" s="735" t="s">
        <v>57</v>
      </c>
      <c r="F202" s="736" t="s">
        <v>319</v>
      </c>
      <c r="G202" s="121" t="s">
        <v>142</v>
      </c>
      <c r="H202" s="275">
        <f>'прил12(ведом 21)'!M650</f>
        <v>144</v>
      </c>
    </row>
    <row r="203" spans="1:8" ht="34.15" customHeight="1">
      <c r="A203" s="261"/>
      <c r="B203" s="274" t="s">
        <v>332</v>
      </c>
      <c r="C203" s="734" t="s">
        <v>72</v>
      </c>
      <c r="D203" s="735" t="s">
        <v>65</v>
      </c>
      <c r="E203" s="735" t="s">
        <v>59</v>
      </c>
      <c r="F203" s="736" t="s">
        <v>64</v>
      </c>
      <c r="G203" s="121"/>
      <c r="H203" s="275">
        <f>H204</f>
        <v>878.8</v>
      </c>
    </row>
    <row r="204" spans="1:8" ht="42" customHeight="1">
      <c r="A204" s="261"/>
      <c r="B204" s="274" t="s">
        <v>241</v>
      </c>
      <c r="C204" s="734" t="s">
        <v>72</v>
      </c>
      <c r="D204" s="735" t="s">
        <v>65</v>
      </c>
      <c r="E204" s="735" t="s">
        <v>59</v>
      </c>
      <c r="F204" s="736" t="s">
        <v>333</v>
      </c>
      <c r="G204" s="121"/>
      <c r="H204" s="275">
        <f>SUM(H205:H206)</f>
        <v>878.8</v>
      </c>
    </row>
    <row r="205" spans="1:8" ht="93.75">
      <c r="A205" s="261"/>
      <c r="B205" s="135" t="s">
        <v>69</v>
      </c>
      <c r="C205" s="734" t="s">
        <v>72</v>
      </c>
      <c r="D205" s="735" t="s">
        <v>65</v>
      </c>
      <c r="E205" s="735" t="s">
        <v>59</v>
      </c>
      <c r="F205" s="736" t="s">
        <v>333</v>
      </c>
      <c r="G205" s="121" t="s">
        <v>70</v>
      </c>
      <c r="H205" s="275">
        <f>'прил12(ведом 21)'!M674</f>
        <v>714.8</v>
      </c>
    </row>
    <row r="206" spans="1:8" ht="37.5">
      <c r="A206" s="261"/>
      <c r="B206" s="274" t="s">
        <v>75</v>
      </c>
      <c r="C206" s="734" t="s">
        <v>72</v>
      </c>
      <c r="D206" s="735" t="s">
        <v>65</v>
      </c>
      <c r="E206" s="735" t="s">
        <v>59</v>
      </c>
      <c r="F206" s="736" t="s">
        <v>333</v>
      </c>
      <c r="G206" s="121" t="s">
        <v>76</v>
      </c>
      <c r="H206" s="275">
        <f>'прил12(ведом 21)'!M675</f>
        <v>164</v>
      </c>
    </row>
    <row r="207" spans="1:8" ht="22.5" customHeight="1">
      <c r="A207" s="261"/>
      <c r="B207" s="274" t="s">
        <v>242</v>
      </c>
      <c r="C207" s="734" t="s">
        <v>72</v>
      </c>
      <c r="D207" s="735" t="s">
        <v>110</v>
      </c>
      <c r="E207" s="735" t="s">
        <v>63</v>
      </c>
      <c r="F207" s="736" t="s">
        <v>64</v>
      </c>
      <c r="G207" s="259"/>
      <c r="H207" s="275">
        <f>H208+H213+H226</f>
        <v>33790.300000000003</v>
      </c>
    </row>
    <row r="208" spans="1:8" ht="37.5">
      <c r="A208" s="261"/>
      <c r="B208" s="274" t="s">
        <v>322</v>
      </c>
      <c r="C208" s="734" t="s">
        <v>72</v>
      </c>
      <c r="D208" s="735" t="s">
        <v>110</v>
      </c>
      <c r="E208" s="735" t="s">
        <v>57</v>
      </c>
      <c r="F208" s="736" t="s">
        <v>64</v>
      </c>
      <c r="G208" s="121"/>
      <c r="H208" s="275">
        <f>H209</f>
        <v>2425.3000000000002</v>
      </c>
    </row>
    <row r="209" spans="1:8" ht="37.5">
      <c r="A209" s="261"/>
      <c r="B209" s="274" t="s">
        <v>67</v>
      </c>
      <c r="C209" s="734" t="s">
        <v>72</v>
      </c>
      <c r="D209" s="735" t="s">
        <v>110</v>
      </c>
      <c r="E209" s="735" t="s">
        <v>57</v>
      </c>
      <c r="F209" s="736" t="s">
        <v>68</v>
      </c>
      <c r="G209" s="121"/>
      <c r="H209" s="275">
        <f>SUM(H210:H212)</f>
        <v>2425.3000000000002</v>
      </c>
    </row>
    <row r="210" spans="1:8" ht="93.75">
      <c r="A210" s="261"/>
      <c r="B210" s="274" t="s">
        <v>69</v>
      </c>
      <c r="C210" s="734" t="s">
        <v>72</v>
      </c>
      <c r="D210" s="735" t="s">
        <v>110</v>
      </c>
      <c r="E210" s="735" t="s">
        <v>57</v>
      </c>
      <c r="F210" s="736" t="s">
        <v>68</v>
      </c>
      <c r="G210" s="121" t="s">
        <v>70</v>
      </c>
      <c r="H210" s="275">
        <f>'прил12(ведом 21)'!M681</f>
        <v>2371.8000000000002</v>
      </c>
    </row>
    <row r="211" spans="1:8" ht="37.5">
      <c r="A211" s="261"/>
      <c r="B211" s="274" t="s">
        <v>75</v>
      </c>
      <c r="C211" s="734" t="s">
        <v>72</v>
      </c>
      <c r="D211" s="735" t="s">
        <v>110</v>
      </c>
      <c r="E211" s="735" t="s">
        <v>57</v>
      </c>
      <c r="F211" s="736" t="s">
        <v>68</v>
      </c>
      <c r="G211" s="121" t="s">
        <v>76</v>
      </c>
      <c r="H211" s="275">
        <f>'прил12(ведом 21)'!M682</f>
        <v>51.4</v>
      </c>
    </row>
    <row r="212" spans="1:8" ht="18.75">
      <c r="A212" s="261"/>
      <c r="B212" s="274" t="s">
        <v>77</v>
      </c>
      <c r="C212" s="734" t="s">
        <v>72</v>
      </c>
      <c r="D212" s="735" t="s">
        <v>110</v>
      </c>
      <c r="E212" s="735" t="s">
        <v>57</v>
      </c>
      <c r="F212" s="736" t="s">
        <v>68</v>
      </c>
      <c r="G212" s="121" t="s">
        <v>78</v>
      </c>
      <c r="H212" s="275">
        <f>'прил12(ведом 21)'!M683</f>
        <v>2.1</v>
      </c>
    </row>
    <row r="213" spans="1:8" ht="18.75">
      <c r="A213" s="261"/>
      <c r="B213" s="274" t="s">
        <v>444</v>
      </c>
      <c r="C213" s="734" t="s">
        <v>72</v>
      </c>
      <c r="D213" s="735" t="s">
        <v>110</v>
      </c>
      <c r="E213" s="735" t="s">
        <v>59</v>
      </c>
      <c r="F213" s="736" t="s">
        <v>64</v>
      </c>
      <c r="G213" s="121"/>
      <c r="H213" s="275">
        <f>H214+H218+H224+H220+H222</f>
        <v>31329.699999999997</v>
      </c>
    </row>
    <row r="214" spans="1:8" ht="37.5">
      <c r="A214" s="261"/>
      <c r="B214" s="274" t="s">
        <v>795</v>
      </c>
      <c r="C214" s="734" t="s">
        <v>72</v>
      </c>
      <c r="D214" s="735" t="s">
        <v>110</v>
      </c>
      <c r="E214" s="735" t="s">
        <v>59</v>
      </c>
      <c r="F214" s="736" t="s">
        <v>112</v>
      </c>
      <c r="G214" s="121"/>
      <c r="H214" s="275">
        <f>SUM(H215:H217)</f>
        <v>25625.3</v>
      </c>
    </row>
    <row r="215" spans="1:8" ht="93.75">
      <c r="A215" s="261"/>
      <c r="B215" s="274" t="s">
        <v>69</v>
      </c>
      <c r="C215" s="734" t="s">
        <v>72</v>
      </c>
      <c r="D215" s="735" t="s">
        <v>110</v>
      </c>
      <c r="E215" s="735" t="s">
        <v>59</v>
      </c>
      <c r="F215" s="736" t="s">
        <v>112</v>
      </c>
      <c r="G215" s="121" t="s">
        <v>70</v>
      </c>
      <c r="H215" s="275">
        <f>'прил12(ведом 21)'!M654</f>
        <v>19418.3</v>
      </c>
    </row>
    <row r="216" spans="1:8" ht="37.5">
      <c r="A216" s="261"/>
      <c r="B216" s="274" t="s">
        <v>75</v>
      </c>
      <c r="C216" s="734" t="s">
        <v>72</v>
      </c>
      <c r="D216" s="735" t="s">
        <v>110</v>
      </c>
      <c r="E216" s="735" t="s">
        <v>59</v>
      </c>
      <c r="F216" s="736" t="s">
        <v>112</v>
      </c>
      <c r="G216" s="121" t="s">
        <v>76</v>
      </c>
      <c r="H216" s="275">
        <f>'прил12(ведом 21)'!M655</f>
        <v>6135.2000000000007</v>
      </c>
    </row>
    <row r="217" spans="1:8" ht="18.75">
      <c r="A217" s="261"/>
      <c r="B217" s="274" t="s">
        <v>77</v>
      </c>
      <c r="C217" s="734" t="s">
        <v>72</v>
      </c>
      <c r="D217" s="735" t="s">
        <v>110</v>
      </c>
      <c r="E217" s="735" t="s">
        <v>59</v>
      </c>
      <c r="F217" s="736" t="s">
        <v>112</v>
      </c>
      <c r="G217" s="121" t="s">
        <v>78</v>
      </c>
      <c r="H217" s="275">
        <f>'прил12(ведом 21)'!M656</f>
        <v>71.8</v>
      </c>
    </row>
    <row r="218" spans="1:8" ht="18.75">
      <c r="A218" s="261"/>
      <c r="B218" s="135" t="s">
        <v>796</v>
      </c>
      <c r="C218" s="734" t="s">
        <v>72</v>
      </c>
      <c r="D218" s="735" t="s">
        <v>110</v>
      </c>
      <c r="E218" s="735" t="s">
        <v>59</v>
      </c>
      <c r="F218" s="736" t="s">
        <v>479</v>
      </c>
      <c r="G218" s="121"/>
      <c r="H218" s="275">
        <f>H219</f>
        <v>2355.8000000000002</v>
      </c>
    </row>
    <row r="219" spans="1:8" ht="37.5">
      <c r="A219" s="261"/>
      <c r="B219" s="135" t="s">
        <v>75</v>
      </c>
      <c r="C219" s="734" t="s">
        <v>72</v>
      </c>
      <c r="D219" s="735" t="s">
        <v>110</v>
      </c>
      <c r="E219" s="735" t="s">
        <v>59</v>
      </c>
      <c r="F219" s="736" t="s">
        <v>479</v>
      </c>
      <c r="G219" s="121" t="s">
        <v>76</v>
      </c>
      <c r="H219" s="275">
        <f>'прил12(ведом 21)'!M658</f>
        <v>2355.8000000000002</v>
      </c>
    </row>
    <row r="220" spans="1:8" ht="56.25">
      <c r="A220" s="261"/>
      <c r="B220" s="135" t="s">
        <v>241</v>
      </c>
      <c r="C220" s="734" t="s">
        <v>72</v>
      </c>
      <c r="D220" s="735" t="s">
        <v>110</v>
      </c>
      <c r="E220" s="735" t="s">
        <v>59</v>
      </c>
      <c r="F220" s="736" t="s">
        <v>333</v>
      </c>
      <c r="G220" s="121"/>
      <c r="H220" s="275">
        <f>H221</f>
        <v>2325.8000000000002</v>
      </c>
    </row>
    <row r="221" spans="1:8" ht="37.5">
      <c r="A221" s="261"/>
      <c r="B221" s="135" t="s">
        <v>75</v>
      </c>
      <c r="C221" s="734" t="s">
        <v>72</v>
      </c>
      <c r="D221" s="735" t="s">
        <v>110</v>
      </c>
      <c r="E221" s="735" t="s">
        <v>59</v>
      </c>
      <c r="F221" s="736" t="s">
        <v>333</v>
      </c>
      <c r="G221" s="121" t="s">
        <v>76</v>
      </c>
      <c r="H221" s="275">
        <f>'прил12(ведом 21)'!M660</f>
        <v>2325.8000000000002</v>
      </c>
    </row>
    <row r="222" spans="1:8" ht="18.75">
      <c r="A222" s="261"/>
      <c r="B222" s="135" t="s">
        <v>694</v>
      </c>
      <c r="C222" s="734" t="s">
        <v>72</v>
      </c>
      <c r="D222" s="735" t="s">
        <v>110</v>
      </c>
      <c r="E222" s="735" t="s">
        <v>59</v>
      </c>
      <c r="F222" s="736" t="s">
        <v>538</v>
      </c>
      <c r="G222" s="121"/>
      <c r="H222" s="275">
        <f>H223</f>
        <v>125</v>
      </c>
    </row>
    <row r="223" spans="1:8" ht="93.75">
      <c r="A223" s="261"/>
      <c r="B223" s="135" t="s">
        <v>69</v>
      </c>
      <c r="C223" s="734" t="s">
        <v>72</v>
      </c>
      <c r="D223" s="735" t="s">
        <v>110</v>
      </c>
      <c r="E223" s="735" t="s">
        <v>59</v>
      </c>
      <c r="F223" s="736" t="s">
        <v>538</v>
      </c>
      <c r="G223" s="121" t="s">
        <v>70</v>
      </c>
      <c r="H223" s="275">
        <f>'прил12(ведом 21)'!M662</f>
        <v>125</v>
      </c>
    </row>
    <row r="224" spans="1:8" ht="58.15" customHeight="1">
      <c r="A224" s="261"/>
      <c r="B224" s="135" t="s">
        <v>729</v>
      </c>
      <c r="C224" s="734" t="s">
        <v>72</v>
      </c>
      <c r="D224" s="735" t="s">
        <v>110</v>
      </c>
      <c r="E224" s="735" t="s">
        <v>59</v>
      </c>
      <c r="F224" s="736" t="s">
        <v>583</v>
      </c>
      <c r="G224" s="121"/>
      <c r="H224" s="275">
        <f>H225</f>
        <v>897.8</v>
      </c>
    </row>
    <row r="225" spans="1:8" ht="93.75">
      <c r="A225" s="261"/>
      <c r="B225" s="135" t="s">
        <v>69</v>
      </c>
      <c r="C225" s="734" t="s">
        <v>72</v>
      </c>
      <c r="D225" s="735" t="s">
        <v>110</v>
      </c>
      <c r="E225" s="735" t="s">
        <v>59</v>
      </c>
      <c r="F225" s="736" t="s">
        <v>583</v>
      </c>
      <c r="G225" s="121" t="s">
        <v>70</v>
      </c>
      <c r="H225" s="275">
        <f>'прил12(ведом 21)'!M664</f>
        <v>897.8</v>
      </c>
    </row>
    <row r="226" spans="1:8" ht="37.5">
      <c r="A226" s="261"/>
      <c r="B226" s="551" t="s">
        <v>428</v>
      </c>
      <c r="C226" s="535" t="s">
        <v>72</v>
      </c>
      <c r="D226" s="536" t="s">
        <v>110</v>
      </c>
      <c r="E226" s="536" t="s">
        <v>84</v>
      </c>
      <c r="F226" s="537" t="s">
        <v>64</v>
      </c>
      <c r="G226" s="152"/>
      <c r="H226" s="275">
        <f>H227</f>
        <v>35.299999999999997</v>
      </c>
    </row>
    <row r="227" spans="1:8" ht="56.25">
      <c r="A227" s="261"/>
      <c r="B227" s="612" t="s">
        <v>429</v>
      </c>
      <c r="C227" s="535" t="s">
        <v>72</v>
      </c>
      <c r="D227" s="536" t="s">
        <v>110</v>
      </c>
      <c r="E227" s="536" t="s">
        <v>84</v>
      </c>
      <c r="F227" s="537" t="s">
        <v>126</v>
      </c>
      <c r="G227" s="152"/>
      <c r="H227" s="275">
        <f>H228</f>
        <v>35.299999999999997</v>
      </c>
    </row>
    <row r="228" spans="1:8" ht="37.5">
      <c r="A228" s="261"/>
      <c r="B228" s="135" t="s">
        <v>75</v>
      </c>
      <c r="C228" s="535" t="s">
        <v>72</v>
      </c>
      <c r="D228" s="536" t="s">
        <v>110</v>
      </c>
      <c r="E228" s="536" t="s">
        <v>84</v>
      </c>
      <c r="F228" s="537" t="s">
        <v>126</v>
      </c>
      <c r="G228" s="152" t="s">
        <v>76</v>
      </c>
      <c r="H228" s="275">
        <f>'прил12(ведом 21)'!M643</f>
        <v>35.299999999999997</v>
      </c>
    </row>
    <row r="229" spans="1:8" ht="37.5">
      <c r="A229" s="261"/>
      <c r="B229" s="135" t="s">
        <v>404</v>
      </c>
      <c r="C229" s="734" t="s">
        <v>72</v>
      </c>
      <c r="D229" s="735" t="s">
        <v>51</v>
      </c>
      <c r="E229" s="735" t="s">
        <v>63</v>
      </c>
      <c r="F229" s="736" t="s">
        <v>64</v>
      </c>
      <c r="G229" s="121"/>
      <c r="H229" s="275">
        <f>H230</f>
        <v>5954.7</v>
      </c>
    </row>
    <row r="230" spans="1:8" ht="59.25" customHeight="1">
      <c r="A230" s="261"/>
      <c r="B230" s="135" t="s">
        <v>584</v>
      </c>
      <c r="C230" s="734" t="s">
        <v>72</v>
      </c>
      <c r="D230" s="735" t="s">
        <v>51</v>
      </c>
      <c r="E230" s="735" t="s">
        <v>84</v>
      </c>
      <c r="F230" s="736" t="s">
        <v>64</v>
      </c>
      <c r="G230" s="121"/>
      <c r="H230" s="275">
        <f>H231</f>
        <v>5954.7</v>
      </c>
    </row>
    <row r="231" spans="1:8" ht="41.25" customHeight="1">
      <c r="A231" s="261"/>
      <c r="B231" s="135" t="s">
        <v>241</v>
      </c>
      <c r="C231" s="734" t="s">
        <v>72</v>
      </c>
      <c r="D231" s="735" t="s">
        <v>51</v>
      </c>
      <c r="E231" s="735" t="s">
        <v>84</v>
      </c>
      <c r="F231" s="736" t="s">
        <v>333</v>
      </c>
      <c r="G231" s="121"/>
      <c r="H231" s="275">
        <f>H232</f>
        <v>5954.7</v>
      </c>
    </row>
    <row r="232" spans="1:8" ht="35.25" customHeight="1">
      <c r="A232" s="261"/>
      <c r="B232" s="135" t="s">
        <v>225</v>
      </c>
      <c r="C232" s="734" t="s">
        <v>72</v>
      </c>
      <c r="D232" s="735" t="s">
        <v>51</v>
      </c>
      <c r="E232" s="735" t="s">
        <v>84</v>
      </c>
      <c r="F232" s="736" t="s">
        <v>333</v>
      </c>
      <c r="G232" s="121" t="s">
        <v>226</v>
      </c>
      <c r="H232" s="275">
        <f>'прил12(ведом 21)'!M668</f>
        <v>5954.7</v>
      </c>
    </row>
    <row r="233" spans="1:8" s="273" customFormat="1" ht="56.25">
      <c r="A233" s="284">
        <v>4</v>
      </c>
      <c r="B233" s="268" t="s">
        <v>243</v>
      </c>
      <c r="C233" s="269" t="s">
        <v>86</v>
      </c>
      <c r="D233" s="269" t="s">
        <v>62</v>
      </c>
      <c r="E233" s="269" t="s">
        <v>63</v>
      </c>
      <c r="F233" s="270" t="s">
        <v>64</v>
      </c>
      <c r="G233" s="271"/>
      <c r="H233" s="272">
        <f>H234+H242</f>
        <v>7089.0999999999995</v>
      </c>
    </row>
    <row r="234" spans="1:8" s="273" customFormat="1" ht="18.75">
      <c r="A234" s="261"/>
      <c r="B234" s="274" t="s">
        <v>244</v>
      </c>
      <c r="C234" s="734" t="s">
        <v>86</v>
      </c>
      <c r="D234" s="735" t="s">
        <v>65</v>
      </c>
      <c r="E234" s="735" t="s">
        <v>63</v>
      </c>
      <c r="F234" s="736" t="s">
        <v>64</v>
      </c>
      <c r="G234" s="259"/>
      <c r="H234" s="275">
        <f>H235</f>
        <v>4000.0999999999995</v>
      </c>
    </row>
    <row r="235" spans="1:8" s="273" customFormat="1" ht="75">
      <c r="A235" s="261"/>
      <c r="B235" s="274" t="s">
        <v>328</v>
      </c>
      <c r="C235" s="734" t="s">
        <v>86</v>
      </c>
      <c r="D235" s="735" t="s">
        <v>65</v>
      </c>
      <c r="E235" s="735" t="s">
        <v>57</v>
      </c>
      <c r="F235" s="736" t="s">
        <v>64</v>
      </c>
      <c r="G235" s="121"/>
      <c r="H235" s="275">
        <f>H236+H240</f>
        <v>4000.0999999999995</v>
      </c>
    </row>
    <row r="236" spans="1:8" ht="37.5">
      <c r="A236" s="261"/>
      <c r="B236" s="274" t="s">
        <v>795</v>
      </c>
      <c r="C236" s="734" t="s">
        <v>86</v>
      </c>
      <c r="D236" s="735" t="s">
        <v>65</v>
      </c>
      <c r="E236" s="735" t="s">
        <v>57</v>
      </c>
      <c r="F236" s="736" t="s">
        <v>112</v>
      </c>
      <c r="G236" s="121"/>
      <c r="H236" s="275">
        <f>H237+H238+H239</f>
        <v>3381.4999999999995</v>
      </c>
    </row>
    <row r="237" spans="1:8" ht="93.75">
      <c r="A237" s="261"/>
      <c r="B237" s="274" t="s">
        <v>69</v>
      </c>
      <c r="C237" s="734" t="s">
        <v>86</v>
      </c>
      <c r="D237" s="735" t="s">
        <v>65</v>
      </c>
      <c r="E237" s="735" t="s">
        <v>57</v>
      </c>
      <c r="F237" s="736" t="s">
        <v>112</v>
      </c>
      <c r="G237" s="121" t="s">
        <v>70</v>
      </c>
      <c r="H237" s="275">
        <f>'прил12(ведом 21)'!M705</f>
        <v>3054.2</v>
      </c>
    </row>
    <row r="238" spans="1:8" ht="37.5">
      <c r="A238" s="261"/>
      <c r="B238" s="274" t="s">
        <v>75</v>
      </c>
      <c r="C238" s="734" t="s">
        <v>86</v>
      </c>
      <c r="D238" s="735" t="s">
        <v>65</v>
      </c>
      <c r="E238" s="735" t="s">
        <v>57</v>
      </c>
      <c r="F238" s="736" t="s">
        <v>112</v>
      </c>
      <c r="G238" s="121" t="s">
        <v>76</v>
      </c>
      <c r="H238" s="275">
        <f>'прил12(ведом 21)'!M706</f>
        <v>317.10000000000002</v>
      </c>
    </row>
    <row r="239" spans="1:8" ht="18.75">
      <c r="A239" s="261"/>
      <c r="B239" s="135" t="s">
        <v>77</v>
      </c>
      <c r="C239" s="734" t="s">
        <v>86</v>
      </c>
      <c r="D239" s="735" t="s">
        <v>65</v>
      </c>
      <c r="E239" s="735" t="s">
        <v>57</v>
      </c>
      <c r="F239" s="736" t="s">
        <v>112</v>
      </c>
      <c r="G239" s="121" t="s">
        <v>78</v>
      </c>
      <c r="H239" s="275">
        <f>'прил12(ведом 21)'!M707</f>
        <v>10.199999999999999</v>
      </c>
    </row>
    <row r="240" spans="1:8" ht="37.5">
      <c r="A240" s="261"/>
      <c r="B240" s="274" t="s">
        <v>329</v>
      </c>
      <c r="C240" s="734" t="s">
        <v>86</v>
      </c>
      <c r="D240" s="735" t="s">
        <v>65</v>
      </c>
      <c r="E240" s="735" t="s">
        <v>57</v>
      </c>
      <c r="F240" s="736" t="s">
        <v>330</v>
      </c>
      <c r="G240" s="121"/>
      <c r="H240" s="275">
        <f>H241</f>
        <v>618.6</v>
      </c>
    </row>
    <row r="241" spans="1:8" ht="37.5">
      <c r="A241" s="261"/>
      <c r="B241" s="274" t="s">
        <v>75</v>
      </c>
      <c r="C241" s="734" t="s">
        <v>86</v>
      </c>
      <c r="D241" s="735" t="s">
        <v>65</v>
      </c>
      <c r="E241" s="735" t="s">
        <v>57</v>
      </c>
      <c r="F241" s="736" t="s">
        <v>330</v>
      </c>
      <c r="G241" s="121" t="s">
        <v>76</v>
      </c>
      <c r="H241" s="275">
        <f>'прил12(ведом 21)'!M709</f>
        <v>618.6</v>
      </c>
    </row>
    <row r="242" spans="1:8" s="273" customFormat="1" ht="24" customHeight="1">
      <c r="A242" s="261"/>
      <c r="B242" s="274" t="s">
        <v>242</v>
      </c>
      <c r="C242" s="734" t="s">
        <v>86</v>
      </c>
      <c r="D242" s="735" t="s">
        <v>110</v>
      </c>
      <c r="E242" s="735" t="s">
        <v>63</v>
      </c>
      <c r="F242" s="736" t="s">
        <v>64</v>
      </c>
      <c r="G242" s="121"/>
      <c r="H242" s="275">
        <f>H243+H248+H251+H254</f>
        <v>3089</v>
      </c>
    </row>
    <row r="243" spans="1:8" s="273" customFormat="1" ht="37.5">
      <c r="A243" s="261"/>
      <c r="B243" s="274" t="s">
        <v>322</v>
      </c>
      <c r="C243" s="734" t="s">
        <v>86</v>
      </c>
      <c r="D243" s="735" t="s">
        <v>110</v>
      </c>
      <c r="E243" s="735" t="s">
        <v>57</v>
      </c>
      <c r="F243" s="736" t="s">
        <v>64</v>
      </c>
      <c r="G243" s="121"/>
      <c r="H243" s="275">
        <f>H244</f>
        <v>2951.2999999999997</v>
      </c>
    </row>
    <row r="244" spans="1:8" s="273" customFormat="1" ht="37.5">
      <c r="A244" s="261"/>
      <c r="B244" s="274" t="s">
        <v>67</v>
      </c>
      <c r="C244" s="734" t="s">
        <v>86</v>
      </c>
      <c r="D244" s="735" t="s">
        <v>110</v>
      </c>
      <c r="E244" s="735" t="s">
        <v>57</v>
      </c>
      <c r="F244" s="736" t="s">
        <v>68</v>
      </c>
      <c r="G244" s="121"/>
      <c r="H244" s="275">
        <f>SUM(H245:H247)</f>
        <v>2951.2999999999997</v>
      </c>
    </row>
    <row r="245" spans="1:8" s="273" customFormat="1" ht="93.75">
      <c r="A245" s="261"/>
      <c r="B245" s="274" t="s">
        <v>69</v>
      </c>
      <c r="C245" s="734" t="s">
        <v>86</v>
      </c>
      <c r="D245" s="735" t="s">
        <v>110</v>
      </c>
      <c r="E245" s="735" t="s">
        <v>57</v>
      </c>
      <c r="F245" s="736" t="s">
        <v>68</v>
      </c>
      <c r="G245" s="121" t="s">
        <v>70</v>
      </c>
      <c r="H245" s="275">
        <f>'прил12(ведом 21)'!M715</f>
        <v>2664.7</v>
      </c>
    </row>
    <row r="246" spans="1:8" ht="37.5">
      <c r="A246" s="261"/>
      <c r="B246" s="274" t="s">
        <v>75</v>
      </c>
      <c r="C246" s="734" t="s">
        <v>86</v>
      </c>
      <c r="D246" s="735" t="s">
        <v>110</v>
      </c>
      <c r="E246" s="735" t="s">
        <v>57</v>
      </c>
      <c r="F246" s="736" t="s">
        <v>68</v>
      </c>
      <c r="G246" s="121" t="s">
        <v>76</v>
      </c>
      <c r="H246" s="275">
        <f>'прил12(ведом 21)'!M716</f>
        <v>285.40000000000003</v>
      </c>
    </row>
    <row r="247" spans="1:8" ht="18.75">
      <c r="A247" s="261"/>
      <c r="B247" s="274" t="s">
        <v>77</v>
      </c>
      <c r="C247" s="734" t="s">
        <v>86</v>
      </c>
      <c r="D247" s="735" t="s">
        <v>110</v>
      </c>
      <c r="E247" s="735" t="s">
        <v>57</v>
      </c>
      <c r="F247" s="736" t="s">
        <v>68</v>
      </c>
      <c r="G247" s="121" t="s">
        <v>78</v>
      </c>
      <c r="H247" s="275">
        <f>'прил12(ведом 21)'!M717</f>
        <v>1.2</v>
      </c>
    </row>
    <row r="248" spans="1:8" ht="37.5">
      <c r="A248" s="261"/>
      <c r="B248" s="612" t="s">
        <v>428</v>
      </c>
      <c r="C248" s="735" t="s">
        <v>86</v>
      </c>
      <c r="D248" s="735" t="s">
        <v>110</v>
      </c>
      <c r="E248" s="735" t="s">
        <v>59</v>
      </c>
      <c r="F248" s="736" t="s">
        <v>64</v>
      </c>
      <c r="G248" s="121"/>
      <c r="H248" s="275">
        <f>H249</f>
        <v>80.400000000000006</v>
      </c>
    </row>
    <row r="249" spans="1:8" ht="56.25">
      <c r="A249" s="261"/>
      <c r="B249" s="612" t="s">
        <v>429</v>
      </c>
      <c r="C249" s="734" t="s">
        <v>86</v>
      </c>
      <c r="D249" s="735" t="s">
        <v>110</v>
      </c>
      <c r="E249" s="735" t="s">
        <v>59</v>
      </c>
      <c r="F249" s="736" t="s">
        <v>126</v>
      </c>
      <c r="G249" s="121"/>
      <c r="H249" s="275">
        <f>H250</f>
        <v>80.400000000000006</v>
      </c>
    </row>
    <row r="250" spans="1:8" ht="37.5">
      <c r="A250" s="261"/>
      <c r="B250" s="612" t="s">
        <v>75</v>
      </c>
      <c r="C250" s="734" t="s">
        <v>86</v>
      </c>
      <c r="D250" s="735" t="s">
        <v>110</v>
      </c>
      <c r="E250" s="735" t="s">
        <v>59</v>
      </c>
      <c r="F250" s="736" t="s">
        <v>126</v>
      </c>
      <c r="G250" s="121" t="s">
        <v>76</v>
      </c>
      <c r="H250" s="275">
        <f>'прил12(ведом 21)'!M692</f>
        <v>80.400000000000006</v>
      </c>
    </row>
    <row r="251" spans="1:8" ht="37.5">
      <c r="A251" s="261"/>
      <c r="B251" s="135" t="s">
        <v>799</v>
      </c>
      <c r="C251" s="735" t="s">
        <v>86</v>
      </c>
      <c r="D251" s="735" t="s">
        <v>110</v>
      </c>
      <c r="E251" s="735" t="s">
        <v>84</v>
      </c>
      <c r="F251" s="736" t="s">
        <v>64</v>
      </c>
      <c r="G251" s="121"/>
      <c r="H251" s="275">
        <f>H252</f>
        <v>14.8</v>
      </c>
    </row>
    <row r="252" spans="1:8" ht="18.75">
      <c r="A252" s="261"/>
      <c r="B252" s="135" t="s">
        <v>797</v>
      </c>
      <c r="C252" s="735" t="s">
        <v>86</v>
      </c>
      <c r="D252" s="735" t="s">
        <v>110</v>
      </c>
      <c r="E252" s="735" t="s">
        <v>84</v>
      </c>
      <c r="F252" s="736" t="s">
        <v>798</v>
      </c>
      <c r="G252" s="121"/>
      <c r="H252" s="275">
        <f>H253</f>
        <v>14.8</v>
      </c>
    </row>
    <row r="253" spans="1:8" ht="37.5">
      <c r="A253" s="261"/>
      <c r="B253" s="612" t="s">
        <v>75</v>
      </c>
      <c r="C253" s="735" t="s">
        <v>86</v>
      </c>
      <c r="D253" s="735" t="s">
        <v>110</v>
      </c>
      <c r="E253" s="735" t="s">
        <v>84</v>
      </c>
      <c r="F253" s="736" t="s">
        <v>798</v>
      </c>
      <c r="G253" s="121" t="s">
        <v>76</v>
      </c>
      <c r="H253" s="275">
        <f>'прил12(ведом 21)'!M695</f>
        <v>14.8</v>
      </c>
    </row>
    <row r="254" spans="1:8" ht="37.5">
      <c r="A254" s="261"/>
      <c r="B254" s="612" t="s">
        <v>811</v>
      </c>
      <c r="C254" s="735" t="s">
        <v>86</v>
      </c>
      <c r="D254" s="735" t="s">
        <v>110</v>
      </c>
      <c r="E254" s="735" t="s">
        <v>72</v>
      </c>
      <c r="F254" s="730" t="s">
        <v>64</v>
      </c>
      <c r="G254" s="259"/>
      <c r="H254" s="275">
        <f>H255</f>
        <v>42.5</v>
      </c>
    </row>
    <row r="255" spans="1:8" ht="37.5">
      <c r="A255" s="261"/>
      <c r="B255" s="547" t="s">
        <v>148</v>
      </c>
      <c r="C255" s="735" t="s">
        <v>86</v>
      </c>
      <c r="D255" s="735" t="s">
        <v>110</v>
      </c>
      <c r="E255" s="735" t="s">
        <v>72</v>
      </c>
      <c r="F255" s="548" t="s">
        <v>111</v>
      </c>
      <c r="G255" s="259"/>
      <c r="H255" s="275">
        <f>H256</f>
        <v>42.5</v>
      </c>
    </row>
    <row r="256" spans="1:8" ht="37.5">
      <c r="A256" s="261"/>
      <c r="B256" s="612" t="s">
        <v>75</v>
      </c>
      <c r="C256" s="735" t="s">
        <v>86</v>
      </c>
      <c r="D256" s="735" t="s">
        <v>110</v>
      </c>
      <c r="E256" s="735" t="s">
        <v>72</v>
      </c>
      <c r="F256" s="730" t="s">
        <v>111</v>
      </c>
      <c r="G256" s="259" t="s">
        <v>76</v>
      </c>
      <c r="H256" s="275">
        <f>'прил12(ведом 21)'!M698</f>
        <v>42.5</v>
      </c>
    </row>
    <row r="257" spans="1:8" ht="18.75">
      <c r="A257" s="261"/>
      <c r="B257" s="612"/>
      <c r="C257" s="818"/>
      <c r="D257" s="819"/>
      <c r="E257" s="819"/>
      <c r="F257" s="817"/>
      <c r="G257" s="259"/>
      <c r="H257" s="275"/>
    </row>
    <row r="258" spans="1:8" s="273" customFormat="1" ht="56.25">
      <c r="A258" s="284">
        <v>5</v>
      </c>
      <c r="B258" s="268" t="s">
        <v>101</v>
      </c>
      <c r="C258" s="285" t="s">
        <v>102</v>
      </c>
      <c r="D258" s="285" t="s">
        <v>62</v>
      </c>
      <c r="E258" s="285" t="s">
        <v>63</v>
      </c>
      <c r="F258" s="286" t="s">
        <v>64</v>
      </c>
      <c r="G258" s="271"/>
      <c r="H258" s="272">
        <f>H269+H259+H280+H289</f>
        <v>16625.399999999998</v>
      </c>
    </row>
    <row r="259" spans="1:8" ht="56.25">
      <c r="A259" s="261"/>
      <c r="B259" s="287" t="s">
        <v>103</v>
      </c>
      <c r="C259" s="734" t="s">
        <v>102</v>
      </c>
      <c r="D259" s="735" t="s">
        <v>65</v>
      </c>
      <c r="E259" s="735" t="s">
        <v>63</v>
      </c>
      <c r="F259" s="736" t="s">
        <v>64</v>
      </c>
      <c r="G259" s="259"/>
      <c r="H259" s="275">
        <f>H260</f>
        <v>4033.3</v>
      </c>
    </row>
    <row r="260" spans="1:8" ht="75">
      <c r="A260" s="261"/>
      <c r="B260" s="274" t="s">
        <v>104</v>
      </c>
      <c r="C260" s="734" t="s">
        <v>102</v>
      </c>
      <c r="D260" s="735" t="s">
        <v>65</v>
      </c>
      <c r="E260" s="735" t="s">
        <v>57</v>
      </c>
      <c r="F260" s="736" t="s">
        <v>64</v>
      </c>
      <c r="G260" s="121"/>
      <c r="H260" s="275">
        <f>H261+H263+H265+H267</f>
        <v>4033.3</v>
      </c>
    </row>
    <row r="261" spans="1:8" ht="37.5">
      <c r="A261" s="261"/>
      <c r="B261" s="287" t="s">
        <v>756</v>
      </c>
      <c r="C261" s="734" t="s">
        <v>102</v>
      </c>
      <c r="D261" s="735" t="s">
        <v>65</v>
      </c>
      <c r="E261" s="735" t="s">
        <v>57</v>
      </c>
      <c r="F261" s="736" t="s">
        <v>105</v>
      </c>
      <c r="G261" s="121"/>
      <c r="H261" s="275">
        <f>H262</f>
        <v>742.7</v>
      </c>
    </row>
    <row r="262" spans="1:8" ht="37.5">
      <c r="A262" s="261"/>
      <c r="B262" s="274" t="s">
        <v>75</v>
      </c>
      <c r="C262" s="734" t="s">
        <v>102</v>
      </c>
      <c r="D262" s="735" t="s">
        <v>65</v>
      </c>
      <c r="E262" s="735" t="s">
        <v>57</v>
      </c>
      <c r="F262" s="736" t="s">
        <v>105</v>
      </c>
      <c r="G262" s="121" t="s">
        <v>76</v>
      </c>
      <c r="H262" s="275">
        <f>'прил12(ведом 21)'!M95</f>
        <v>742.7</v>
      </c>
    </row>
    <row r="263" spans="1:8" ht="56.25">
      <c r="A263" s="261"/>
      <c r="B263" s="274" t="s">
        <v>106</v>
      </c>
      <c r="C263" s="734" t="s">
        <v>102</v>
      </c>
      <c r="D263" s="735" t="s">
        <v>65</v>
      </c>
      <c r="E263" s="735" t="s">
        <v>57</v>
      </c>
      <c r="F263" s="736" t="s">
        <v>107</v>
      </c>
      <c r="G263" s="121"/>
      <c r="H263" s="275">
        <f>H264</f>
        <v>203</v>
      </c>
    </row>
    <row r="264" spans="1:8" ht="37.5">
      <c r="A264" s="261"/>
      <c r="B264" s="274" t="s">
        <v>75</v>
      </c>
      <c r="C264" s="734" t="s">
        <v>102</v>
      </c>
      <c r="D264" s="735" t="s">
        <v>65</v>
      </c>
      <c r="E264" s="735" t="s">
        <v>57</v>
      </c>
      <c r="F264" s="736" t="s">
        <v>107</v>
      </c>
      <c r="G264" s="121" t="s">
        <v>76</v>
      </c>
      <c r="H264" s="275">
        <f>'прил12(ведом 21)'!M97</f>
        <v>203</v>
      </c>
    </row>
    <row r="265" spans="1:8" ht="87" customHeight="1">
      <c r="A265" s="261"/>
      <c r="B265" s="274" t="s">
        <v>405</v>
      </c>
      <c r="C265" s="734" t="s">
        <v>102</v>
      </c>
      <c r="D265" s="735" t="s">
        <v>65</v>
      </c>
      <c r="E265" s="735" t="s">
        <v>57</v>
      </c>
      <c r="F265" s="736" t="s">
        <v>393</v>
      </c>
      <c r="G265" s="121"/>
      <c r="H265" s="275">
        <f>H266</f>
        <v>3075.3</v>
      </c>
    </row>
    <row r="266" spans="1:8" ht="18.75">
      <c r="A266" s="261"/>
      <c r="B266" s="274" t="s">
        <v>144</v>
      </c>
      <c r="C266" s="734" t="s">
        <v>102</v>
      </c>
      <c r="D266" s="735" t="s">
        <v>65</v>
      </c>
      <c r="E266" s="735" t="s">
        <v>57</v>
      </c>
      <c r="F266" s="736" t="s">
        <v>393</v>
      </c>
      <c r="G266" s="121" t="s">
        <v>145</v>
      </c>
      <c r="H266" s="275">
        <f>'прил12(ведом 21)'!M99</f>
        <v>3075.3</v>
      </c>
    </row>
    <row r="267" spans="1:8" ht="112.5">
      <c r="A267" s="261"/>
      <c r="B267" s="274" t="s">
        <v>407</v>
      </c>
      <c r="C267" s="734" t="s">
        <v>102</v>
      </c>
      <c r="D267" s="735" t="s">
        <v>65</v>
      </c>
      <c r="E267" s="735" t="s">
        <v>57</v>
      </c>
      <c r="F267" s="736" t="s">
        <v>394</v>
      </c>
      <c r="G267" s="121"/>
      <c r="H267" s="275">
        <f>H268</f>
        <v>12.3</v>
      </c>
    </row>
    <row r="268" spans="1:8" ht="18.75">
      <c r="A268" s="261"/>
      <c r="B268" s="274" t="s">
        <v>144</v>
      </c>
      <c r="C268" s="734" t="s">
        <v>102</v>
      </c>
      <c r="D268" s="735" t="s">
        <v>65</v>
      </c>
      <c r="E268" s="735" t="s">
        <v>57</v>
      </c>
      <c r="F268" s="736" t="s">
        <v>394</v>
      </c>
      <c r="G268" s="121" t="s">
        <v>145</v>
      </c>
      <c r="H268" s="275">
        <f>'прил12(ведом 21)'!M101</f>
        <v>12.3</v>
      </c>
    </row>
    <row r="269" spans="1:8" ht="37.5">
      <c r="A269" s="261"/>
      <c r="B269" s="298" t="s">
        <v>146</v>
      </c>
      <c r="C269" s="734" t="s">
        <v>102</v>
      </c>
      <c r="D269" s="735" t="s">
        <v>110</v>
      </c>
      <c r="E269" s="735" t="s">
        <v>63</v>
      </c>
      <c r="F269" s="736" t="s">
        <v>64</v>
      </c>
      <c r="G269" s="259"/>
      <c r="H269" s="275">
        <f>H270+H277</f>
        <v>482.4</v>
      </c>
    </row>
    <row r="270" spans="1:8" ht="37.5">
      <c r="A270" s="261"/>
      <c r="B270" s="274" t="s">
        <v>311</v>
      </c>
      <c r="C270" s="734" t="s">
        <v>102</v>
      </c>
      <c r="D270" s="735" t="s">
        <v>110</v>
      </c>
      <c r="E270" s="735" t="s">
        <v>57</v>
      </c>
      <c r="F270" s="736" t="s">
        <v>64</v>
      </c>
      <c r="G270" s="121"/>
      <c r="H270" s="275">
        <f>H271+H275+H273</f>
        <v>241.7</v>
      </c>
    </row>
    <row r="271" spans="1:8" ht="37.5">
      <c r="A271" s="261"/>
      <c r="B271" s="274" t="s">
        <v>148</v>
      </c>
      <c r="C271" s="734" t="s">
        <v>102</v>
      </c>
      <c r="D271" s="735" t="s">
        <v>110</v>
      </c>
      <c r="E271" s="735" t="s">
        <v>57</v>
      </c>
      <c r="F271" s="736" t="s">
        <v>111</v>
      </c>
      <c r="G271" s="121"/>
      <c r="H271" s="275">
        <f>SUM(H272:H272)</f>
        <v>21.6</v>
      </c>
    </row>
    <row r="272" spans="1:8" ht="37.5">
      <c r="A272" s="261"/>
      <c r="B272" s="274" t="s">
        <v>75</v>
      </c>
      <c r="C272" s="734" t="s">
        <v>102</v>
      </c>
      <c r="D272" s="735" t="s">
        <v>110</v>
      </c>
      <c r="E272" s="735" t="s">
        <v>57</v>
      </c>
      <c r="F272" s="736" t="s">
        <v>111</v>
      </c>
      <c r="G272" s="121" t="s">
        <v>76</v>
      </c>
      <c r="H272" s="275">
        <f>'прил12(ведом 21)'!M107</f>
        <v>21.6</v>
      </c>
    </row>
    <row r="273" spans="1:8" ht="56.25">
      <c r="A273" s="261"/>
      <c r="B273" s="274" t="s">
        <v>106</v>
      </c>
      <c r="C273" s="785" t="s">
        <v>102</v>
      </c>
      <c r="D273" s="786" t="s">
        <v>110</v>
      </c>
      <c r="E273" s="786" t="s">
        <v>57</v>
      </c>
      <c r="F273" s="787" t="s">
        <v>107</v>
      </c>
      <c r="G273" s="121"/>
      <c r="H273" s="275">
        <f>H274</f>
        <v>98</v>
      </c>
    </row>
    <row r="274" spans="1:8" ht="37.5">
      <c r="A274" s="261"/>
      <c r="B274" s="274" t="s">
        <v>75</v>
      </c>
      <c r="C274" s="785" t="s">
        <v>102</v>
      </c>
      <c r="D274" s="786" t="s">
        <v>110</v>
      </c>
      <c r="E274" s="786" t="s">
        <v>57</v>
      </c>
      <c r="F274" s="787" t="s">
        <v>107</v>
      </c>
      <c r="G274" s="121" t="s">
        <v>76</v>
      </c>
      <c r="H274" s="275">
        <f>'прил12(ведом 21)'!M303</f>
        <v>98</v>
      </c>
    </row>
    <row r="275" spans="1:8" ht="112.5">
      <c r="A275" s="261"/>
      <c r="B275" s="298" t="s">
        <v>406</v>
      </c>
      <c r="C275" s="734" t="s">
        <v>102</v>
      </c>
      <c r="D275" s="735" t="s">
        <v>110</v>
      </c>
      <c r="E275" s="735" t="s">
        <v>57</v>
      </c>
      <c r="F275" s="736" t="s">
        <v>395</v>
      </c>
      <c r="G275" s="121"/>
      <c r="H275" s="275">
        <f>H276</f>
        <v>122.1</v>
      </c>
    </row>
    <row r="276" spans="1:8" ht="18.75">
      <c r="A276" s="261"/>
      <c r="B276" s="298" t="s">
        <v>144</v>
      </c>
      <c r="C276" s="734" t="s">
        <v>102</v>
      </c>
      <c r="D276" s="735" t="s">
        <v>110</v>
      </c>
      <c r="E276" s="735" t="s">
        <v>57</v>
      </c>
      <c r="F276" s="736" t="s">
        <v>395</v>
      </c>
      <c r="G276" s="121" t="s">
        <v>145</v>
      </c>
      <c r="H276" s="275">
        <f>'прил12(ведом 21)'!M109</f>
        <v>122.1</v>
      </c>
    </row>
    <row r="277" spans="1:8" ht="56.25">
      <c r="A277" s="261"/>
      <c r="B277" s="288" t="s">
        <v>147</v>
      </c>
      <c r="C277" s="734" t="s">
        <v>102</v>
      </c>
      <c r="D277" s="735" t="s">
        <v>110</v>
      </c>
      <c r="E277" s="735" t="s">
        <v>59</v>
      </c>
      <c r="F277" s="736" t="s">
        <v>64</v>
      </c>
      <c r="G277" s="121"/>
      <c r="H277" s="275">
        <f>H278</f>
        <v>240.7</v>
      </c>
    </row>
    <row r="278" spans="1:8" ht="37.5">
      <c r="A278" s="261"/>
      <c r="B278" s="288" t="s">
        <v>148</v>
      </c>
      <c r="C278" s="734" t="s">
        <v>102</v>
      </c>
      <c r="D278" s="735" t="s">
        <v>110</v>
      </c>
      <c r="E278" s="735" t="s">
        <v>59</v>
      </c>
      <c r="F278" s="736" t="s">
        <v>111</v>
      </c>
      <c r="G278" s="121"/>
      <c r="H278" s="275">
        <f>H279</f>
        <v>240.7</v>
      </c>
    </row>
    <row r="279" spans="1:8" ht="37.5">
      <c r="A279" s="261"/>
      <c r="B279" s="274" t="s">
        <v>75</v>
      </c>
      <c r="C279" s="734" t="s">
        <v>102</v>
      </c>
      <c r="D279" s="735" t="s">
        <v>110</v>
      </c>
      <c r="E279" s="735" t="s">
        <v>59</v>
      </c>
      <c r="F279" s="736" t="s">
        <v>111</v>
      </c>
      <c r="G279" s="121" t="s">
        <v>76</v>
      </c>
      <c r="H279" s="275">
        <f>'прил12(ведом 21)'!M112</f>
        <v>240.7</v>
      </c>
    </row>
    <row r="280" spans="1:8" ht="56.25">
      <c r="A280" s="261"/>
      <c r="B280" s="140" t="s">
        <v>453</v>
      </c>
      <c r="C280" s="734" t="s">
        <v>102</v>
      </c>
      <c r="D280" s="735" t="s">
        <v>50</v>
      </c>
      <c r="E280" s="735" t="s">
        <v>63</v>
      </c>
      <c r="F280" s="736" t="s">
        <v>64</v>
      </c>
      <c r="G280" s="121"/>
      <c r="H280" s="275">
        <f>H281+H286</f>
        <v>12088.099999999999</v>
      </c>
    </row>
    <row r="281" spans="1:8" ht="75">
      <c r="A281" s="261"/>
      <c r="B281" s="288" t="s">
        <v>386</v>
      </c>
      <c r="C281" s="734" t="s">
        <v>102</v>
      </c>
      <c r="D281" s="735" t="s">
        <v>50</v>
      </c>
      <c r="E281" s="735" t="s">
        <v>57</v>
      </c>
      <c r="F281" s="736" t="s">
        <v>64</v>
      </c>
      <c r="G281" s="121"/>
      <c r="H281" s="275">
        <f>H282</f>
        <v>11293.099999999999</v>
      </c>
    </row>
    <row r="282" spans="1:8" ht="37.5">
      <c r="A282" s="261"/>
      <c r="B282" s="274" t="s">
        <v>795</v>
      </c>
      <c r="C282" s="734" t="s">
        <v>102</v>
      </c>
      <c r="D282" s="735" t="s">
        <v>50</v>
      </c>
      <c r="E282" s="735" t="s">
        <v>57</v>
      </c>
      <c r="F282" s="736" t="s">
        <v>112</v>
      </c>
      <c r="G282" s="121"/>
      <c r="H282" s="275">
        <f>SUM(H283:H285)</f>
        <v>11293.099999999999</v>
      </c>
    </row>
    <row r="283" spans="1:8" s="273" customFormat="1" ht="93.75">
      <c r="A283" s="261"/>
      <c r="B283" s="274" t="s">
        <v>69</v>
      </c>
      <c r="C283" s="734" t="s">
        <v>102</v>
      </c>
      <c r="D283" s="735" t="s">
        <v>50</v>
      </c>
      <c r="E283" s="735" t="s">
        <v>57</v>
      </c>
      <c r="F283" s="736" t="s">
        <v>112</v>
      </c>
      <c r="G283" s="121" t="s">
        <v>70</v>
      </c>
      <c r="H283" s="275">
        <f>'прил12(ведом 21)'!M116</f>
        <v>8010.5</v>
      </c>
    </row>
    <row r="284" spans="1:8" ht="37.5">
      <c r="A284" s="261"/>
      <c r="B284" s="274" t="s">
        <v>75</v>
      </c>
      <c r="C284" s="734" t="s">
        <v>102</v>
      </c>
      <c r="D284" s="735" t="s">
        <v>50</v>
      </c>
      <c r="E284" s="735" t="s">
        <v>57</v>
      </c>
      <c r="F284" s="736" t="s">
        <v>112</v>
      </c>
      <c r="G284" s="121" t="s">
        <v>76</v>
      </c>
      <c r="H284" s="275">
        <f>'прил12(ведом 21)'!M117</f>
        <v>3276.3</v>
      </c>
    </row>
    <row r="285" spans="1:8" s="273" customFormat="1" ht="18.75">
      <c r="A285" s="261"/>
      <c r="B285" s="274" t="s">
        <v>77</v>
      </c>
      <c r="C285" s="734" t="s">
        <v>102</v>
      </c>
      <c r="D285" s="735" t="s">
        <v>50</v>
      </c>
      <c r="E285" s="735" t="s">
        <v>57</v>
      </c>
      <c r="F285" s="736" t="s">
        <v>112</v>
      </c>
      <c r="G285" s="121" t="s">
        <v>78</v>
      </c>
      <c r="H285" s="275">
        <f>'прил12(ведом 21)'!M118</f>
        <v>6.3</v>
      </c>
    </row>
    <row r="286" spans="1:8" s="273" customFormat="1" ht="37.5">
      <c r="A286" s="261"/>
      <c r="B286" s="140" t="s">
        <v>813</v>
      </c>
      <c r="C286" s="734" t="s">
        <v>102</v>
      </c>
      <c r="D286" s="735" t="s">
        <v>50</v>
      </c>
      <c r="E286" s="735" t="s">
        <v>59</v>
      </c>
      <c r="F286" s="736" t="s">
        <v>64</v>
      </c>
      <c r="G286" s="121"/>
      <c r="H286" s="275">
        <f>H287</f>
        <v>795</v>
      </c>
    </row>
    <row r="287" spans="1:8" s="273" customFormat="1" ht="56.25">
      <c r="A287" s="261"/>
      <c r="B287" s="327" t="s">
        <v>106</v>
      </c>
      <c r="C287" s="734" t="s">
        <v>102</v>
      </c>
      <c r="D287" s="735" t="s">
        <v>50</v>
      </c>
      <c r="E287" s="735" t="s">
        <v>59</v>
      </c>
      <c r="F287" s="736" t="s">
        <v>107</v>
      </c>
      <c r="G287" s="121"/>
      <c r="H287" s="275">
        <f>H288</f>
        <v>795</v>
      </c>
    </row>
    <row r="288" spans="1:8" s="273" customFormat="1" ht="37.5">
      <c r="A288" s="261"/>
      <c r="B288" s="613" t="s">
        <v>75</v>
      </c>
      <c r="C288" s="734" t="s">
        <v>102</v>
      </c>
      <c r="D288" s="735" t="s">
        <v>50</v>
      </c>
      <c r="E288" s="735" t="s">
        <v>59</v>
      </c>
      <c r="F288" s="736" t="s">
        <v>107</v>
      </c>
      <c r="G288" s="121" t="s">
        <v>76</v>
      </c>
      <c r="H288" s="275">
        <f>'прил12(ведом 21)'!M121</f>
        <v>795</v>
      </c>
    </row>
    <row r="289" spans="1:8" s="273" customFormat="1" ht="56.25">
      <c r="A289" s="261"/>
      <c r="B289" s="614" t="s">
        <v>900</v>
      </c>
      <c r="C289" s="735" t="s">
        <v>102</v>
      </c>
      <c r="D289" s="735" t="s">
        <v>51</v>
      </c>
      <c r="E289" s="735" t="s">
        <v>63</v>
      </c>
      <c r="F289" s="736" t="s">
        <v>64</v>
      </c>
      <c r="G289" s="121"/>
      <c r="H289" s="275">
        <f t="shared" ref="H289:H290" si="0">H290</f>
        <v>21.6</v>
      </c>
    </row>
    <row r="290" spans="1:8" s="273" customFormat="1" ht="56.25">
      <c r="A290" s="261"/>
      <c r="B290" s="614" t="s">
        <v>901</v>
      </c>
      <c r="C290" s="735" t="s">
        <v>102</v>
      </c>
      <c r="D290" s="735" t="s">
        <v>51</v>
      </c>
      <c r="E290" s="735" t="s">
        <v>57</v>
      </c>
      <c r="F290" s="736" t="s">
        <v>64</v>
      </c>
      <c r="G290" s="121"/>
      <c r="H290" s="275">
        <f t="shared" si="0"/>
        <v>21.6</v>
      </c>
    </row>
    <row r="291" spans="1:8" s="273" customFormat="1" ht="38.25" customHeight="1">
      <c r="A291" s="261"/>
      <c r="B291" s="614" t="s">
        <v>106</v>
      </c>
      <c r="C291" s="735" t="s">
        <v>102</v>
      </c>
      <c r="D291" s="735" t="s">
        <v>51</v>
      </c>
      <c r="E291" s="735" t="s">
        <v>57</v>
      </c>
      <c r="F291" s="736" t="s">
        <v>107</v>
      </c>
      <c r="G291" s="121"/>
      <c r="H291" s="275">
        <f>H292</f>
        <v>21.6</v>
      </c>
    </row>
    <row r="292" spans="1:8" s="273" customFormat="1" ht="37.5">
      <c r="A292" s="261"/>
      <c r="B292" s="614" t="s">
        <v>75</v>
      </c>
      <c r="C292" s="735" t="s">
        <v>102</v>
      </c>
      <c r="D292" s="735" t="s">
        <v>51</v>
      </c>
      <c r="E292" s="735" t="s">
        <v>57</v>
      </c>
      <c r="F292" s="736" t="s">
        <v>107</v>
      </c>
      <c r="G292" s="121" t="s">
        <v>76</v>
      </c>
      <c r="H292" s="275">
        <f>'прил12(ведом 21)'!M125</f>
        <v>21.6</v>
      </c>
    </row>
    <row r="293" spans="1:8" ht="18.75">
      <c r="A293" s="299"/>
      <c r="B293" s="276"/>
      <c r="C293" s="146"/>
      <c r="D293" s="729"/>
      <c r="E293" s="729"/>
      <c r="F293" s="730"/>
      <c r="G293" s="259"/>
      <c r="H293" s="275"/>
    </row>
    <row r="294" spans="1:8" s="273" customFormat="1" ht="56.25">
      <c r="A294" s="284">
        <v>6</v>
      </c>
      <c r="B294" s="297" t="s">
        <v>245</v>
      </c>
      <c r="C294" s="269" t="s">
        <v>246</v>
      </c>
      <c r="D294" s="269" t="s">
        <v>62</v>
      </c>
      <c r="E294" s="269" t="s">
        <v>63</v>
      </c>
      <c r="F294" s="270" t="s">
        <v>64</v>
      </c>
      <c r="G294" s="271"/>
      <c r="H294" s="272">
        <f>H295</f>
        <v>40615.516000000003</v>
      </c>
    </row>
    <row r="295" spans="1:8" ht="37.5">
      <c r="A295" s="261"/>
      <c r="B295" s="274" t="s">
        <v>404</v>
      </c>
      <c r="C295" s="143" t="s">
        <v>246</v>
      </c>
      <c r="D295" s="144" t="s">
        <v>65</v>
      </c>
      <c r="E295" s="735" t="s">
        <v>63</v>
      </c>
      <c r="F295" s="736" t="s">
        <v>64</v>
      </c>
      <c r="G295" s="121"/>
      <c r="H295" s="275">
        <f>H296+H301+H306+H309+H312</f>
        <v>40615.516000000003</v>
      </c>
    </row>
    <row r="296" spans="1:8" ht="56.25">
      <c r="A296" s="261"/>
      <c r="B296" s="274" t="s">
        <v>355</v>
      </c>
      <c r="C296" s="143" t="s">
        <v>246</v>
      </c>
      <c r="D296" s="144" t="s">
        <v>65</v>
      </c>
      <c r="E296" s="735" t="s">
        <v>57</v>
      </c>
      <c r="F296" s="736" t="s">
        <v>64</v>
      </c>
      <c r="G296" s="121"/>
      <c r="H296" s="275">
        <f>H297</f>
        <v>24340.715999999997</v>
      </c>
    </row>
    <row r="297" spans="1:8" ht="37.5">
      <c r="A297" s="261"/>
      <c r="B297" s="274" t="s">
        <v>67</v>
      </c>
      <c r="C297" s="143" t="s">
        <v>246</v>
      </c>
      <c r="D297" s="144" t="s">
        <v>65</v>
      </c>
      <c r="E297" s="735" t="s">
        <v>57</v>
      </c>
      <c r="F297" s="736" t="s">
        <v>68</v>
      </c>
      <c r="G297" s="121"/>
      <c r="H297" s="275">
        <f>SUM(H298:H300)</f>
        <v>24340.715999999997</v>
      </c>
    </row>
    <row r="298" spans="1:8" ht="93.75">
      <c r="A298" s="261"/>
      <c r="B298" s="274" t="s">
        <v>69</v>
      </c>
      <c r="C298" s="143" t="s">
        <v>246</v>
      </c>
      <c r="D298" s="144" t="s">
        <v>65</v>
      </c>
      <c r="E298" s="735" t="s">
        <v>57</v>
      </c>
      <c r="F298" s="736" t="s">
        <v>68</v>
      </c>
      <c r="G298" s="121" t="s">
        <v>70</v>
      </c>
      <c r="H298" s="275">
        <f>'прил12(ведом 21)'!M255</f>
        <v>23558.6</v>
      </c>
    </row>
    <row r="299" spans="1:8" ht="37.5">
      <c r="A299" s="261"/>
      <c r="B299" s="274" t="s">
        <v>75</v>
      </c>
      <c r="C299" s="143" t="s">
        <v>246</v>
      </c>
      <c r="D299" s="144" t="s">
        <v>65</v>
      </c>
      <c r="E299" s="735" t="s">
        <v>57</v>
      </c>
      <c r="F299" s="736" t="s">
        <v>68</v>
      </c>
      <c r="G299" s="121" t="s">
        <v>76</v>
      </c>
      <c r="H299" s="275">
        <f>'прил12(ведом 21)'!M256</f>
        <v>777.31599999999992</v>
      </c>
    </row>
    <row r="300" spans="1:8" ht="18.75">
      <c r="A300" s="261"/>
      <c r="B300" s="274" t="s">
        <v>77</v>
      </c>
      <c r="C300" s="143" t="s">
        <v>246</v>
      </c>
      <c r="D300" s="144" t="s">
        <v>65</v>
      </c>
      <c r="E300" s="735" t="s">
        <v>57</v>
      </c>
      <c r="F300" s="736" t="s">
        <v>68</v>
      </c>
      <c r="G300" s="121" t="s">
        <v>78</v>
      </c>
      <c r="H300" s="275">
        <f>'прил12(ведом 21)'!M257</f>
        <v>4.8</v>
      </c>
    </row>
    <row r="301" spans="1:8" ht="24.75" customHeight="1">
      <c r="A301" s="261"/>
      <c r="B301" s="274" t="s">
        <v>356</v>
      </c>
      <c r="C301" s="143" t="s">
        <v>246</v>
      </c>
      <c r="D301" s="144" t="s">
        <v>65</v>
      </c>
      <c r="E301" s="735" t="s">
        <v>59</v>
      </c>
      <c r="F301" s="736" t="s">
        <v>64</v>
      </c>
      <c r="G301" s="121"/>
      <c r="H301" s="275">
        <f>H302+H304</f>
        <v>12300</v>
      </c>
    </row>
    <row r="302" spans="1:8" ht="37.5">
      <c r="A302" s="261"/>
      <c r="B302" s="135" t="s">
        <v>298</v>
      </c>
      <c r="C302" s="143" t="s">
        <v>246</v>
      </c>
      <c r="D302" s="144" t="s">
        <v>65</v>
      </c>
      <c r="E302" s="735" t="s">
        <v>59</v>
      </c>
      <c r="F302" s="736" t="s">
        <v>578</v>
      </c>
      <c r="G302" s="121"/>
      <c r="H302" s="275">
        <f>H303</f>
        <v>5500</v>
      </c>
    </row>
    <row r="303" spans="1:8" ht="18.75">
      <c r="A303" s="261"/>
      <c r="B303" s="135" t="s">
        <v>144</v>
      </c>
      <c r="C303" s="143" t="s">
        <v>246</v>
      </c>
      <c r="D303" s="144" t="s">
        <v>65</v>
      </c>
      <c r="E303" s="735" t="s">
        <v>59</v>
      </c>
      <c r="F303" s="736" t="s">
        <v>578</v>
      </c>
      <c r="G303" s="121" t="s">
        <v>145</v>
      </c>
      <c r="H303" s="275">
        <f>'прил12(ведом 21)'!M276</f>
        <v>5500</v>
      </c>
    </row>
    <row r="304" spans="1:8" ht="56.25">
      <c r="A304" s="261"/>
      <c r="B304" s="135" t="s">
        <v>1024</v>
      </c>
      <c r="C304" s="143" t="s">
        <v>246</v>
      </c>
      <c r="D304" s="144" t="s">
        <v>65</v>
      </c>
      <c r="E304" s="735" t="s">
        <v>59</v>
      </c>
      <c r="F304" s="736" t="s">
        <v>1023</v>
      </c>
      <c r="G304" s="121"/>
      <c r="H304" s="275">
        <f>H305</f>
        <v>6799.9999999999991</v>
      </c>
    </row>
    <row r="305" spans="1:8" ht="18.75">
      <c r="A305" s="261"/>
      <c r="B305" s="135" t="s">
        <v>144</v>
      </c>
      <c r="C305" s="143" t="s">
        <v>246</v>
      </c>
      <c r="D305" s="144" t="s">
        <v>65</v>
      </c>
      <c r="E305" s="735" t="s">
        <v>59</v>
      </c>
      <c r="F305" s="736" t="s">
        <v>1023</v>
      </c>
      <c r="G305" s="121" t="s">
        <v>145</v>
      </c>
      <c r="H305" s="275">
        <f>'прил12(ведом 21)'!M282</f>
        <v>6799.9999999999991</v>
      </c>
    </row>
    <row r="306" spans="1:8" ht="37.5">
      <c r="A306" s="261"/>
      <c r="B306" s="274" t="s">
        <v>428</v>
      </c>
      <c r="C306" s="143" t="s">
        <v>246</v>
      </c>
      <c r="D306" s="144" t="s">
        <v>65</v>
      </c>
      <c r="E306" s="735" t="s">
        <v>84</v>
      </c>
      <c r="F306" s="736" t="s">
        <v>64</v>
      </c>
      <c r="G306" s="121"/>
      <c r="H306" s="275">
        <f>H307</f>
        <v>3249.5</v>
      </c>
    </row>
    <row r="307" spans="1:8" ht="56.25">
      <c r="A307" s="261"/>
      <c r="B307" s="274" t="s">
        <v>429</v>
      </c>
      <c r="C307" s="143" t="s">
        <v>246</v>
      </c>
      <c r="D307" s="144" t="s">
        <v>65</v>
      </c>
      <c r="E307" s="735" t="s">
        <v>84</v>
      </c>
      <c r="F307" s="736" t="s">
        <v>126</v>
      </c>
      <c r="G307" s="121"/>
      <c r="H307" s="275">
        <f>H308</f>
        <v>3249.5</v>
      </c>
    </row>
    <row r="308" spans="1:8" ht="37.5">
      <c r="A308" s="261"/>
      <c r="B308" s="274" t="s">
        <v>75</v>
      </c>
      <c r="C308" s="143" t="s">
        <v>246</v>
      </c>
      <c r="D308" s="144" t="s">
        <v>65</v>
      </c>
      <c r="E308" s="735" t="s">
        <v>84</v>
      </c>
      <c r="F308" s="736" t="s">
        <v>126</v>
      </c>
      <c r="G308" s="121" t="s">
        <v>76</v>
      </c>
      <c r="H308" s="275">
        <f>'прил12(ведом 21)'!M266</f>
        <v>3249.5</v>
      </c>
    </row>
    <row r="309" spans="1:8" ht="56.25">
      <c r="A309" s="261"/>
      <c r="B309" s="135" t="s">
        <v>387</v>
      </c>
      <c r="C309" s="143" t="s">
        <v>246</v>
      </c>
      <c r="D309" s="144" t="s">
        <v>65</v>
      </c>
      <c r="E309" s="735" t="s">
        <v>72</v>
      </c>
      <c r="F309" s="736" t="s">
        <v>64</v>
      </c>
      <c r="G309" s="121"/>
      <c r="H309" s="275">
        <f>H310</f>
        <v>707.3</v>
      </c>
    </row>
    <row r="310" spans="1:8" ht="37.5">
      <c r="A310" s="261"/>
      <c r="B310" s="135" t="s">
        <v>463</v>
      </c>
      <c r="C310" s="143" t="s">
        <v>246</v>
      </c>
      <c r="D310" s="144" t="s">
        <v>65</v>
      </c>
      <c r="E310" s="735" t="s">
        <v>72</v>
      </c>
      <c r="F310" s="736" t="s">
        <v>462</v>
      </c>
      <c r="G310" s="121"/>
      <c r="H310" s="275">
        <f>H311</f>
        <v>707.3</v>
      </c>
    </row>
    <row r="311" spans="1:8" ht="93.75">
      <c r="A311" s="261"/>
      <c r="B311" s="274" t="s">
        <v>69</v>
      </c>
      <c r="C311" s="143" t="s">
        <v>246</v>
      </c>
      <c r="D311" s="144" t="s">
        <v>65</v>
      </c>
      <c r="E311" s="735" t="s">
        <v>72</v>
      </c>
      <c r="F311" s="736" t="s">
        <v>462</v>
      </c>
      <c r="G311" s="121" t="s">
        <v>70</v>
      </c>
      <c r="H311" s="275">
        <f>'прил12(ведом 21)'!M260</f>
        <v>707.3</v>
      </c>
    </row>
    <row r="312" spans="1:8" ht="37.5">
      <c r="A312" s="261"/>
      <c r="B312" s="135" t="s">
        <v>799</v>
      </c>
      <c r="C312" s="143" t="s">
        <v>246</v>
      </c>
      <c r="D312" s="144" t="s">
        <v>65</v>
      </c>
      <c r="E312" s="735" t="s">
        <v>86</v>
      </c>
      <c r="F312" s="736" t="s">
        <v>64</v>
      </c>
      <c r="G312" s="121"/>
      <c r="H312" s="275">
        <f>H313</f>
        <v>18</v>
      </c>
    </row>
    <row r="313" spans="1:8" ht="18.75">
      <c r="A313" s="261"/>
      <c r="B313" s="135" t="s">
        <v>797</v>
      </c>
      <c r="C313" s="143" t="s">
        <v>246</v>
      </c>
      <c r="D313" s="144" t="s">
        <v>65</v>
      </c>
      <c r="E313" s="735" t="s">
        <v>86</v>
      </c>
      <c r="F313" s="736" t="s">
        <v>798</v>
      </c>
      <c r="G313" s="121"/>
      <c r="H313" s="275">
        <f>H314</f>
        <v>18</v>
      </c>
    </row>
    <row r="314" spans="1:8" ht="37.5">
      <c r="A314" s="261"/>
      <c r="B314" s="135" t="s">
        <v>75</v>
      </c>
      <c r="C314" s="143" t="s">
        <v>246</v>
      </c>
      <c r="D314" s="144" t="s">
        <v>65</v>
      </c>
      <c r="E314" s="735" t="s">
        <v>86</v>
      </c>
      <c r="F314" s="736" t="s">
        <v>798</v>
      </c>
      <c r="G314" s="121" t="s">
        <v>76</v>
      </c>
      <c r="H314" s="275">
        <f>'прил12(ведом 21)'!M269</f>
        <v>18</v>
      </c>
    </row>
    <row r="315" spans="1:8" ht="18.75">
      <c r="A315" s="261"/>
      <c r="B315" s="274"/>
      <c r="C315" s="144"/>
      <c r="D315" s="144"/>
      <c r="E315" s="144"/>
      <c r="F315" s="300"/>
      <c r="G315" s="121"/>
      <c r="H315" s="275"/>
    </row>
    <row r="316" spans="1:8" s="273" customFormat="1" ht="56.25">
      <c r="A316" s="267">
        <v>7</v>
      </c>
      <c r="B316" s="301" t="s">
        <v>247</v>
      </c>
      <c r="C316" s="302" t="s">
        <v>248</v>
      </c>
      <c r="D316" s="285" t="s">
        <v>62</v>
      </c>
      <c r="E316" s="285" t="s">
        <v>63</v>
      </c>
      <c r="F316" s="286" t="s">
        <v>64</v>
      </c>
      <c r="G316" s="303"/>
      <c r="H316" s="272">
        <f>H317+H327+H347</f>
        <v>44451.884939999996</v>
      </c>
    </row>
    <row r="317" spans="1:8" ht="37.5">
      <c r="A317" s="299"/>
      <c r="B317" s="304" t="s">
        <v>249</v>
      </c>
      <c r="C317" s="305" t="s">
        <v>248</v>
      </c>
      <c r="D317" s="149" t="s">
        <v>65</v>
      </c>
      <c r="E317" s="149" t="s">
        <v>63</v>
      </c>
      <c r="F317" s="150" t="s">
        <v>64</v>
      </c>
      <c r="G317" s="731"/>
      <c r="H317" s="275">
        <f>H318+H323</f>
        <v>18837.060939999996</v>
      </c>
    </row>
    <row r="318" spans="1:8" ht="75" customHeight="1">
      <c r="A318" s="299"/>
      <c r="B318" s="304" t="s">
        <v>349</v>
      </c>
      <c r="C318" s="306" t="s">
        <v>248</v>
      </c>
      <c r="D318" s="146" t="s">
        <v>65</v>
      </c>
      <c r="E318" s="146" t="s">
        <v>57</v>
      </c>
      <c r="F318" s="147" t="s">
        <v>64</v>
      </c>
      <c r="G318" s="145"/>
      <c r="H318" s="275">
        <f>H319+H321</f>
        <v>2370.6</v>
      </c>
    </row>
    <row r="319" spans="1:8" ht="33" customHeight="1">
      <c r="A319" s="299"/>
      <c r="B319" s="304" t="s">
        <v>250</v>
      </c>
      <c r="C319" s="306" t="s">
        <v>248</v>
      </c>
      <c r="D319" s="146" t="s">
        <v>65</v>
      </c>
      <c r="E319" s="146" t="s">
        <v>57</v>
      </c>
      <c r="F319" s="147" t="s">
        <v>350</v>
      </c>
      <c r="G319" s="145"/>
      <c r="H319" s="275">
        <f>H320</f>
        <v>333.4</v>
      </c>
    </row>
    <row r="320" spans="1:8" ht="37.5">
      <c r="A320" s="299"/>
      <c r="B320" s="274" t="s">
        <v>75</v>
      </c>
      <c r="C320" s="306" t="s">
        <v>248</v>
      </c>
      <c r="D320" s="146" t="s">
        <v>65</v>
      </c>
      <c r="E320" s="146" t="s">
        <v>57</v>
      </c>
      <c r="F320" s="147" t="s">
        <v>350</v>
      </c>
      <c r="G320" s="145" t="s">
        <v>76</v>
      </c>
      <c r="H320" s="275">
        <f>'прил12(ведом 21)'!M308</f>
        <v>333.4</v>
      </c>
    </row>
    <row r="321" spans="1:8" ht="37.5">
      <c r="A321" s="299"/>
      <c r="B321" s="142" t="s">
        <v>459</v>
      </c>
      <c r="C321" s="151" t="s">
        <v>248</v>
      </c>
      <c r="D321" s="146" t="s">
        <v>65</v>
      </c>
      <c r="E321" s="146" t="s">
        <v>57</v>
      </c>
      <c r="F321" s="147" t="s">
        <v>458</v>
      </c>
      <c r="G321" s="145"/>
      <c r="H321" s="275">
        <f>H322</f>
        <v>2037.1999999999998</v>
      </c>
    </row>
    <row r="322" spans="1:8" ht="37.5">
      <c r="A322" s="299"/>
      <c r="B322" s="135" t="s">
        <v>75</v>
      </c>
      <c r="C322" s="151" t="s">
        <v>248</v>
      </c>
      <c r="D322" s="146" t="s">
        <v>65</v>
      </c>
      <c r="E322" s="146" t="s">
        <v>57</v>
      </c>
      <c r="F322" s="147" t="s">
        <v>458</v>
      </c>
      <c r="G322" s="145" t="s">
        <v>76</v>
      </c>
      <c r="H322" s="275">
        <f>'прил12(ведом 21)'!M357</f>
        <v>2037.1999999999998</v>
      </c>
    </row>
    <row r="323" spans="1:8" ht="37.5">
      <c r="A323" s="299"/>
      <c r="B323" s="274" t="s">
        <v>403</v>
      </c>
      <c r="C323" s="306" t="s">
        <v>248</v>
      </c>
      <c r="D323" s="146" t="s">
        <v>65</v>
      </c>
      <c r="E323" s="146" t="s">
        <v>59</v>
      </c>
      <c r="F323" s="147" t="s">
        <v>64</v>
      </c>
      <c r="G323" s="145"/>
      <c r="H323" s="275">
        <f>H324</f>
        <v>16466.460939999997</v>
      </c>
    </row>
    <row r="324" spans="1:8" ht="37.5">
      <c r="A324" s="299"/>
      <c r="B324" s="274" t="s">
        <v>402</v>
      </c>
      <c r="C324" s="306" t="s">
        <v>248</v>
      </c>
      <c r="D324" s="146" t="s">
        <v>65</v>
      </c>
      <c r="E324" s="146" t="s">
        <v>59</v>
      </c>
      <c r="F324" s="147" t="s">
        <v>401</v>
      </c>
      <c r="G324" s="145"/>
      <c r="H324" s="275">
        <f>SUM(H325:H326)</f>
        <v>16466.460939999997</v>
      </c>
    </row>
    <row r="325" spans="1:8" ht="37.5">
      <c r="A325" s="299"/>
      <c r="B325" s="274" t="s">
        <v>75</v>
      </c>
      <c r="C325" s="306" t="s">
        <v>248</v>
      </c>
      <c r="D325" s="146" t="s">
        <v>65</v>
      </c>
      <c r="E325" s="146" t="s">
        <v>59</v>
      </c>
      <c r="F325" s="147" t="s">
        <v>401</v>
      </c>
      <c r="G325" s="145" t="s">
        <v>76</v>
      </c>
      <c r="H325" s="275">
        <f>'прил12(ведом 21)'!M311+'прил12(ведом 21)'!M364</f>
        <v>9750.3609399999987</v>
      </c>
    </row>
    <row r="326" spans="1:8" ht="37.5">
      <c r="A326" s="299"/>
      <c r="B326" s="135" t="s">
        <v>225</v>
      </c>
      <c r="C326" s="306" t="s">
        <v>248</v>
      </c>
      <c r="D326" s="146" t="s">
        <v>65</v>
      </c>
      <c r="E326" s="146" t="s">
        <v>59</v>
      </c>
      <c r="F326" s="147" t="s">
        <v>401</v>
      </c>
      <c r="G326" s="145" t="s">
        <v>226</v>
      </c>
      <c r="H326" s="275">
        <f>'прил12(ведом 21)'!M312</f>
        <v>6716.1</v>
      </c>
    </row>
    <row r="327" spans="1:8" ht="37.5">
      <c r="A327" s="299"/>
      <c r="B327" s="304" t="s">
        <v>251</v>
      </c>
      <c r="C327" s="151" t="s">
        <v>248</v>
      </c>
      <c r="D327" s="146" t="s">
        <v>110</v>
      </c>
      <c r="E327" s="146" t="s">
        <v>63</v>
      </c>
      <c r="F327" s="147" t="s">
        <v>64</v>
      </c>
      <c r="G327" s="145"/>
      <c r="H327" s="275">
        <f>H328+H341+H344</f>
        <v>22643.675999999999</v>
      </c>
    </row>
    <row r="328" spans="1:8" ht="75">
      <c r="A328" s="299"/>
      <c r="B328" s="304" t="s">
        <v>353</v>
      </c>
      <c r="C328" s="151" t="s">
        <v>248</v>
      </c>
      <c r="D328" s="146" t="s">
        <v>110</v>
      </c>
      <c r="E328" s="146" t="s">
        <v>57</v>
      </c>
      <c r="F328" s="147" t="s">
        <v>64</v>
      </c>
      <c r="G328" s="145"/>
      <c r="H328" s="275">
        <f>H329+H333+H337+H339</f>
        <v>21787.452000000001</v>
      </c>
    </row>
    <row r="329" spans="1:8" ht="37.5">
      <c r="A329" s="299"/>
      <c r="B329" s="304" t="s">
        <v>67</v>
      </c>
      <c r="C329" s="148" t="s">
        <v>248</v>
      </c>
      <c r="D329" s="149" t="s">
        <v>110</v>
      </c>
      <c r="E329" s="149" t="s">
        <v>57</v>
      </c>
      <c r="F329" s="150" t="s">
        <v>68</v>
      </c>
      <c r="G329" s="145"/>
      <c r="H329" s="275">
        <f>SUM(H330:H332)</f>
        <v>12889.099999999999</v>
      </c>
    </row>
    <row r="330" spans="1:8" ht="93.75">
      <c r="A330" s="299"/>
      <c r="B330" s="304" t="s">
        <v>69</v>
      </c>
      <c r="C330" s="151" t="s">
        <v>248</v>
      </c>
      <c r="D330" s="146" t="s">
        <v>110</v>
      </c>
      <c r="E330" s="146" t="s">
        <v>57</v>
      </c>
      <c r="F330" s="147" t="s">
        <v>68</v>
      </c>
      <c r="G330" s="145" t="s">
        <v>70</v>
      </c>
      <c r="H330" s="275">
        <f>'прил12(ведом 21)'!M316</f>
        <v>12567.3</v>
      </c>
    </row>
    <row r="331" spans="1:8" ht="37.5">
      <c r="A331" s="299"/>
      <c r="B331" s="274" t="s">
        <v>75</v>
      </c>
      <c r="C331" s="151" t="s">
        <v>248</v>
      </c>
      <c r="D331" s="146" t="s">
        <v>110</v>
      </c>
      <c r="E331" s="146" t="s">
        <v>57</v>
      </c>
      <c r="F331" s="147" t="s">
        <v>68</v>
      </c>
      <c r="G331" s="145" t="s">
        <v>76</v>
      </c>
      <c r="H331" s="275">
        <f>'прил12(ведом 21)'!M317</f>
        <v>320.5</v>
      </c>
    </row>
    <row r="332" spans="1:8" ht="18.75">
      <c r="A332" s="299"/>
      <c r="B332" s="304" t="s">
        <v>77</v>
      </c>
      <c r="C332" s="151" t="s">
        <v>248</v>
      </c>
      <c r="D332" s="146" t="s">
        <v>110</v>
      </c>
      <c r="E332" s="146" t="s">
        <v>57</v>
      </c>
      <c r="F332" s="147" t="s">
        <v>68</v>
      </c>
      <c r="G332" s="145" t="s">
        <v>78</v>
      </c>
      <c r="H332" s="275">
        <f>'прил12(ведом 21)'!M318</f>
        <v>1.3</v>
      </c>
    </row>
    <row r="333" spans="1:8" ht="37.5">
      <c r="A333" s="299"/>
      <c r="B333" s="274" t="s">
        <v>795</v>
      </c>
      <c r="C333" s="151" t="s">
        <v>248</v>
      </c>
      <c r="D333" s="146" t="s">
        <v>110</v>
      </c>
      <c r="E333" s="146" t="s">
        <v>57</v>
      </c>
      <c r="F333" s="147" t="s">
        <v>112</v>
      </c>
      <c r="G333" s="145"/>
      <c r="H333" s="275">
        <f>SUM(H334:H336)</f>
        <v>8741.652</v>
      </c>
    </row>
    <row r="334" spans="1:8" ht="93.75">
      <c r="A334" s="299"/>
      <c r="B334" s="304" t="s">
        <v>69</v>
      </c>
      <c r="C334" s="151" t="s">
        <v>248</v>
      </c>
      <c r="D334" s="146" t="s">
        <v>110</v>
      </c>
      <c r="E334" s="146" t="s">
        <v>57</v>
      </c>
      <c r="F334" s="147" t="s">
        <v>112</v>
      </c>
      <c r="G334" s="145" t="s">
        <v>70</v>
      </c>
      <c r="H334" s="275">
        <f>'прил12(ведом 21)'!M320</f>
        <v>6812.8520000000008</v>
      </c>
    </row>
    <row r="335" spans="1:8" ht="37.5">
      <c r="A335" s="299"/>
      <c r="B335" s="274" t="s">
        <v>75</v>
      </c>
      <c r="C335" s="148" t="s">
        <v>248</v>
      </c>
      <c r="D335" s="149" t="s">
        <v>110</v>
      </c>
      <c r="E335" s="149" t="s">
        <v>57</v>
      </c>
      <c r="F335" s="150" t="s">
        <v>112</v>
      </c>
      <c r="G335" s="145" t="s">
        <v>76</v>
      </c>
      <c r="H335" s="275">
        <f>'прил12(ведом 21)'!M321</f>
        <v>1904.1999999999998</v>
      </c>
    </row>
    <row r="336" spans="1:8" ht="18.75">
      <c r="A336" s="299"/>
      <c r="B336" s="304" t="s">
        <v>77</v>
      </c>
      <c r="C336" s="151" t="s">
        <v>248</v>
      </c>
      <c r="D336" s="146" t="s">
        <v>110</v>
      </c>
      <c r="E336" s="146" t="s">
        <v>57</v>
      </c>
      <c r="F336" s="147" t="s">
        <v>112</v>
      </c>
      <c r="G336" s="145" t="s">
        <v>78</v>
      </c>
      <c r="H336" s="275">
        <f>'прил12(ведом 21)'!M322</f>
        <v>24.6</v>
      </c>
    </row>
    <row r="337" spans="1:8" ht="56.25">
      <c r="A337" s="299"/>
      <c r="B337" s="135" t="s">
        <v>431</v>
      </c>
      <c r="C337" s="151" t="s">
        <v>248</v>
      </c>
      <c r="D337" s="146" t="s">
        <v>110</v>
      </c>
      <c r="E337" s="146" t="s">
        <v>57</v>
      </c>
      <c r="F337" s="147" t="s">
        <v>430</v>
      </c>
      <c r="G337" s="145"/>
      <c r="H337" s="275">
        <f>H338</f>
        <v>69</v>
      </c>
    </row>
    <row r="338" spans="1:8" ht="37.5">
      <c r="A338" s="299"/>
      <c r="B338" s="135" t="s">
        <v>75</v>
      </c>
      <c r="C338" s="151" t="s">
        <v>248</v>
      </c>
      <c r="D338" s="146" t="s">
        <v>110</v>
      </c>
      <c r="E338" s="146" t="s">
        <v>57</v>
      </c>
      <c r="F338" s="147" t="s">
        <v>430</v>
      </c>
      <c r="G338" s="145" t="s">
        <v>76</v>
      </c>
      <c r="H338" s="275">
        <f>'прил12(ведом 21)'!M324</f>
        <v>69</v>
      </c>
    </row>
    <row r="339" spans="1:8" ht="56.25">
      <c r="A339" s="299"/>
      <c r="B339" s="790" t="s">
        <v>478</v>
      </c>
      <c r="C339" s="151" t="s">
        <v>248</v>
      </c>
      <c r="D339" s="803" t="s">
        <v>110</v>
      </c>
      <c r="E339" s="803" t="s">
        <v>57</v>
      </c>
      <c r="F339" s="147" t="s">
        <v>477</v>
      </c>
      <c r="G339" s="803"/>
      <c r="H339" s="275">
        <f>H340</f>
        <v>87.7</v>
      </c>
    </row>
    <row r="340" spans="1:8" ht="37.5">
      <c r="A340" s="299"/>
      <c r="B340" s="790" t="s">
        <v>75</v>
      </c>
      <c r="C340" s="151" t="s">
        <v>248</v>
      </c>
      <c r="D340" s="803" t="s">
        <v>110</v>
      </c>
      <c r="E340" s="803" t="s">
        <v>57</v>
      </c>
      <c r="F340" s="147" t="s">
        <v>477</v>
      </c>
      <c r="G340" s="803" t="s">
        <v>76</v>
      </c>
      <c r="H340" s="275">
        <f>'прил12(ведом 21)'!M326</f>
        <v>87.7</v>
      </c>
    </row>
    <row r="341" spans="1:8" ht="37.5">
      <c r="A341" s="299"/>
      <c r="B341" s="307" t="s">
        <v>428</v>
      </c>
      <c r="C341" s="799" t="s">
        <v>248</v>
      </c>
      <c r="D341" s="800" t="s">
        <v>110</v>
      </c>
      <c r="E341" s="800" t="s">
        <v>59</v>
      </c>
      <c r="F341" s="801" t="s">
        <v>64</v>
      </c>
      <c r="G341" s="311"/>
      <c r="H341" s="802">
        <f>H342</f>
        <v>773.59999999999991</v>
      </c>
    </row>
    <row r="342" spans="1:8" ht="56.25">
      <c r="A342" s="299"/>
      <c r="B342" s="312" t="s">
        <v>429</v>
      </c>
      <c r="C342" s="308" t="s">
        <v>248</v>
      </c>
      <c r="D342" s="309" t="s">
        <v>110</v>
      </c>
      <c r="E342" s="309" t="s">
        <v>59</v>
      </c>
      <c r="F342" s="310" t="s">
        <v>126</v>
      </c>
      <c r="G342" s="313"/>
      <c r="H342" s="275">
        <f>H343</f>
        <v>773.59999999999991</v>
      </c>
    </row>
    <row r="343" spans="1:8" ht="37.5">
      <c r="A343" s="299"/>
      <c r="B343" s="314" t="s">
        <v>75</v>
      </c>
      <c r="C343" s="315" t="s">
        <v>248</v>
      </c>
      <c r="D343" s="309" t="s">
        <v>110</v>
      </c>
      <c r="E343" s="309" t="s">
        <v>59</v>
      </c>
      <c r="F343" s="310" t="s">
        <v>126</v>
      </c>
      <c r="G343" s="313" t="s">
        <v>76</v>
      </c>
      <c r="H343" s="275">
        <f>'прил12(ведом 21)'!M329</f>
        <v>773.59999999999991</v>
      </c>
    </row>
    <row r="344" spans="1:8" ht="27" customHeight="1">
      <c r="A344" s="299"/>
      <c r="B344" s="304" t="s">
        <v>464</v>
      </c>
      <c r="C344" s="316" t="s">
        <v>248</v>
      </c>
      <c r="D344" s="317" t="s">
        <v>110</v>
      </c>
      <c r="E344" s="318" t="s">
        <v>84</v>
      </c>
      <c r="F344" s="319" t="s">
        <v>64</v>
      </c>
      <c r="G344" s="320"/>
      <c r="H344" s="275">
        <f>H345</f>
        <v>82.623999999999981</v>
      </c>
    </row>
    <row r="345" spans="1:8" ht="37.5">
      <c r="A345" s="299"/>
      <c r="B345" s="304" t="s">
        <v>402</v>
      </c>
      <c r="C345" s="316" t="s">
        <v>248</v>
      </c>
      <c r="D345" s="317" t="s">
        <v>110</v>
      </c>
      <c r="E345" s="321" t="s">
        <v>84</v>
      </c>
      <c r="F345" s="322" t="s">
        <v>401</v>
      </c>
      <c r="G345" s="320"/>
      <c r="H345" s="275">
        <f>H346</f>
        <v>82.623999999999981</v>
      </c>
    </row>
    <row r="346" spans="1:8" ht="18.75">
      <c r="A346" s="299"/>
      <c r="B346" s="142" t="s">
        <v>77</v>
      </c>
      <c r="C346" s="151" t="s">
        <v>248</v>
      </c>
      <c r="D346" s="318" t="s">
        <v>110</v>
      </c>
      <c r="E346" s="318" t="s">
        <v>84</v>
      </c>
      <c r="F346" s="319" t="s">
        <v>401</v>
      </c>
      <c r="G346" s="320" t="s">
        <v>78</v>
      </c>
      <c r="H346" s="275">
        <f>'прил12(ведом 21)'!M332</f>
        <v>82.623999999999981</v>
      </c>
    </row>
    <row r="347" spans="1:8" ht="37.5">
      <c r="A347" s="299"/>
      <c r="B347" s="377" t="s">
        <v>404</v>
      </c>
      <c r="C347" s="308" t="s">
        <v>248</v>
      </c>
      <c r="D347" s="309" t="s">
        <v>50</v>
      </c>
      <c r="E347" s="309" t="s">
        <v>63</v>
      </c>
      <c r="F347" s="310" t="s">
        <v>64</v>
      </c>
      <c r="G347" s="320"/>
      <c r="H347" s="275">
        <f>H348</f>
        <v>2971.1480000000001</v>
      </c>
    </row>
    <row r="348" spans="1:8" ht="37.5">
      <c r="A348" s="299"/>
      <c r="B348" s="377" t="s">
        <v>464</v>
      </c>
      <c r="C348" s="308" t="s">
        <v>248</v>
      </c>
      <c r="D348" s="309" t="s">
        <v>50</v>
      </c>
      <c r="E348" s="309" t="s">
        <v>248</v>
      </c>
      <c r="F348" s="310" t="s">
        <v>64</v>
      </c>
      <c r="G348" s="320"/>
      <c r="H348" s="275">
        <f>H349</f>
        <v>2971.1480000000001</v>
      </c>
    </row>
    <row r="349" spans="1:8" ht="37.5">
      <c r="A349" s="299"/>
      <c r="B349" s="429" t="s">
        <v>402</v>
      </c>
      <c r="C349" s="308" t="s">
        <v>248</v>
      </c>
      <c r="D349" s="309" t="s">
        <v>50</v>
      </c>
      <c r="E349" s="309" t="s">
        <v>248</v>
      </c>
      <c r="F349" s="310" t="s">
        <v>401</v>
      </c>
      <c r="G349" s="320"/>
      <c r="H349" s="275">
        <f>H350+H352+H351</f>
        <v>2971.1480000000001</v>
      </c>
    </row>
    <row r="350" spans="1:8" ht="37.5">
      <c r="A350" s="299"/>
      <c r="B350" s="327" t="s">
        <v>75</v>
      </c>
      <c r="C350" s="308" t="s">
        <v>248</v>
      </c>
      <c r="D350" s="309" t="s">
        <v>50</v>
      </c>
      <c r="E350" s="309" t="s">
        <v>248</v>
      </c>
      <c r="F350" s="310" t="s">
        <v>401</v>
      </c>
      <c r="G350" s="320" t="s">
        <v>76</v>
      </c>
      <c r="H350" s="275">
        <f>'прил12(ведом 21)'!M336</f>
        <v>581.4</v>
      </c>
    </row>
    <row r="351" spans="1:8" ht="37.5">
      <c r="A351" s="299"/>
      <c r="B351" s="809" t="s">
        <v>225</v>
      </c>
      <c r="C351" s="308" t="s">
        <v>248</v>
      </c>
      <c r="D351" s="309" t="s">
        <v>50</v>
      </c>
      <c r="E351" s="309" t="s">
        <v>248</v>
      </c>
      <c r="F351" s="310" t="s">
        <v>401</v>
      </c>
      <c r="G351" s="320" t="s">
        <v>226</v>
      </c>
      <c r="H351" s="275">
        <f>'прил12(ведом 21)'!M337</f>
        <v>2380</v>
      </c>
    </row>
    <row r="352" spans="1:8" ht="18.75">
      <c r="A352" s="299"/>
      <c r="B352" s="142" t="s">
        <v>77</v>
      </c>
      <c r="C352" s="308" t="s">
        <v>248</v>
      </c>
      <c r="D352" s="309" t="s">
        <v>50</v>
      </c>
      <c r="E352" s="309" t="s">
        <v>248</v>
      </c>
      <c r="F352" s="310" t="s">
        <v>401</v>
      </c>
      <c r="G352" s="320" t="s">
        <v>78</v>
      </c>
      <c r="H352" s="275">
        <f>'прил12(ведом 21)'!M338</f>
        <v>9.7479999999999993</v>
      </c>
    </row>
    <row r="353" spans="1:8" ht="18.75">
      <c r="A353" s="299"/>
      <c r="B353" s="283"/>
      <c r="C353" s="146"/>
      <c r="D353" s="729"/>
      <c r="E353" s="729"/>
      <c r="F353" s="730"/>
      <c r="G353" s="259"/>
      <c r="H353" s="275"/>
    </row>
    <row r="354" spans="1:8" s="273" customFormat="1" ht="56.25">
      <c r="A354" s="284">
        <v>8</v>
      </c>
      <c r="B354" s="301" t="s">
        <v>339</v>
      </c>
      <c r="C354" s="285" t="s">
        <v>100</v>
      </c>
      <c r="D354" s="285" t="s">
        <v>62</v>
      </c>
      <c r="E354" s="285" t="s">
        <v>63</v>
      </c>
      <c r="F354" s="286" t="s">
        <v>64</v>
      </c>
      <c r="G354" s="271"/>
      <c r="H354" s="272">
        <f>H355</f>
        <v>127232.59999999999</v>
      </c>
    </row>
    <row r="355" spans="1:8" ht="24.75" customHeight="1">
      <c r="A355" s="261"/>
      <c r="B355" s="274" t="s">
        <v>404</v>
      </c>
      <c r="C355" s="306" t="s">
        <v>100</v>
      </c>
      <c r="D355" s="146" t="s">
        <v>65</v>
      </c>
      <c r="E355" s="146" t="s">
        <v>63</v>
      </c>
      <c r="F355" s="736" t="s">
        <v>64</v>
      </c>
      <c r="G355" s="259"/>
      <c r="H355" s="275">
        <f>H356+H371+H378+H388</f>
        <v>127232.59999999999</v>
      </c>
    </row>
    <row r="356" spans="1:8" ht="37.5">
      <c r="A356" s="261"/>
      <c r="B356" s="274" t="s">
        <v>325</v>
      </c>
      <c r="C356" s="734" t="s">
        <v>100</v>
      </c>
      <c r="D356" s="735" t="s">
        <v>65</v>
      </c>
      <c r="E356" s="735" t="s">
        <v>57</v>
      </c>
      <c r="F356" s="736" t="s">
        <v>64</v>
      </c>
      <c r="G356" s="259"/>
      <c r="H356" s="275">
        <f>H357+H360+H363+H366+H369</f>
        <v>59201.099999999991</v>
      </c>
    </row>
    <row r="357" spans="1:8" ht="150">
      <c r="A357" s="261"/>
      <c r="B357" s="324" t="s">
        <v>440</v>
      </c>
      <c r="C357" s="734" t="s">
        <v>100</v>
      </c>
      <c r="D357" s="735" t="s">
        <v>65</v>
      </c>
      <c r="E357" s="735" t="s">
        <v>57</v>
      </c>
      <c r="F357" s="736" t="s">
        <v>341</v>
      </c>
      <c r="G357" s="121"/>
      <c r="H357" s="275">
        <f>SUM(H358:H359)</f>
        <v>32982</v>
      </c>
    </row>
    <row r="358" spans="1:8" ht="37.5">
      <c r="A358" s="261"/>
      <c r="B358" s="325" t="s">
        <v>75</v>
      </c>
      <c r="C358" s="734" t="s">
        <v>100</v>
      </c>
      <c r="D358" s="735" t="s">
        <v>65</v>
      </c>
      <c r="E358" s="735" t="s">
        <v>57</v>
      </c>
      <c r="F358" s="736" t="s">
        <v>341</v>
      </c>
      <c r="G358" s="121" t="s">
        <v>76</v>
      </c>
      <c r="H358" s="275">
        <f>'прил12(ведом 21)'!M733</f>
        <v>164.9</v>
      </c>
    </row>
    <row r="359" spans="1:8" ht="37.5">
      <c r="A359" s="261"/>
      <c r="B359" s="274" t="s">
        <v>141</v>
      </c>
      <c r="C359" s="734" t="s">
        <v>100</v>
      </c>
      <c r="D359" s="735" t="s">
        <v>65</v>
      </c>
      <c r="E359" s="735" t="s">
        <v>57</v>
      </c>
      <c r="F359" s="736" t="s">
        <v>341</v>
      </c>
      <c r="G359" s="121" t="s">
        <v>142</v>
      </c>
      <c r="H359" s="275">
        <f>'прил12(ведом 21)'!M734</f>
        <v>32817.1</v>
      </c>
    </row>
    <row r="360" spans="1:8" ht="93.75">
      <c r="A360" s="261"/>
      <c r="B360" s="274" t="s">
        <v>441</v>
      </c>
      <c r="C360" s="734" t="s">
        <v>100</v>
      </c>
      <c r="D360" s="735" t="s">
        <v>65</v>
      </c>
      <c r="E360" s="735" t="s">
        <v>57</v>
      </c>
      <c r="F360" s="736" t="s">
        <v>342</v>
      </c>
      <c r="G360" s="121"/>
      <c r="H360" s="275">
        <f>SUM(H361:H362)</f>
        <v>25619.1</v>
      </c>
    </row>
    <row r="361" spans="1:8" ht="37.5">
      <c r="A361" s="261"/>
      <c r="B361" s="325" t="s">
        <v>75</v>
      </c>
      <c r="C361" s="734" t="s">
        <v>100</v>
      </c>
      <c r="D361" s="735" t="s">
        <v>65</v>
      </c>
      <c r="E361" s="735" t="s">
        <v>57</v>
      </c>
      <c r="F361" s="736" t="s">
        <v>342</v>
      </c>
      <c r="G361" s="121" t="s">
        <v>76</v>
      </c>
      <c r="H361" s="275">
        <f>'прил12(ведом 21)'!M736</f>
        <v>128.1</v>
      </c>
    </row>
    <row r="362" spans="1:8" ht="37.5">
      <c r="A362" s="261"/>
      <c r="B362" s="274" t="s">
        <v>141</v>
      </c>
      <c r="C362" s="734" t="s">
        <v>100</v>
      </c>
      <c r="D362" s="735" t="s">
        <v>65</v>
      </c>
      <c r="E362" s="735" t="s">
        <v>57</v>
      </c>
      <c r="F362" s="736" t="s">
        <v>342</v>
      </c>
      <c r="G362" s="121" t="s">
        <v>142</v>
      </c>
      <c r="H362" s="275">
        <f>'прил12(ведом 21)'!M737</f>
        <v>25491</v>
      </c>
    </row>
    <row r="363" spans="1:8" ht="93.75">
      <c r="A363" s="261"/>
      <c r="B363" s="274" t="s">
        <v>442</v>
      </c>
      <c r="C363" s="734" t="s">
        <v>100</v>
      </c>
      <c r="D363" s="735" t="s">
        <v>65</v>
      </c>
      <c r="E363" s="735" t="s">
        <v>57</v>
      </c>
      <c r="F363" s="736" t="s">
        <v>343</v>
      </c>
      <c r="G363" s="121"/>
      <c r="H363" s="275">
        <f>SUM(H364:H365)</f>
        <v>243.2</v>
      </c>
    </row>
    <row r="364" spans="1:8" ht="37.5">
      <c r="A364" s="261"/>
      <c r="B364" s="274" t="s">
        <v>75</v>
      </c>
      <c r="C364" s="734" t="s">
        <v>100</v>
      </c>
      <c r="D364" s="735" t="s">
        <v>65</v>
      </c>
      <c r="E364" s="735" t="s">
        <v>57</v>
      </c>
      <c r="F364" s="736" t="s">
        <v>343</v>
      </c>
      <c r="G364" s="121" t="s">
        <v>76</v>
      </c>
      <c r="H364" s="275">
        <f>'прил12(ведом 21)'!M739</f>
        <v>1.2</v>
      </c>
    </row>
    <row r="365" spans="1:8" ht="37.5">
      <c r="A365" s="261"/>
      <c r="B365" s="274" t="s">
        <v>141</v>
      </c>
      <c r="C365" s="734" t="s">
        <v>100</v>
      </c>
      <c r="D365" s="735" t="s">
        <v>65</v>
      </c>
      <c r="E365" s="735" t="s">
        <v>57</v>
      </c>
      <c r="F365" s="736" t="s">
        <v>343</v>
      </c>
      <c r="G365" s="121" t="s">
        <v>142</v>
      </c>
      <c r="H365" s="275">
        <f>'прил12(ведом 21)'!M740</f>
        <v>242</v>
      </c>
    </row>
    <row r="366" spans="1:8" ht="112.5">
      <c r="A366" s="261"/>
      <c r="B366" s="274" t="s">
        <v>448</v>
      </c>
      <c r="C366" s="734" t="s">
        <v>100</v>
      </c>
      <c r="D366" s="735" t="s">
        <v>65</v>
      </c>
      <c r="E366" s="735" t="s">
        <v>57</v>
      </c>
      <c r="F366" s="736" t="s">
        <v>344</v>
      </c>
      <c r="G366" s="121"/>
      <c r="H366" s="275">
        <f>SUM(H367:H368)</f>
        <v>346.7</v>
      </c>
    </row>
    <row r="367" spans="1:8" ht="37.5">
      <c r="A367" s="261"/>
      <c r="B367" s="274" t="s">
        <v>75</v>
      </c>
      <c r="C367" s="734" t="s">
        <v>100</v>
      </c>
      <c r="D367" s="735" t="s">
        <v>65</v>
      </c>
      <c r="E367" s="735" t="s">
        <v>57</v>
      </c>
      <c r="F367" s="736" t="s">
        <v>344</v>
      </c>
      <c r="G367" s="121" t="s">
        <v>76</v>
      </c>
      <c r="H367" s="275">
        <f>'прил12(ведом 21)'!M742</f>
        <v>1.7</v>
      </c>
    </row>
    <row r="368" spans="1:8" ht="17.25" customHeight="1">
      <c r="A368" s="261"/>
      <c r="B368" s="274" t="s">
        <v>141</v>
      </c>
      <c r="C368" s="734" t="s">
        <v>100</v>
      </c>
      <c r="D368" s="735" t="s">
        <v>65</v>
      </c>
      <c r="E368" s="735" t="s">
        <v>57</v>
      </c>
      <c r="F368" s="736" t="s">
        <v>344</v>
      </c>
      <c r="G368" s="121" t="s">
        <v>142</v>
      </c>
      <c r="H368" s="275">
        <f>'прил12(ведом 21)'!M743</f>
        <v>345</v>
      </c>
    </row>
    <row r="369" spans="1:8" ht="133.5" customHeight="1">
      <c r="A369" s="261"/>
      <c r="B369" s="326" t="s">
        <v>439</v>
      </c>
      <c r="C369" s="734" t="s">
        <v>100</v>
      </c>
      <c r="D369" s="735" t="s">
        <v>65</v>
      </c>
      <c r="E369" s="735" t="s">
        <v>57</v>
      </c>
      <c r="F369" s="736" t="s">
        <v>340</v>
      </c>
      <c r="G369" s="121"/>
      <c r="H369" s="275">
        <f>H370</f>
        <v>10.1</v>
      </c>
    </row>
    <row r="370" spans="1:8" ht="21.6" customHeight="1">
      <c r="A370" s="261"/>
      <c r="B370" s="135" t="s">
        <v>141</v>
      </c>
      <c r="C370" s="734" t="s">
        <v>100</v>
      </c>
      <c r="D370" s="735" t="s">
        <v>65</v>
      </c>
      <c r="E370" s="735" t="s">
        <v>57</v>
      </c>
      <c r="F370" s="736" t="s">
        <v>340</v>
      </c>
      <c r="G370" s="121" t="s">
        <v>142</v>
      </c>
      <c r="H370" s="275">
        <f>'прил12(ведом 21)'!M726</f>
        <v>10.1</v>
      </c>
    </row>
    <row r="371" spans="1:8" ht="75">
      <c r="A371" s="261"/>
      <c r="B371" s="327" t="s">
        <v>352</v>
      </c>
      <c r="C371" s="328" t="s">
        <v>100</v>
      </c>
      <c r="D371" s="329" t="s">
        <v>65</v>
      </c>
      <c r="E371" s="329" t="s">
        <v>59</v>
      </c>
      <c r="F371" s="330" t="s">
        <v>64</v>
      </c>
      <c r="G371" s="331"/>
      <c r="H371" s="275">
        <f>H372+H376+H374</f>
        <v>59887.799999999996</v>
      </c>
    </row>
    <row r="372" spans="1:8" ht="18.75">
      <c r="A372" s="261"/>
      <c r="B372" s="135" t="s">
        <v>999</v>
      </c>
      <c r="C372" s="734" t="s">
        <v>100</v>
      </c>
      <c r="D372" s="735" t="s">
        <v>65</v>
      </c>
      <c r="E372" s="735" t="s">
        <v>59</v>
      </c>
      <c r="F372" s="736" t="s">
        <v>997</v>
      </c>
      <c r="G372" s="121"/>
      <c r="H372" s="275">
        <f>H373</f>
        <v>5.2</v>
      </c>
    </row>
    <row r="373" spans="1:8" ht="37.5">
      <c r="A373" s="261"/>
      <c r="B373" s="135" t="s">
        <v>141</v>
      </c>
      <c r="C373" s="734" t="s">
        <v>100</v>
      </c>
      <c r="D373" s="735" t="s">
        <v>65</v>
      </c>
      <c r="E373" s="735" t="s">
        <v>59</v>
      </c>
      <c r="F373" s="736" t="s">
        <v>997</v>
      </c>
      <c r="G373" s="121" t="s">
        <v>142</v>
      </c>
      <c r="H373" s="275">
        <f>'прил12(ведом 21)'!M745</f>
        <v>5.2</v>
      </c>
    </row>
    <row r="374" spans="1:8" ht="112.5">
      <c r="A374" s="261"/>
      <c r="B374" s="274" t="s">
        <v>590</v>
      </c>
      <c r="C374" s="821" t="s">
        <v>100</v>
      </c>
      <c r="D374" s="821" t="s">
        <v>65</v>
      </c>
      <c r="E374" s="821" t="s">
        <v>59</v>
      </c>
      <c r="F374" s="822" t="s">
        <v>1034</v>
      </c>
      <c r="G374" s="822"/>
      <c r="H374" s="275">
        <f>H375</f>
        <v>5500</v>
      </c>
    </row>
    <row r="375" spans="1:8" ht="37.5">
      <c r="A375" s="261"/>
      <c r="B375" s="823" t="s">
        <v>225</v>
      </c>
      <c r="C375" s="341" t="s">
        <v>100</v>
      </c>
      <c r="D375" s="341" t="s">
        <v>65</v>
      </c>
      <c r="E375" s="341" t="s">
        <v>59</v>
      </c>
      <c r="F375" s="824" t="s">
        <v>1034</v>
      </c>
      <c r="G375" s="341" t="s">
        <v>226</v>
      </c>
      <c r="H375" s="275">
        <f>'прил12(ведом 21)'!M394</f>
        <v>5500</v>
      </c>
    </row>
    <row r="376" spans="1:8" ht="112.5">
      <c r="A376" s="261"/>
      <c r="B376" s="332" t="s">
        <v>590</v>
      </c>
      <c r="C376" s="278" t="s">
        <v>100</v>
      </c>
      <c r="D376" s="279" t="s">
        <v>65</v>
      </c>
      <c r="E376" s="279" t="s">
        <v>59</v>
      </c>
      <c r="F376" s="333" t="s">
        <v>591</v>
      </c>
      <c r="G376" s="281"/>
      <c r="H376" s="275">
        <f>H377</f>
        <v>54382.6</v>
      </c>
    </row>
    <row r="377" spans="1:8" ht="37.5">
      <c r="A377" s="261"/>
      <c r="B377" s="332" t="s">
        <v>225</v>
      </c>
      <c r="C377" s="278" t="s">
        <v>100</v>
      </c>
      <c r="D377" s="279" t="s">
        <v>65</v>
      </c>
      <c r="E377" s="279" t="s">
        <v>59</v>
      </c>
      <c r="F377" s="333" t="s">
        <v>591</v>
      </c>
      <c r="G377" s="281" t="s">
        <v>226</v>
      </c>
      <c r="H377" s="275">
        <f>'прил12(ведом 21)'!M396</f>
        <v>54382.6</v>
      </c>
    </row>
    <row r="378" spans="1:8" ht="37.5">
      <c r="A378" s="261"/>
      <c r="B378" s="274" t="s">
        <v>251</v>
      </c>
      <c r="C378" s="734" t="s">
        <v>100</v>
      </c>
      <c r="D378" s="735" t="s">
        <v>65</v>
      </c>
      <c r="E378" s="735" t="s">
        <v>84</v>
      </c>
      <c r="F378" s="736" t="s">
        <v>64</v>
      </c>
      <c r="G378" s="121"/>
      <c r="H378" s="275">
        <f>H379+H382+H385</f>
        <v>7591.7</v>
      </c>
    </row>
    <row r="379" spans="1:8" ht="75">
      <c r="A379" s="261"/>
      <c r="B379" s="274" t="s">
        <v>253</v>
      </c>
      <c r="C379" s="734" t="s">
        <v>100</v>
      </c>
      <c r="D379" s="735" t="s">
        <v>65</v>
      </c>
      <c r="E379" s="735" t="s">
        <v>84</v>
      </c>
      <c r="F379" s="736" t="s">
        <v>346</v>
      </c>
      <c r="G379" s="121"/>
      <c r="H379" s="275">
        <f>SUM(H380:H381)</f>
        <v>6084</v>
      </c>
    </row>
    <row r="380" spans="1:8" ht="93.75">
      <c r="A380" s="261"/>
      <c r="B380" s="274" t="s">
        <v>69</v>
      </c>
      <c r="C380" s="734" t="s">
        <v>100</v>
      </c>
      <c r="D380" s="735" t="s">
        <v>65</v>
      </c>
      <c r="E380" s="735" t="s">
        <v>84</v>
      </c>
      <c r="F380" s="736" t="s">
        <v>346</v>
      </c>
      <c r="G380" s="121" t="s">
        <v>70</v>
      </c>
      <c r="H380" s="275">
        <f>'прил12(ведом 21)'!M752</f>
        <v>5725.5</v>
      </c>
    </row>
    <row r="381" spans="1:8" ht="37.5">
      <c r="A381" s="261"/>
      <c r="B381" s="274" t="s">
        <v>75</v>
      </c>
      <c r="C381" s="334" t="s">
        <v>100</v>
      </c>
      <c r="D381" s="335" t="s">
        <v>65</v>
      </c>
      <c r="E381" s="335" t="s">
        <v>84</v>
      </c>
      <c r="F381" s="336" t="s">
        <v>346</v>
      </c>
      <c r="G381" s="121" t="s">
        <v>76</v>
      </c>
      <c r="H381" s="275">
        <f>'прил12(ведом 21)'!M753</f>
        <v>358.5</v>
      </c>
    </row>
    <row r="382" spans="1:8" ht="93.75">
      <c r="A382" s="261"/>
      <c r="B382" s="202" t="s">
        <v>789</v>
      </c>
      <c r="C382" s="734" t="s">
        <v>100</v>
      </c>
      <c r="D382" s="735" t="s">
        <v>65</v>
      </c>
      <c r="E382" s="735" t="s">
        <v>84</v>
      </c>
      <c r="F382" s="736" t="s">
        <v>347</v>
      </c>
      <c r="G382" s="121"/>
      <c r="H382" s="275">
        <f>SUM(H383:H384)</f>
        <v>636.69999999999993</v>
      </c>
    </row>
    <row r="383" spans="1:8" ht="93.75">
      <c r="A383" s="261"/>
      <c r="B383" s="274" t="s">
        <v>69</v>
      </c>
      <c r="C383" s="734" t="s">
        <v>100</v>
      </c>
      <c r="D383" s="735" t="s">
        <v>65</v>
      </c>
      <c r="E383" s="735" t="s">
        <v>84</v>
      </c>
      <c r="F383" s="736" t="s">
        <v>347</v>
      </c>
      <c r="G383" s="121" t="s">
        <v>70</v>
      </c>
      <c r="H383" s="275">
        <f>'прил12(ведом 21)'!M755</f>
        <v>607.29999999999995</v>
      </c>
    </row>
    <row r="384" spans="1:8" ht="37.5">
      <c r="A384" s="261"/>
      <c r="B384" s="274" t="s">
        <v>75</v>
      </c>
      <c r="C384" s="734" t="s">
        <v>100</v>
      </c>
      <c r="D384" s="735" t="s">
        <v>65</v>
      </c>
      <c r="E384" s="735" t="s">
        <v>84</v>
      </c>
      <c r="F384" s="736" t="s">
        <v>347</v>
      </c>
      <c r="G384" s="121" t="s">
        <v>76</v>
      </c>
      <c r="H384" s="275">
        <f>'прил12(ведом 21)'!M756</f>
        <v>29.4</v>
      </c>
    </row>
    <row r="385" spans="1:8" ht="18.75">
      <c r="A385" s="261"/>
      <c r="B385" s="274" t="s">
        <v>254</v>
      </c>
      <c r="C385" s="734" t="s">
        <v>100</v>
      </c>
      <c r="D385" s="735" t="s">
        <v>65</v>
      </c>
      <c r="E385" s="735" t="s">
        <v>84</v>
      </c>
      <c r="F385" s="736" t="s">
        <v>348</v>
      </c>
      <c r="G385" s="121"/>
      <c r="H385" s="275">
        <f>H386+H387</f>
        <v>871</v>
      </c>
    </row>
    <row r="386" spans="1:8" ht="93.75">
      <c r="A386" s="261"/>
      <c r="B386" s="274" t="s">
        <v>69</v>
      </c>
      <c r="C386" s="734" t="s">
        <v>100</v>
      </c>
      <c r="D386" s="735" t="s">
        <v>65</v>
      </c>
      <c r="E386" s="735" t="s">
        <v>84</v>
      </c>
      <c r="F386" s="736" t="s">
        <v>348</v>
      </c>
      <c r="G386" s="121" t="s">
        <v>70</v>
      </c>
      <c r="H386" s="275">
        <f>'прил12(ведом 21)'!M758</f>
        <v>808.2</v>
      </c>
    </row>
    <row r="387" spans="1:8" ht="37.5">
      <c r="A387" s="261"/>
      <c r="B387" s="274" t="s">
        <v>75</v>
      </c>
      <c r="C387" s="734" t="s">
        <v>100</v>
      </c>
      <c r="D387" s="735" t="s">
        <v>65</v>
      </c>
      <c r="E387" s="735" t="s">
        <v>84</v>
      </c>
      <c r="F387" s="736" t="s">
        <v>348</v>
      </c>
      <c r="G387" s="121" t="s">
        <v>76</v>
      </c>
      <c r="H387" s="275">
        <f>'прил12(ведом 21)'!M759</f>
        <v>62.8</v>
      </c>
    </row>
    <row r="388" spans="1:8" ht="75">
      <c r="A388" s="299"/>
      <c r="B388" s="288" t="s">
        <v>753</v>
      </c>
      <c r="C388" s="734" t="s">
        <v>100</v>
      </c>
      <c r="D388" s="735" t="s">
        <v>65</v>
      </c>
      <c r="E388" s="735" t="s">
        <v>72</v>
      </c>
      <c r="F388" s="736" t="s">
        <v>64</v>
      </c>
      <c r="G388" s="121"/>
      <c r="H388" s="275">
        <f>H389</f>
        <v>552</v>
      </c>
    </row>
    <row r="389" spans="1:8" ht="75">
      <c r="A389" s="299"/>
      <c r="B389" s="288" t="s">
        <v>746</v>
      </c>
      <c r="C389" s="734" t="s">
        <v>100</v>
      </c>
      <c r="D389" s="735" t="s">
        <v>65</v>
      </c>
      <c r="E389" s="735" t="s">
        <v>72</v>
      </c>
      <c r="F389" s="736" t="s">
        <v>433</v>
      </c>
      <c r="G389" s="121"/>
      <c r="H389" s="275">
        <f>H390</f>
        <v>552</v>
      </c>
    </row>
    <row r="390" spans="1:8" ht="23.25" customHeight="1">
      <c r="A390" s="299"/>
      <c r="B390" s="276" t="s">
        <v>141</v>
      </c>
      <c r="C390" s="734" t="s">
        <v>100</v>
      </c>
      <c r="D390" s="735" t="s">
        <v>65</v>
      </c>
      <c r="E390" s="735" t="s">
        <v>72</v>
      </c>
      <c r="F390" s="736" t="s">
        <v>433</v>
      </c>
      <c r="G390" s="121" t="s">
        <v>142</v>
      </c>
      <c r="H390" s="275">
        <f>'прил12(ведом 21)'!M182</f>
        <v>552</v>
      </c>
    </row>
    <row r="391" spans="1:8" ht="18.75">
      <c r="A391" s="261"/>
      <c r="B391" s="274"/>
      <c r="C391" s="735"/>
      <c r="D391" s="735"/>
      <c r="E391" s="735"/>
      <c r="F391" s="736"/>
      <c r="G391" s="121"/>
      <c r="H391" s="275"/>
    </row>
    <row r="392" spans="1:8" ht="75">
      <c r="A392" s="284">
        <v>9</v>
      </c>
      <c r="B392" s="297" t="s">
        <v>397</v>
      </c>
      <c r="C392" s="285" t="s">
        <v>125</v>
      </c>
      <c r="D392" s="285" t="s">
        <v>62</v>
      </c>
      <c r="E392" s="285" t="s">
        <v>63</v>
      </c>
      <c r="F392" s="286" t="s">
        <v>64</v>
      </c>
      <c r="G392" s="337"/>
      <c r="H392" s="272">
        <f>H393+H400</f>
        <v>17604.099999999999</v>
      </c>
    </row>
    <row r="393" spans="1:8" ht="37.5">
      <c r="A393" s="284"/>
      <c r="B393" s="274" t="s">
        <v>399</v>
      </c>
      <c r="C393" s="734" t="s">
        <v>125</v>
      </c>
      <c r="D393" s="735" t="s">
        <v>65</v>
      </c>
      <c r="E393" s="735" t="s">
        <v>63</v>
      </c>
      <c r="F393" s="736" t="s">
        <v>64</v>
      </c>
      <c r="G393" s="121"/>
      <c r="H393" s="275">
        <f>H394</f>
        <v>16440.5</v>
      </c>
    </row>
    <row r="394" spans="1:8" ht="56.25">
      <c r="A394" s="284"/>
      <c r="B394" s="135" t="s">
        <v>460</v>
      </c>
      <c r="C394" s="734" t="s">
        <v>125</v>
      </c>
      <c r="D394" s="735" t="s">
        <v>65</v>
      </c>
      <c r="E394" s="735" t="s">
        <v>57</v>
      </c>
      <c r="F394" s="736" t="s">
        <v>64</v>
      </c>
      <c r="G394" s="121"/>
      <c r="H394" s="275">
        <f>H398+H395</f>
        <v>16440.5</v>
      </c>
    </row>
    <row r="395" spans="1:8" ht="56.25">
      <c r="A395" s="284"/>
      <c r="B395" s="327" t="s">
        <v>763</v>
      </c>
      <c r="C395" s="278" t="s">
        <v>125</v>
      </c>
      <c r="D395" s="279" t="s">
        <v>65</v>
      </c>
      <c r="E395" s="279" t="s">
        <v>57</v>
      </c>
      <c r="F395" s="333" t="s">
        <v>762</v>
      </c>
      <c r="G395" s="528"/>
      <c r="H395" s="526">
        <f>H397+H396</f>
        <v>3808.9</v>
      </c>
    </row>
    <row r="396" spans="1:8" ht="37.5">
      <c r="A396" s="284"/>
      <c r="B396" s="327" t="s">
        <v>75</v>
      </c>
      <c r="C396" s="278" t="s">
        <v>125</v>
      </c>
      <c r="D396" s="279" t="s">
        <v>65</v>
      </c>
      <c r="E396" s="279" t="s">
        <v>57</v>
      </c>
      <c r="F396" s="333" t="s">
        <v>762</v>
      </c>
      <c r="G396" s="281" t="s">
        <v>76</v>
      </c>
      <c r="H396" s="526">
        <f>'прил12(ведом 21)'!M369</f>
        <v>3351.8</v>
      </c>
    </row>
    <row r="397" spans="1:8" ht="37.5">
      <c r="A397" s="284"/>
      <c r="B397" s="327" t="s">
        <v>225</v>
      </c>
      <c r="C397" s="278" t="s">
        <v>125</v>
      </c>
      <c r="D397" s="279" t="s">
        <v>65</v>
      </c>
      <c r="E397" s="279" t="s">
        <v>57</v>
      </c>
      <c r="F397" s="333" t="s">
        <v>762</v>
      </c>
      <c r="G397" s="527" t="s">
        <v>226</v>
      </c>
      <c r="H397" s="275">
        <f>'прил12(ведом 21)'!M370</f>
        <v>457.09999999999991</v>
      </c>
    </row>
    <row r="398" spans="1:8" ht="56.25">
      <c r="A398" s="284"/>
      <c r="B398" s="327" t="s">
        <v>1007</v>
      </c>
      <c r="C398" s="278" t="s">
        <v>125</v>
      </c>
      <c r="D398" s="279" t="s">
        <v>65</v>
      </c>
      <c r="E398" s="279" t="s">
        <v>57</v>
      </c>
      <c r="F398" s="333" t="s">
        <v>589</v>
      </c>
      <c r="G398" s="281"/>
      <c r="H398" s="275">
        <f>SUM(H399:H399)</f>
        <v>12631.6</v>
      </c>
    </row>
    <row r="399" spans="1:8" ht="37.5">
      <c r="A399" s="524"/>
      <c r="B399" s="516" t="s">
        <v>225</v>
      </c>
      <c r="C399" s="373" t="s">
        <v>125</v>
      </c>
      <c r="D399" s="374" t="s">
        <v>65</v>
      </c>
      <c r="E399" s="374" t="s">
        <v>57</v>
      </c>
      <c r="F399" s="525" t="s">
        <v>589</v>
      </c>
      <c r="G399" s="515" t="s">
        <v>226</v>
      </c>
      <c r="H399" s="526">
        <f>'прил12(ведом 21)'!M372</f>
        <v>12631.6</v>
      </c>
    </row>
    <row r="400" spans="1:8" ht="56.25">
      <c r="A400" s="524"/>
      <c r="B400" s="135" t="s">
        <v>973</v>
      </c>
      <c r="C400" s="734" t="s">
        <v>125</v>
      </c>
      <c r="D400" s="735" t="s">
        <v>54</v>
      </c>
      <c r="E400" s="735" t="s">
        <v>63</v>
      </c>
      <c r="F400" s="736" t="s">
        <v>64</v>
      </c>
      <c r="G400" s="121"/>
      <c r="H400" s="526">
        <f>H401</f>
        <v>1163.5999999999999</v>
      </c>
    </row>
    <row r="401" spans="1:8" ht="37.5">
      <c r="A401" s="524"/>
      <c r="B401" s="135" t="s">
        <v>974</v>
      </c>
      <c r="C401" s="734" t="s">
        <v>125</v>
      </c>
      <c r="D401" s="735" t="s">
        <v>54</v>
      </c>
      <c r="E401" s="735" t="s">
        <v>57</v>
      </c>
      <c r="F401" s="736" t="s">
        <v>64</v>
      </c>
      <c r="G401" s="121"/>
      <c r="H401" s="526">
        <f>H402</f>
        <v>1163.5999999999999</v>
      </c>
    </row>
    <row r="402" spans="1:8" ht="37.5">
      <c r="A402" s="524"/>
      <c r="B402" s="135" t="s">
        <v>975</v>
      </c>
      <c r="C402" s="734" t="s">
        <v>125</v>
      </c>
      <c r="D402" s="735" t="s">
        <v>54</v>
      </c>
      <c r="E402" s="735" t="s">
        <v>57</v>
      </c>
      <c r="F402" s="736" t="s">
        <v>976</v>
      </c>
      <c r="G402" s="121"/>
      <c r="H402" s="526">
        <f>H403</f>
        <v>1163.5999999999999</v>
      </c>
    </row>
    <row r="403" spans="1:8" ht="37.5">
      <c r="A403" s="524"/>
      <c r="B403" s="135" t="s">
        <v>75</v>
      </c>
      <c r="C403" s="734" t="s">
        <v>125</v>
      </c>
      <c r="D403" s="735" t="s">
        <v>54</v>
      </c>
      <c r="E403" s="735" t="s">
        <v>57</v>
      </c>
      <c r="F403" s="736" t="s">
        <v>976</v>
      </c>
      <c r="G403" s="121" t="s">
        <v>76</v>
      </c>
      <c r="H403" s="526">
        <f>'прил12(ведом 21)'!M175</f>
        <v>1163.5999999999999</v>
      </c>
    </row>
    <row r="404" spans="1:8" ht="18.75">
      <c r="A404" s="524"/>
      <c r="B404" s="135"/>
      <c r="C404" s="735"/>
      <c r="D404" s="735"/>
      <c r="E404" s="735"/>
      <c r="F404" s="736"/>
      <c r="G404" s="121"/>
      <c r="H404" s="526"/>
    </row>
    <row r="405" spans="1:8" s="273" customFormat="1" ht="56.25">
      <c r="A405" s="284">
        <v>10</v>
      </c>
      <c r="B405" s="297" t="s">
        <v>115</v>
      </c>
      <c r="C405" s="285" t="s">
        <v>88</v>
      </c>
      <c r="D405" s="285" t="s">
        <v>62</v>
      </c>
      <c r="E405" s="285" t="s">
        <v>63</v>
      </c>
      <c r="F405" s="286" t="s">
        <v>64</v>
      </c>
      <c r="G405" s="337"/>
      <c r="H405" s="272">
        <f>H406</f>
        <v>11398.300000000001</v>
      </c>
    </row>
    <row r="406" spans="1:8" ht="37.5">
      <c r="A406" s="261"/>
      <c r="B406" s="274" t="s">
        <v>404</v>
      </c>
      <c r="C406" s="734" t="s">
        <v>88</v>
      </c>
      <c r="D406" s="735" t="s">
        <v>65</v>
      </c>
      <c r="E406" s="735" t="s">
        <v>63</v>
      </c>
      <c r="F406" s="736" t="s">
        <v>64</v>
      </c>
      <c r="G406" s="293"/>
      <c r="H406" s="275">
        <f>H407+H410</f>
        <v>11398.300000000001</v>
      </c>
    </row>
    <row r="407" spans="1:8" ht="37.5">
      <c r="A407" s="261"/>
      <c r="B407" s="274" t="s">
        <v>116</v>
      </c>
      <c r="C407" s="734" t="s">
        <v>88</v>
      </c>
      <c r="D407" s="735" t="s">
        <v>65</v>
      </c>
      <c r="E407" s="735" t="s">
        <v>57</v>
      </c>
      <c r="F407" s="736" t="s">
        <v>64</v>
      </c>
      <c r="G407" s="293"/>
      <c r="H407" s="275">
        <f>H408</f>
        <v>11070.6</v>
      </c>
    </row>
    <row r="408" spans="1:8" ht="56.25">
      <c r="A408" s="261"/>
      <c r="B408" s="167" t="s">
        <v>582</v>
      </c>
      <c r="C408" s="734" t="s">
        <v>88</v>
      </c>
      <c r="D408" s="735" t="s">
        <v>65</v>
      </c>
      <c r="E408" s="735" t="s">
        <v>57</v>
      </c>
      <c r="F408" s="736" t="s">
        <v>82</v>
      </c>
      <c r="G408" s="121"/>
      <c r="H408" s="275">
        <f>H409</f>
        <v>11070.6</v>
      </c>
    </row>
    <row r="409" spans="1:8" ht="18.75">
      <c r="A409" s="261"/>
      <c r="B409" s="274" t="s">
        <v>77</v>
      </c>
      <c r="C409" s="734" t="s">
        <v>88</v>
      </c>
      <c r="D409" s="735" t="s">
        <v>65</v>
      </c>
      <c r="E409" s="735" t="s">
        <v>57</v>
      </c>
      <c r="F409" s="736" t="s">
        <v>82</v>
      </c>
      <c r="G409" s="121" t="s">
        <v>78</v>
      </c>
      <c r="H409" s="275">
        <f>'прил12(ведом 21)'!M132</f>
        <v>11070.6</v>
      </c>
    </row>
    <row r="410" spans="1:8" ht="56.25">
      <c r="A410" s="261"/>
      <c r="B410" s="274" t="s">
        <v>117</v>
      </c>
      <c r="C410" s="734" t="s">
        <v>88</v>
      </c>
      <c r="D410" s="735" t="s">
        <v>65</v>
      </c>
      <c r="E410" s="735" t="s">
        <v>59</v>
      </c>
      <c r="F410" s="736" t="s">
        <v>64</v>
      </c>
      <c r="G410" s="121"/>
      <c r="H410" s="275">
        <f>H411+H413</f>
        <v>327.70000000000005</v>
      </c>
    </row>
    <row r="411" spans="1:8" ht="18.75">
      <c r="A411" s="261"/>
      <c r="B411" s="135" t="s">
        <v>687</v>
      </c>
      <c r="C411" s="734" t="s">
        <v>88</v>
      </c>
      <c r="D411" s="735" t="s">
        <v>65</v>
      </c>
      <c r="E411" s="735" t="s">
        <v>59</v>
      </c>
      <c r="F411" s="736" t="s">
        <v>118</v>
      </c>
      <c r="G411" s="121"/>
      <c r="H411" s="275">
        <f>H412</f>
        <v>184.70000000000002</v>
      </c>
    </row>
    <row r="412" spans="1:8" ht="37.5">
      <c r="A412" s="261"/>
      <c r="B412" s="274" t="s">
        <v>75</v>
      </c>
      <c r="C412" s="734" t="s">
        <v>88</v>
      </c>
      <c r="D412" s="735" t="s">
        <v>65</v>
      </c>
      <c r="E412" s="735" t="s">
        <v>59</v>
      </c>
      <c r="F412" s="736" t="s">
        <v>118</v>
      </c>
      <c r="G412" s="121" t="s">
        <v>76</v>
      </c>
      <c r="H412" s="275">
        <f>'прил12(ведом 21)'!M135</f>
        <v>184.70000000000002</v>
      </c>
    </row>
    <row r="413" spans="1:8" ht="18.75">
      <c r="A413" s="261"/>
      <c r="B413" s="274" t="s">
        <v>687</v>
      </c>
      <c r="C413" s="813" t="s">
        <v>88</v>
      </c>
      <c r="D413" s="813" t="s">
        <v>65</v>
      </c>
      <c r="E413" s="813" t="s">
        <v>59</v>
      </c>
      <c r="F413" s="814" t="s">
        <v>1033</v>
      </c>
      <c r="G413" s="121"/>
      <c r="H413" s="275">
        <f>H414</f>
        <v>143</v>
      </c>
    </row>
    <row r="414" spans="1:8" ht="37.5">
      <c r="A414" s="261"/>
      <c r="B414" s="274" t="s">
        <v>75</v>
      </c>
      <c r="C414" s="813" t="s">
        <v>88</v>
      </c>
      <c r="D414" s="813" t="s">
        <v>65</v>
      </c>
      <c r="E414" s="813" t="s">
        <v>59</v>
      </c>
      <c r="F414" s="814" t="s">
        <v>1033</v>
      </c>
      <c r="G414" s="121" t="s">
        <v>76</v>
      </c>
      <c r="H414" s="275">
        <f>'прил12(ведом 21)'!M137</f>
        <v>143</v>
      </c>
    </row>
    <row r="415" spans="1:8" ht="18.75">
      <c r="A415" s="261"/>
      <c r="B415" s="283"/>
      <c r="C415" s="729"/>
      <c r="D415" s="729"/>
      <c r="E415" s="729"/>
      <c r="F415" s="730"/>
      <c r="G415" s="259"/>
      <c r="H415" s="275"/>
    </row>
    <row r="416" spans="1:8" s="273" customFormat="1" ht="56.25">
      <c r="A416" s="284">
        <v>11</v>
      </c>
      <c r="B416" s="297" t="s">
        <v>120</v>
      </c>
      <c r="C416" s="285" t="s">
        <v>121</v>
      </c>
      <c r="D416" s="285" t="s">
        <v>62</v>
      </c>
      <c r="E416" s="285" t="s">
        <v>63</v>
      </c>
      <c r="F416" s="286" t="s">
        <v>64</v>
      </c>
      <c r="G416" s="271"/>
      <c r="H416" s="272">
        <f>H417</f>
        <v>9802.3829999999998</v>
      </c>
    </row>
    <row r="417" spans="1:8" s="273" customFormat="1" ht="27.75" customHeight="1">
      <c r="A417" s="261"/>
      <c r="B417" s="274" t="s">
        <v>404</v>
      </c>
      <c r="C417" s="734" t="s">
        <v>121</v>
      </c>
      <c r="D417" s="735" t="s">
        <v>65</v>
      </c>
      <c r="E417" s="735" t="s">
        <v>63</v>
      </c>
      <c r="F417" s="736" t="s">
        <v>64</v>
      </c>
      <c r="G417" s="121"/>
      <c r="H417" s="275">
        <f>H418</f>
        <v>9802.3829999999998</v>
      </c>
    </row>
    <row r="418" spans="1:8" s="273" customFormat="1" ht="75">
      <c r="A418" s="261"/>
      <c r="B418" s="274" t="s">
        <v>122</v>
      </c>
      <c r="C418" s="734" t="s">
        <v>121</v>
      </c>
      <c r="D418" s="735" t="s">
        <v>65</v>
      </c>
      <c r="E418" s="735" t="s">
        <v>57</v>
      </c>
      <c r="F418" s="736" t="s">
        <v>64</v>
      </c>
      <c r="G418" s="121"/>
      <c r="H418" s="275">
        <f>H419</f>
        <v>9802.3829999999998</v>
      </c>
    </row>
    <row r="419" spans="1:8" s="273" customFormat="1" ht="75">
      <c r="A419" s="261"/>
      <c r="B419" s="287" t="s">
        <v>123</v>
      </c>
      <c r="C419" s="734" t="s">
        <v>121</v>
      </c>
      <c r="D419" s="735" t="s">
        <v>65</v>
      </c>
      <c r="E419" s="735" t="s">
        <v>57</v>
      </c>
      <c r="F419" s="736" t="s">
        <v>124</v>
      </c>
      <c r="G419" s="121"/>
      <c r="H419" s="275">
        <f>H420</f>
        <v>9802.3829999999998</v>
      </c>
    </row>
    <row r="420" spans="1:8" ht="37.5">
      <c r="A420" s="261"/>
      <c r="B420" s="274" t="s">
        <v>75</v>
      </c>
      <c r="C420" s="734" t="s">
        <v>121</v>
      </c>
      <c r="D420" s="735" t="s">
        <v>65</v>
      </c>
      <c r="E420" s="735" t="s">
        <v>57</v>
      </c>
      <c r="F420" s="736" t="s">
        <v>124</v>
      </c>
      <c r="G420" s="121" t="s">
        <v>76</v>
      </c>
      <c r="H420" s="275">
        <f>'прил12(ведом 21)'!M143</f>
        <v>9802.3829999999998</v>
      </c>
    </row>
    <row r="421" spans="1:8" ht="18.75">
      <c r="A421" s="261"/>
      <c r="B421" s="283"/>
      <c r="C421" s="729"/>
      <c r="D421" s="729"/>
      <c r="E421" s="729"/>
      <c r="F421" s="730"/>
      <c r="G421" s="259"/>
      <c r="H421" s="275"/>
    </row>
    <row r="422" spans="1:8" s="273" customFormat="1" ht="75">
      <c r="A422" s="284">
        <v>12</v>
      </c>
      <c r="B422" s="297" t="s">
        <v>128</v>
      </c>
      <c r="C422" s="285" t="s">
        <v>92</v>
      </c>
      <c r="D422" s="285" t="s">
        <v>62</v>
      </c>
      <c r="E422" s="285" t="s">
        <v>63</v>
      </c>
      <c r="F422" s="286" t="s">
        <v>64</v>
      </c>
      <c r="G422" s="271"/>
      <c r="H422" s="272">
        <f>H423+H427</f>
        <v>1025.0999999999999</v>
      </c>
    </row>
    <row r="423" spans="1:8" s="273" customFormat="1" ht="37.5">
      <c r="A423" s="261"/>
      <c r="B423" s="298" t="s">
        <v>129</v>
      </c>
      <c r="C423" s="734" t="s">
        <v>92</v>
      </c>
      <c r="D423" s="735" t="s">
        <v>65</v>
      </c>
      <c r="E423" s="735" t="s">
        <v>63</v>
      </c>
      <c r="F423" s="736" t="s">
        <v>64</v>
      </c>
      <c r="G423" s="121"/>
      <c r="H423" s="275">
        <f>H424</f>
        <v>310</v>
      </c>
    </row>
    <row r="424" spans="1:8" s="273" customFormat="1" ht="37.5">
      <c r="A424" s="261"/>
      <c r="B424" s="274" t="s">
        <v>130</v>
      </c>
      <c r="C424" s="734" t="s">
        <v>92</v>
      </c>
      <c r="D424" s="735" t="s">
        <v>65</v>
      </c>
      <c r="E424" s="735" t="s">
        <v>57</v>
      </c>
      <c r="F424" s="736" t="s">
        <v>64</v>
      </c>
      <c r="G424" s="121"/>
      <c r="H424" s="275">
        <f>H425</f>
        <v>310</v>
      </c>
    </row>
    <row r="425" spans="1:8" s="273" customFormat="1" ht="37.5">
      <c r="A425" s="261"/>
      <c r="B425" s="298" t="s">
        <v>131</v>
      </c>
      <c r="C425" s="734" t="s">
        <v>92</v>
      </c>
      <c r="D425" s="735" t="s">
        <v>65</v>
      </c>
      <c r="E425" s="735" t="s">
        <v>57</v>
      </c>
      <c r="F425" s="736" t="s">
        <v>132</v>
      </c>
      <c r="G425" s="121"/>
      <c r="H425" s="275">
        <f>SUM(H426:H426)</f>
        <v>310</v>
      </c>
    </row>
    <row r="426" spans="1:8" s="273" customFormat="1" ht="37.5">
      <c r="A426" s="261"/>
      <c r="B426" s="274" t="s">
        <v>75</v>
      </c>
      <c r="C426" s="734" t="s">
        <v>92</v>
      </c>
      <c r="D426" s="735" t="s">
        <v>65</v>
      </c>
      <c r="E426" s="735" t="s">
        <v>57</v>
      </c>
      <c r="F426" s="736" t="s">
        <v>132</v>
      </c>
      <c r="G426" s="121" t="s">
        <v>76</v>
      </c>
      <c r="H426" s="275">
        <f>'прил12(ведом 21)'!M149</f>
        <v>310</v>
      </c>
    </row>
    <row r="427" spans="1:8" s="273" customFormat="1" ht="19.149999999999999" customHeight="1">
      <c r="A427" s="261"/>
      <c r="B427" s="298" t="s">
        <v>133</v>
      </c>
      <c r="C427" s="734" t="s">
        <v>92</v>
      </c>
      <c r="D427" s="735" t="s">
        <v>110</v>
      </c>
      <c r="E427" s="735" t="s">
        <v>63</v>
      </c>
      <c r="F427" s="736" t="s">
        <v>64</v>
      </c>
      <c r="G427" s="121"/>
      <c r="H427" s="275">
        <f>H428</f>
        <v>715.1</v>
      </c>
    </row>
    <row r="428" spans="1:8" s="273" customFormat="1" ht="37.5">
      <c r="A428" s="261"/>
      <c r="B428" s="298" t="s">
        <v>134</v>
      </c>
      <c r="C428" s="734" t="s">
        <v>92</v>
      </c>
      <c r="D428" s="735" t="s">
        <v>110</v>
      </c>
      <c r="E428" s="735" t="s">
        <v>57</v>
      </c>
      <c r="F428" s="736" t="s">
        <v>64</v>
      </c>
      <c r="G428" s="121"/>
      <c r="H428" s="275">
        <f>H429</f>
        <v>715.1</v>
      </c>
    </row>
    <row r="429" spans="1:8" s="273" customFormat="1" ht="75">
      <c r="A429" s="261"/>
      <c r="B429" s="298" t="s">
        <v>135</v>
      </c>
      <c r="C429" s="734" t="s">
        <v>92</v>
      </c>
      <c r="D429" s="735" t="s">
        <v>110</v>
      </c>
      <c r="E429" s="735" t="s">
        <v>57</v>
      </c>
      <c r="F429" s="736" t="s">
        <v>136</v>
      </c>
      <c r="G429" s="121"/>
      <c r="H429" s="275">
        <f>H430</f>
        <v>715.1</v>
      </c>
    </row>
    <row r="430" spans="1:8" ht="37.5">
      <c r="A430" s="261"/>
      <c r="B430" s="274" t="s">
        <v>75</v>
      </c>
      <c r="C430" s="734" t="s">
        <v>92</v>
      </c>
      <c r="D430" s="735" t="s">
        <v>110</v>
      </c>
      <c r="E430" s="735" t="s">
        <v>57</v>
      </c>
      <c r="F430" s="736" t="s">
        <v>136</v>
      </c>
      <c r="G430" s="121" t="s">
        <v>76</v>
      </c>
      <c r="H430" s="275">
        <f>'прил12(ведом 21)'!M153</f>
        <v>715.1</v>
      </c>
    </row>
    <row r="431" spans="1:8" ht="18.75">
      <c r="A431" s="261"/>
      <c r="B431" s="283"/>
      <c r="C431" s="729"/>
      <c r="D431" s="729"/>
      <c r="E431" s="729"/>
      <c r="F431" s="730"/>
      <c r="G431" s="259"/>
      <c r="H431" s="275"/>
    </row>
    <row r="432" spans="1:8" s="273" customFormat="1" ht="59.25" customHeight="1">
      <c r="A432" s="284">
        <v>13</v>
      </c>
      <c r="B432" s="297" t="s">
        <v>137</v>
      </c>
      <c r="C432" s="285" t="s">
        <v>109</v>
      </c>
      <c r="D432" s="285" t="s">
        <v>62</v>
      </c>
      <c r="E432" s="285" t="s">
        <v>63</v>
      </c>
      <c r="F432" s="286" t="s">
        <v>64</v>
      </c>
      <c r="G432" s="271"/>
      <c r="H432" s="272">
        <f>H433</f>
        <v>891.2</v>
      </c>
    </row>
    <row r="433" spans="1:8" s="273" customFormat="1" ht="31.5" customHeight="1">
      <c r="A433" s="261"/>
      <c r="B433" s="274" t="s">
        <v>404</v>
      </c>
      <c r="C433" s="734" t="s">
        <v>109</v>
      </c>
      <c r="D433" s="735" t="s">
        <v>65</v>
      </c>
      <c r="E433" s="735" t="s">
        <v>63</v>
      </c>
      <c r="F433" s="736" t="s">
        <v>64</v>
      </c>
      <c r="G433" s="121"/>
      <c r="H433" s="275">
        <f>H434</f>
        <v>891.2</v>
      </c>
    </row>
    <row r="434" spans="1:8" s="273" customFormat="1" ht="56.25">
      <c r="A434" s="261"/>
      <c r="B434" s="298" t="s">
        <v>360</v>
      </c>
      <c r="C434" s="734" t="s">
        <v>109</v>
      </c>
      <c r="D434" s="735" t="s">
        <v>65</v>
      </c>
      <c r="E434" s="735" t="s">
        <v>57</v>
      </c>
      <c r="F434" s="736" t="s">
        <v>64</v>
      </c>
      <c r="G434" s="121"/>
      <c r="H434" s="275">
        <f>H435+H437</f>
        <v>891.2</v>
      </c>
    </row>
    <row r="435" spans="1:8" s="273" customFormat="1" ht="56.25">
      <c r="A435" s="261"/>
      <c r="B435" s="298" t="s">
        <v>138</v>
      </c>
      <c r="C435" s="734" t="s">
        <v>109</v>
      </c>
      <c r="D435" s="735" t="s">
        <v>65</v>
      </c>
      <c r="E435" s="735" t="s">
        <v>57</v>
      </c>
      <c r="F435" s="736" t="s">
        <v>139</v>
      </c>
      <c r="G435" s="121"/>
      <c r="H435" s="275">
        <f>H436</f>
        <v>112.2</v>
      </c>
    </row>
    <row r="436" spans="1:8" ht="37.5">
      <c r="A436" s="261"/>
      <c r="B436" s="274" t="s">
        <v>75</v>
      </c>
      <c r="C436" s="734" t="s">
        <v>109</v>
      </c>
      <c r="D436" s="735" t="s">
        <v>65</v>
      </c>
      <c r="E436" s="735" t="s">
        <v>57</v>
      </c>
      <c r="F436" s="736" t="s">
        <v>139</v>
      </c>
      <c r="G436" s="121" t="s">
        <v>76</v>
      </c>
      <c r="H436" s="275">
        <f>'прил12(ведом 21)'!M158</f>
        <v>112.2</v>
      </c>
    </row>
    <row r="437" spans="1:8" ht="56.25">
      <c r="A437" s="261"/>
      <c r="B437" s="135" t="s">
        <v>497</v>
      </c>
      <c r="C437" s="734" t="s">
        <v>109</v>
      </c>
      <c r="D437" s="735" t="s">
        <v>65</v>
      </c>
      <c r="E437" s="735" t="s">
        <v>57</v>
      </c>
      <c r="F437" s="736" t="s">
        <v>496</v>
      </c>
      <c r="G437" s="121"/>
      <c r="H437" s="275">
        <f>H438</f>
        <v>779</v>
      </c>
    </row>
    <row r="438" spans="1:8" ht="37.5">
      <c r="A438" s="261"/>
      <c r="B438" s="135" t="s">
        <v>75</v>
      </c>
      <c r="C438" s="734" t="s">
        <v>109</v>
      </c>
      <c r="D438" s="735" t="s">
        <v>65</v>
      </c>
      <c r="E438" s="735" t="s">
        <v>57</v>
      </c>
      <c r="F438" s="736" t="s">
        <v>496</v>
      </c>
      <c r="G438" s="121" t="s">
        <v>76</v>
      </c>
      <c r="H438" s="275">
        <f>'прил12(ведом 21)'!M160</f>
        <v>779</v>
      </c>
    </row>
    <row r="439" spans="1:8" s="273" customFormat="1" ht="18.75">
      <c r="A439" s="261"/>
      <c r="B439" s="276"/>
      <c r="C439" s="729"/>
      <c r="D439" s="729"/>
      <c r="E439" s="729"/>
      <c r="F439" s="730"/>
      <c r="G439" s="259"/>
      <c r="H439" s="275"/>
    </row>
    <row r="440" spans="1:8" s="273" customFormat="1" ht="75">
      <c r="A440" s="284">
        <v>14</v>
      </c>
      <c r="B440" s="297" t="s">
        <v>93</v>
      </c>
      <c r="C440" s="285" t="s">
        <v>94</v>
      </c>
      <c r="D440" s="285" t="s">
        <v>62</v>
      </c>
      <c r="E440" s="285" t="s">
        <v>63</v>
      </c>
      <c r="F440" s="286" t="s">
        <v>64</v>
      </c>
      <c r="G440" s="271"/>
      <c r="H440" s="272">
        <f>H441</f>
        <v>4723.1999999999989</v>
      </c>
    </row>
    <row r="441" spans="1:8" ht="19.5" customHeight="1">
      <c r="A441" s="261"/>
      <c r="B441" s="274" t="s">
        <v>404</v>
      </c>
      <c r="C441" s="734" t="s">
        <v>94</v>
      </c>
      <c r="D441" s="735" t="s">
        <v>65</v>
      </c>
      <c r="E441" s="735" t="s">
        <v>63</v>
      </c>
      <c r="F441" s="736" t="s">
        <v>64</v>
      </c>
      <c r="G441" s="121"/>
      <c r="H441" s="275">
        <f>H442</f>
        <v>4723.1999999999989</v>
      </c>
    </row>
    <row r="442" spans="1:8" ht="37.5">
      <c r="A442" s="261"/>
      <c r="B442" s="288" t="s">
        <v>306</v>
      </c>
      <c r="C442" s="734" t="s">
        <v>94</v>
      </c>
      <c r="D442" s="735" t="s">
        <v>65</v>
      </c>
      <c r="E442" s="735" t="s">
        <v>57</v>
      </c>
      <c r="F442" s="736" t="s">
        <v>64</v>
      </c>
      <c r="G442" s="121"/>
      <c r="H442" s="275">
        <f>H443</f>
        <v>4723.1999999999989</v>
      </c>
    </row>
    <row r="443" spans="1:8" ht="37.5">
      <c r="A443" s="261"/>
      <c r="B443" s="288" t="s">
        <v>95</v>
      </c>
      <c r="C443" s="734" t="s">
        <v>94</v>
      </c>
      <c r="D443" s="735" t="s">
        <v>65</v>
      </c>
      <c r="E443" s="735" t="s">
        <v>57</v>
      </c>
      <c r="F443" s="736" t="s">
        <v>96</v>
      </c>
      <c r="G443" s="121"/>
      <c r="H443" s="275">
        <f>H444</f>
        <v>4723.1999999999989</v>
      </c>
    </row>
    <row r="444" spans="1:8" ht="40.5" customHeight="1">
      <c r="A444" s="261"/>
      <c r="B444" s="276" t="s">
        <v>97</v>
      </c>
      <c r="C444" s="734" t="s">
        <v>94</v>
      </c>
      <c r="D444" s="735" t="s">
        <v>65</v>
      </c>
      <c r="E444" s="735" t="s">
        <v>57</v>
      </c>
      <c r="F444" s="736" t="s">
        <v>96</v>
      </c>
      <c r="G444" s="121" t="s">
        <v>98</v>
      </c>
      <c r="H444" s="275">
        <f>'прил12(ведом 21)'!M62+'прил12(ведом 21)'!M197+'прил12(ведом 21)'!M204</f>
        <v>4723.1999999999989</v>
      </c>
    </row>
    <row r="445" spans="1:8" ht="18.75">
      <c r="A445" s="261"/>
      <c r="B445" s="276"/>
      <c r="C445" s="729"/>
      <c r="D445" s="729"/>
      <c r="E445" s="729"/>
      <c r="F445" s="730"/>
      <c r="G445" s="259"/>
      <c r="H445" s="275"/>
    </row>
    <row r="446" spans="1:8" s="273" customFormat="1" ht="56.25">
      <c r="A446" s="284">
        <v>15</v>
      </c>
      <c r="B446" s="297" t="s">
        <v>60</v>
      </c>
      <c r="C446" s="285" t="s">
        <v>61</v>
      </c>
      <c r="D446" s="285" t="s">
        <v>62</v>
      </c>
      <c r="E446" s="285" t="s">
        <v>63</v>
      </c>
      <c r="F446" s="286" t="s">
        <v>64</v>
      </c>
      <c r="G446" s="271"/>
      <c r="H446" s="272">
        <f>H447</f>
        <v>96566.33100000002</v>
      </c>
    </row>
    <row r="447" spans="1:8" s="273" customFormat="1" ht="30" customHeight="1">
      <c r="A447" s="261"/>
      <c r="B447" s="274" t="s">
        <v>404</v>
      </c>
      <c r="C447" s="734" t="s">
        <v>61</v>
      </c>
      <c r="D447" s="735" t="s">
        <v>65</v>
      </c>
      <c r="E447" s="735" t="s">
        <v>63</v>
      </c>
      <c r="F447" s="736" t="s">
        <v>64</v>
      </c>
      <c r="G447" s="121"/>
      <c r="H447" s="275">
        <f>H448+H451+H472+H478+H483+H488+H494+H500+H503+H491+H506</f>
        <v>96566.33100000002</v>
      </c>
    </row>
    <row r="448" spans="1:8" s="273" customFormat="1" ht="37.5">
      <c r="A448" s="261"/>
      <c r="B448" s="274" t="s">
        <v>66</v>
      </c>
      <c r="C448" s="734" t="s">
        <v>61</v>
      </c>
      <c r="D448" s="735" t="s">
        <v>65</v>
      </c>
      <c r="E448" s="735" t="s">
        <v>57</v>
      </c>
      <c r="F448" s="736" t="s">
        <v>64</v>
      </c>
      <c r="G448" s="121"/>
      <c r="H448" s="275">
        <f>H449</f>
        <v>2067.1</v>
      </c>
    </row>
    <row r="449" spans="1:8" s="273" customFormat="1" ht="37.5">
      <c r="A449" s="261"/>
      <c r="B449" s="274" t="s">
        <v>67</v>
      </c>
      <c r="C449" s="734" t="s">
        <v>61</v>
      </c>
      <c r="D449" s="735" t="s">
        <v>65</v>
      </c>
      <c r="E449" s="735" t="s">
        <v>57</v>
      </c>
      <c r="F449" s="736" t="s">
        <v>68</v>
      </c>
      <c r="G449" s="121"/>
      <c r="H449" s="275">
        <f>H450</f>
        <v>2067.1</v>
      </c>
    </row>
    <row r="450" spans="1:8" s="273" customFormat="1" ht="93.75">
      <c r="A450" s="261"/>
      <c r="B450" s="274" t="s">
        <v>69</v>
      </c>
      <c r="C450" s="734" t="s">
        <v>61</v>
      </c>
      <c r="D450" s="735" t="s">
        <v>65</v>
      </c>
      <c r="E450" s="735" t="s">
        <v>57</v>
      </c>
      <c r="F450" s="736" t="s">
        <v>68</v>
      </c>
      <c r="G450" s="121" t="s">
        <v>70</v>
      </c>
      <c r="H450" s="275">
        <f>'прил12(ведом 21)'!M22</f>
        <v>2067.1</v>
      </c>
    </row>
    <row r="451" spans="1:8" s="273" customFormat="1" ht="37.5">
      <c r="A451" s="261"/>
      <c r="B451" s="274" t="s">
        <v>74</v>
      </c>
      <c r="C451" s="734" t="s">
        <v>61</v>
      </c>
      <c r="D451" s="735" t="s">
        <v>65</v>
      </c>
      <c r="E451" s="735" t="s">
        <v>59</v>
      </c>
      <c r="F451" s="736" t="s">
        <v>64</v>
      </c>
      <c r="G451" s="121"/>
      <c r="H451" s="275">
        <f>H452+H460+H462+H464+H467+H470+H458+H457</f>
        <v>73128.630999999994</v>
      </c>
    </row>
    <row r="452" spans="1:8" s="273" customFormat="1" ht="37.5">
      <c r="A452" s="261"/>
      <c r="B452" s="274" t="s">
        <v>67</v>
      </c>
      <c r="C452" s="734" t="s">
        <v>61</v>
      </c>
      <c r="D452" s="735" t="s">
        <v>65</v>
      </c>
      <c r="E452" s="735" t="s">
        <v>59</v>
      </c>
      <c r="F452" s="736" t="s">
        <v>68</v>
      </c>
      <c r="G452" s="121"/>
      <c r="H452" s="275">
        <f>SUM(H453:H455)</f>
        <v>68188.130999999994</v>
      </c>
    </row>
    <row r="453" spans="1:8" s="273" customFormat="1" ht="93.75">
      <c r="A453" s="261"/>
      <c r="B453" s="274" t="s">
        <v>69</v>
      </c>
      <c r="C453" s="734" t="s">
        <v>61</v>
      </c>
      <c r="D453" s="735" t="s">
        <v>65</v>
      </c>
      <c r="E453" s="735" t="s">
        <v>59</v>
      </c>
      <c r="F453" s="736" t="s">
        <v>68</v>
      </c>
      <c r="G453" s="121" t="s">
        <v>70</v>
      </c>
      <c r="H453" s="275">
        <f>'прил12(ведом 21)'!M28</f>
        <v>59825.8</v>
      </c>
    </row>
    <row r="454" spans="1:8" ht="37.5">
      <c r="A454" s="261"/>
      <c r="B454" s="274" t="s">
        <v>75</v>
      </c>
      <c r="C454" s="734" t="s">
        <v>61</v>
      </c>
      <c r="D454" s="735" t="s">
        <v>65</v>
      </c>
      <c r="E454" s="735" t="s">
        <v>59</v>
      </c>
      <c r="F454" s="736" t="s">
        <v>68</v>
      </c>
      <c r="G454" s="121" t="s">
        <v>76</v>
      </c>
      <c r="H454" s="275">
        <f>'прил12(ведом 21)'!M29</f>
        <v>8270.4310000000005</v>
      </c>
    </row>
    <row r="455" spans="1:8" s="273" customFormat="1" ht="18.75">
      <c r="A455" s="261"/>
      <c r="B455" s="274" t="s">
        <v>77</v>
      </c>
      <c r="C455" s="734" t="s">
        <v>61</v>
      </c>
      <c r="D455" s="735" t="s">
        <v>65</v>
      </c>
      <c r="E455" s="735" t="s">
        <v>59</v>
      </c>
      <c r="F455" s="736" t="s">
        <v>68</v>
      </c>
      <c r="G455" s="121" t="s">
        <v>78</v>
      </c>
      <c r="H455" s="275">
        <f>'прил12(ведом 21)'!M30</f>
        <v>91.9</v>
      </c>
    </row>
    <row r="456" spans="1:8" s="273" customFormat="1" ht="18.75">
      <c r="A456" s="261"/>
      <c r="B456" s="135" t="s">
        <v>1018</v>
      </c>
      <c r="C456" s="734" t="s">
        <v>61</v>
      </c>
      <c r="D456" s="735" t="s">
        <v>65</v>
      </c>
      <c r="E456" s="735" t="s">
        <v>59</v>
      </c>
      <c r="F456" s="736" t="s">
        <v>1017</v>
      </c>
      <c r="G456" s="121"/>
      <c r="H456" s="275">
        <f>H457</f>
        <v>80.5</v>
      </c>
    </row>
    <row r="457" spans="1:8" s="273" customFormat="1" ht="37.5">
      <c r="A457" s="261"/>
      <c r="B457" s="135" t="s">
        <v>75</v>
      </c>
      <c r="C457" s="734" t="s">
        <v>61</v>
      </c>
      <c r="D457" s="735" t="s">
        <v>65</v>
      </c>
      <c r="E457" s="735" t="s">
        <v>59</v>
      </c>
      <c r="F457" s="736" t="s">
        <v>1017</v>
      </c>
      <c r="G457" s="121" t="s">
        <v>76</v>
      </c>
      <c r="H457" s="275">
        <f>'прил12(ведом 21)'!M67</f>
        <v>80.5</v>
      </c>
    </row>
    <row r="458" spans="1:8" s="273" customFormat="1" ht="75">
      <c r="A458" s="261"/>
      <c r="B458" s="135" t="s">
        <v>490</v>
      </c>
      <c r="C458" s="734" t="s">
        <v>61</v>
      </c>
      <c r="D458" s="735" t="s">
        <v>65</v>
      </c>
      <c r="E458" s="735" t="s">
        <v>59</v>
      </c>
      <c r="F458" s="736" t="s">
        <v>489</v>
      </c>
      <c r="G458" s="121"/>
      <c r="H458" s="275">
        <f>H459</f>
        <v>13.2</v>
      </c>
    </row>
    <row r="459" spans="1:8" s="273" customFormat="1" ht="37.5">
      <c r="A459" s="261"/>
      <c r="B459" s="135" t="s">
        <v>75</v>
      </c>
      <c r="C459" s="734" t="s">
        <v>61</v>
      </c>
      <c r="D459" s="735" t="s">
        <v>65</v>
      </c>
      <c r="E459" s="735" t="s">
        <v>59</v>
      </c>
      <c r="F459" s="736" t="s">
        <v>489</v>
      </c>
      <c r="G459" s="121" t="s">
        <v>76</v>
      </c>
      <c r="H459" s="275">
        <f>'прил12(ведом 21)'!M51</f>
        <v>13.2</v>
      </c>
    </row>
    <row r="460" spans="1:8" ht="93.75">
      <c r="A460" s="261"/>
      <c r="B460" s="274" t="s">
        <v>747</v>
      </c>
      <c r="C460" s="734" t="s">
        <v>61</v>
      </c>
      <c r="D460" s="735" t="s">
        <v>65</v>
      </c>
      <c r="E460" s="735" t="s">
        <v>59</v>
      </c>
      <c r="F460" s="736" t="s">
        <v>305</v>
      </c>
      <c r="G460" s="121"/>
      <c r="H460" s="275">
        <f>H461</f>
        <v>66</v>
      </c>
    </row>
    <row r="461" spans="1:8" ht="37.5">
      <c r="A461" s="261"/>
      <c r="B461" s="274" t="s">
        <v>75</v>
      </c>
      <c r="C461" s="734" t="s">
        <v>61</v>
      </c>
      <c r="D461" s="735" t="s">
        <v>65</v>
      </c>
      <c r="E461" s="735" t="s">
        <v>59</v>
      </c>
      <c r="F461" s="736" t="s">
        <v>305</v>
      </c>
      <c r="G461" s="121" t="s">
        <v>76</v>
      </c>
      <c r="H461" s="275">
        <f>'прил12(ведом 21)'!M32</f>
        <v>66</v>
      </c>
    </row>
    <row r="462" spans="1:8" ht="162.75" customHeight="1">
      <c r="A462" s="261"/>
      <c r="B462" s="167" t="s">
        <v>757</v>
      </c>
      <c r="C462" s="734" t="s">
        <v>61</v>
      </c>
      <c r="D462" s="735" t="s">
        <v>65</v>
      </c>
      <c r="E462" s="735" t="s">
        <v>59</v>
      </c>
      <c r="F462" s="736" t="s">
        <v>79</v>
      </c>
      <c r="G462" s="121"/>
      <c r="H462" s="275">
        <f>H463</f>
        <v>636.5</v>
      </c>
    </row>
    <row r="463" spans="1:8" ht="93.75">
      <c r="A463" s="261"/>
      <c r="B463" s="135" t="s">
        <v>69</v>
      </c>
      <c r="C463" s="734" t="s">
        <v>61</v>
      </c>
      <c r="D463" s="735" t="s">
        <v>65</v>
      </c>
      <c r="E463" s="735" t="s">
        <v>59</v>
      </c>
      <c r="F463" s="736" t="s">
        <v>79</v>
      </c>
      <c r="G463" s="121" t="s">
        <v>70</v>
      </c>
      <c r="H463" s="275">
        <f>'прил12(ведом 21)'!M34</f>
        <v>636.5</v>
      </c>
    </row>
    <row r="464" spans="1:8" ht="75">
      <c r="A464" s="261"/>
      <c r="B464" s="274" t="s">
        <v>80</v>
      </c>
      <c r="C464" s="734" t="s">
        <v>61</v>
      </c>
      <c r="D464" s="735" t="s">
        <v>65</v>
      </c>
      <c r="E464" s="735" t="s">
        <v>59</v>
      </c>
      <c r="F464" s="736" t="s">
        <v>81</v>
      </c>
      <c r="G464" s="121"/>
      <c r="H464" s="275">
        <f>SUM(H465:H466)</f>
        <v>3441.6</v>
      </c>
    </row>
    <row r="465" spans="1:8" ht="93.75">
      <c r="A465" s="261"/>
      <c r="B465" s="274" t="s">
        <v>69</v>
      </c>
      <c r="C465" s="734" t="s">
        <v>61</v>
      </c>
      <c r="D465" s="735" t="s">
        <v>65</v>
      </c>
      <c r="E465" s="735" t="s">
        <v>59</v>
      </c>
      <c r="F465" s="736" t="s">
        <v>81</v>
      </c>
      <c r="G465" s="121" t="s">
        <v>70</v>
      </c>
      <c r="H465" s="275">
        <f>'прил12(ведом 21)'!M36</f>
        <v>3251.6</v>
      </c>
    </row>
    <row r="466" spans="1:8" ht="37.5">
      <c r="A466" s="261"/>
      <c r="B466" s="135" t="s">
        <v>75</v>
      </c>
      <c r="C466" s="734" t="s">
        <v>61</v>
      </c>
      <c r="D466" s="735" t="s">
        <v>65</v>
      </c>
      <c r="E466" s="735" t="s">
        <v>59</v>
      </c>
      <c r="F466" s="736" t="s">
        <v>81</v>
      </c>
      <c r="G466" s="121" t="s">
        <v>76</v>
      </c>
      <c r="H466" s="275">
        <f>'прил12(ведом 21)'!M37</f>
        <v>190</v>
      </c>
    </row>
    <row r="467" spans="1:8" ht="56.25">
      <c r="A467" s="261"/>
      <c r="B467" s="135" t="s">
        <v>582</v>
      </c>
      <c r="C467" s="734" t="s">
        <v>61</v>
      </c>
      <c r="D467" s="735" t="s">
        <v>65</v>
      </c>
      <c r="E467" s="735" t="s">
        <v>59</v>
      </c>
      <c r="F467" s="736" t="s">
        <v>82</v>
      </c>
      <c r="G467" s="121"/>
      <c r="H467" s="275">
        <f>H468+H469</f>
        <v>636.70000000000005</v>
      </c>
    </row>
    <row r="468" spans="1:8" ht="93.75">
      <c r="A468" s="261"/>
      <c r="B468" s="135" t="s">
        <v>69</v>
      </c>
      <c r="C468" s="734" t="s">
        <v>61</v>
      </c>
      <c r="D468" s="735" t="s">
        <v>65</v>
      </c>
      <c r="E468" s="735" t="s">
        <v>59</v>
      </c>
      <c r="F468" s="736" t="s">
        <v>82</v>
      </c>
      <c r="G468" s="121" t="s">
        <v>70</v>
      </c>
      <c r="H468" s="275">
        <f>'прил12(ведом 21)'!M39</f>
        <v>632.5</v>
      </c>
    </row>
    <row r="469" spans="1:8" ht="37.5">
      <c r="A469" s="261"/>
      <c r="B469" s="135" t="s">
        <v>75</v>
      </c>
      <c r="C469" s="734" t="s">
        <v>61</v>
      </c>
      <c r="D469" s="735" t="s">
        <v>65</v>
      </c>
      <c r="E469" s="735" t="s">
        <v>59</v>
      </c>
      <c r="F469" s="736" t="s">
        <v>82</v>
      </c>
      <c r="G469" s="121" t="s">
        <v>76</v>
      </c>
      <c r="H469" s="275">
        <f>'прил12(ведом 21)'!M40</f>
        <v>4.2</v>
      </c>
    </row>
    <row r="470" spans="1:8" ht="18.75">
      <c r="A470" s="261"/>
      <c r="B470" s="135" t="s">
        <v>466</v>
      </c>
      <c r="C470" s="734" t="s">
        <v>61</v>
      </c>
      <c r="D470" s="735" t="s">
        <v>65</v>
      </c>
      <c r="E470" s="735" t="s">
        <v>59</v>
      </c>
      <c r="F470" s="736" t="s">
        <v>465</v>
      </c>
      <c r="G470" s="121"/>
      <c r="H470" s="275">
        <f>H471</f>
        <v>66</v>
      </c>
    </row>
    <row r="471" spans="1:8" ht="37.5">
      <c r="A471" s="261"/>
      <c r="B471" s="135" t="s">
        <v>75</v>
      </c>
      <c r="C471" s="734" t="s">
        <v>61</v>
      </c>
      <c r="D471" s="735" t="s">
        <v>65</v>
      </c>
      <c r="E471" s="735" t="s">
        <v>59</v>
      </c>
      <c r="F471" s="736" t="s">
        <v>465</v>
      </c>
      <c r="G471" s="121" t="s">
        <v>76</v>
      </c>
      <c r="H471" s="275">
        <f>'прил12(ведом 21)'!M42</f>
        <v>66</v>
      </c>
    </row>
    <row r="472" spans="1:8" ht="18.75">
      <c r="A472" s="261"/>
      <c r="B472" s="274" t="s">
        <v>83</v>
      </c>
      <c r="C472" s="734" t="s">
        <v>61</v>
      </c>
      <c r="D472" s="735" t="s">
        <v>65</v>
      </c>
      <c r="E472" s="735" t="s">
        <v>84</v>
      </c>
      <c r="F472" s="736" t="s">
        <v>64</v>
      </c>
      <c r="G472" s="121"/>
      <c r="H472" s="275">
        <f>H473+H475</f>
        <v>2246.1000000000004</v>
      </c>
    </row>
    <row r="473" spans="1:8" ht="37.5">
      <c r="A473" s="261"/>
      <c r="B473" s="274" t="s">
        <v>67</v>
      </c>
      <c r="C473" s="734" t="s">
        <v>61</v>
      </c>
      <c r="D473" s="735" t="s">
        <v>65</v>
      </c>
      <c r="E473" s="735" t="s">
        <v>84</v>
      </c>
      <c r="F473" s="736" t="s">
        <v>68</v>
      </c>
      <c r="G473" s="121"/>
      <c r="H473" s="275">
        <f>H474</f>
        <v>129.4</v>
      </c>
    </row>
    <row r="474" spans="1:8" ht="37.5">
      <c r="A474" s="261"/>
      <c r="B474" s="274" t="s">
        <v>75</v>
      </c>
      <c r="C474" s="734" t="s">
        <v>61</v>
      </c>
      <c r="D474" s="735" t="s">
        <v>65</v>
      </c>
      <c r="E474" s="735" t="s">
        <v>84</v>
      </c>
      <c r="F474" s="736" t="s">
        <v>68</v>
      </c>
      <c r="G474" s="121" t="s">
        <v>76</v>
      </c>
      <c r="H474" s="275">
        <f>'прил12(ведом 21)'!M45</f>
        <v>129.4</v>
      </c>
    </row>
    <row r="475" spans="1:8" ht="56.25">
      <c r="A475" s="261"/>
      <c r="B475" s="135" t="s">
        <v>478</v>
      </c>
      <c r="C475" s="734" t="s">
        <v>61</v>
      </c>
      <c r="D475" s="735" t="s">
        <v>65</v>
      </c>
      <c r="E475" s="735" t="s">
        <v>84</v>
      </c>
      <c r="F475" s="736" t="s">
        <v>477</v>
      </c>
      <c r="G475" s="121"/>
      <c r="H475" s="275">
        <f>H476+H477</f>
        <v>2116.7000000000003</v>
      </c>
    </row>
    <row r="476" spans="1:8" ht="37.5">
      <c r="A476" s="261"/>
      <c r="B476" s="135" t="s">
        <v>75</v>
      </c>
      <c r="C476" s="734" t="s">
        <v>61</v>
      </c>
      <c r="D476" s="735" t="s">
        <v>65</v>
      </c>
      <c r="E476" s="735" t="s">
        <v>84</v>
      </c>
      <c r="F476" s="736" t="s">
        <v>477</v>
      </c>
      <c r="G476" s="121" t="s">
        <v>76</v>
      </c>
      <c r="H476" s="275">
        <f>'прил12(ведом 21)'!M70</f>
        <v>1885.9</v>
      </c>
    </row>
    <row r="477" spans="1:8" ht="18.75">
      <c r="A477" s="261"/>
      <c r="B477" s="135" t="s">
        <v>77</v>
      </c>
      <c r="C477" s="734" t="s">
        <v>61</v>
      </c>
      <c r="D477" s="735" t="s">
        <v>65</v>
      </c>
      <c r="E477" s="735" t="s">
        <v>84</v>
      </c>
      <c r="F477" s="736" t="s">
        <v>477</v>
      </c>
      <c r="G477" s="121" t="s">
        <v>78</v>
      </c>
      <c r="H477" s="275">
        <f>'прил12(ведом 21)'!M71</f>
        <v>230.8</v>
      </c>
    </row>
    <row r="478" spans="1:8" ht="18.75">
      <c r="A478" s="261"/>
      <c r="B478" s="274" t="s">
        <v>85</v>
      </c>
      <c r="C478" s="734" t="s">
        <v>61</v>
      </c>
      <c r="D478" s="735" t="s">
        <v>65</v>
      </c>
      <c r="E478" s="735" t="s">
        <v>72</v>
      </c>
      <c r="F478" s="736" t="s">
        <v>64</v>
      </c>
      <c r="G478" s="121"/>
      <c r="H478" s="275">
        <f>H479+H481</f>
        <v>3872.8</v>
      </c>
    </row>
    <row r="479" spans="1:8" ht="56.25">
      <c r="A479" s="261"/>
      <c r="B479" s="298" t="s">
        <v>429</v>
      </c>
      <c r="C479" s="734" t="s">
        <v>61</v>
      </c>
      <c r="D479" s="735" t="s">
        <v>65</v>
      </c>
      <c r="E479" s="735" t="s">
        <v>72</v>
      </c>
      <c r="F479" s="736" t="s">
        <v>126</v>
      </c>
      <c r="G479" s="121"/>
      <c r="H479" s="275">
        <f>H480</f>
        <v>1815.6999999999998</v>
      </c>
    </row>
    <row r="480" spans="1:8" ht="37.5">
      <c r="A480" s="261"/>
      <c r="B480" s="274" t="s">
        <v>75</v>
      </c>
      <c r="C480" s="734" t="s">
        <v>61</v>
      </c>
      <c r="D480" s="735" t="s">
        <v>65</v>
      </c>
      <c r="E480" s="735" t="s">
        <v>72</v>
      </c>
      <c r="F480" s="736" t="s">
        <v>126</v>
      </c>
      <c r="G480" s="121" t="s">
        <v>76</v>
      </c>
      <c r="H480" s="275">
        <f>'прил12(ведом 21)'!M74</f>
        <v>1815.6999999999998</v>
      </c>
    </row>
    <row r="481" spans="1:8" ht="56.25">
      <c r="A481" s="261"/>
      <c r="B481" s="274" t="s">
        <v>431</v>
      </c>
      <c r="C481" s="734" t="s">
        <v>61</v>
      </c>
      <c r="D481" s="735" t="s">
        <v>65</v>
      </c>
      <c r="E481" s="735" t="s">
        <v>72</v>
      </c>
      <c r="F481" s="736" t="s">
        <v>430</v>
      </c>
      <c r="G481" s="121"/>
      <c r="H481" s="275">
        <f>H482</f>
        <v>2057.1000000000004</v>
      </c>
    </row>
    <row r="482" spans="1:8" ht="37.5">
      <c r="A482" s="261"/>
      <c r="B482" s="274" t="s">
        <v>75</v>
      </c>
      <c r="C482" s="734" t="s">
        <v>61</v>
      </c>
      <c r="D482" s="735" t="s">
        <v>65</v>
      </c>
      <c r="E482" s="735" t="s">
        <v>72</v>
      </c>
      <c r="F482" s="736" t="s">
        <v>430</v>
      </c>
      <c r="G482" s="121" t="s">
        <v>76</v>
      </c>
      <c r="H482" s="275">
        <f>'прил12(ведом 21)'!M76</f>
        <v>2057.1000000000004</v>
      </c>
    </row>
    <row r="483" spans="1:8" ht="51" customHeight="1">
      <c r="A483" s="299"/>
      <c r="B483" s="304" t="s">
        <v>351</v>
      </c>
      <c r="C483" s="151" t="s">
        <v>61</v>
      </c>
      <c r="D483" s="146" t="s">
        <v>65</v>
      </c>
      <c r="E483" s="146" t="s">
        <v>102</v>
      </c>
      <c r="F483" s="147" t="s">
        <v>64</v>
      </c>
      <c r="G483" s="145"/>
      <c r="H483" s="275">
        <f>H484</f>
        <v>5076.9000000000005</v>
      </c>
    </row>
    <row r="484" spans="1:8" ht="37.5">
      <c r="A484" s="299"/>
      <c r="B484" s="274" t="s">
        <v>795</v>
      </c>
      <c r="C484" s="151" t="s">
        <v>61</v>
      </c>
      <c r="D484" s="146" t="s">
        <v>65</v>
      </c>
      <c r="E484" s="146" t="s">
        <v>102</v>
      </c>
      <c r="F484" s="147" t="s">
        <v>112</v>
      </c>
      <c r="G484" s="145"/>
      <c r="H484" s="275">
        <f>SUM(H485:H487)</f>
        <v>5076.9000000000005</v>
      </c>
    </row>
    <row r="485" spans="1:8" ht="93.75">
      <c r="A485" s="299"/>
      <c r="B485" s="304" t="s">
        <v>69</v>
      </c>
      <c r="C485" s="151" t="s">
        <v>61</v>
      </c>
      <c r="D485" s="146" t="s">
        <v>65</v>
      </c>
      <c r="E485" s="146" t="s">
        <v>102</v>
      </c>
      <c r="F485" s="147" t="s">
        <v>112</v>
      </c>
      <c r="G485" s="145" t="s">
        <v>70</v>
      </c>
      <c r="H485" s="275">
        <f>'прил12(ведом 21)'!M343</f>
        <v>4593.1000000000004</v>
      </c>
    </row>
    <row r="486" spans="1:8" ht="37.5">
      <c r="A486" s="299"/>
      <c r="B486" s="274" t="s">
        <v>75</v>
      </c>
      <c r="C486" s="151" t="s">
        <v>61</v>
      </c>
      <c r="D486" s="146" t="s">
        <v>65</v>
      </c>
      <c r="E486" s="146" t="s">
        <v>102</v>
      </c>
      <c r="F486" s="147" t="s">
        <v>112</v>
      </c>
      <c r="G486" s="145" t="s">
        <v>76</v>
      </c>
      <c r="H486" s="275">
        <f>'прил12(ведом 21)'!M344</f>
        <v>483.7</v>
      </c>
    </row>
    <row r="487" spans="1:8" ht="18.75">
      <c r="A487" s="299"/>
      <c r="B487" s="332" t="s">
        <v>77</v>
      </c>
      <c r="C487" s="151" t="s">
        <v>61</v>
      </c>
      <c r="D487" s="146" t="s">
        <v>65</v>
      </c>
      <c r="E487" s="146" t="s">
        <v>102</v>
      </c>
      <c r="F487" s="147" t="s">
        <v>112</v>
      </c>
      <c r="G487" s="145" t="s">
        <v>78</v>
      </c>
      <c r="H487" s="275">
        <f>'прил12(ведом 21)'!M345</f>
        <v>0.1</v>
      </c>
    </row>
    <row r="488" spans="1:8" ht="38.25" customHeight="1">
      <c r="A488" s="299"/>
      <c r="B488" s="139" t="s">
        <v>472</v>
      </c>
      <c r="C488" s="734" t="s">
        <v>61</v>
      </c>
      <c r="D488" s="735" t="s">
        <v>65</v>
      </c>
      <c r="E488" s="735" t="s">
        <v>100</v>
      </c>
      <c r="F488" s="736" t="s">
        <v>64</v>
      </c>
      <c r="G488" s="121"/>
      <c r="H488" s="275">
        <f>H489</f>
        <v>16.5</v>
      </c>
    </row>
    <row r="489" spans="1:8" ht="18.75">
      <c r="A489" s="299"/>
      <c r="B489" s="139" t="s">
        <v>473</v>
      </c>
      <c r="C489" s="734" t="s">
        <v>61</v>
      </c>
      <c r="D489" s="735" t="s">
        <v>65</v>
      </c>
      <c r="E489" s="735" t="s">
        <v>100</v>
      </c>
      <c r="F489" s="736" t="s">
        <v>474</v>
      </c>
      <c r="G489" s="121"/>
      <c r="H489" s="275">
        <f>H490</f>
        <v>16.5</v>
      </c>
    </row>
    <row r="490" spans="1:8" ht="37.5">
      <c r="A490" s="299"/>
      <c r="B490" s="139" t="s">
        <v>475</v>
      </c>
      <c r="C490" s="734" t="s">
        <v>61</v>
      </c>
      <c r="D490" s="735" t="s">
        <v>65</v>
      </c>
      <c r="E490" s="735" t="s">
        <v>100</v>
      </c>
      <c r="F490" s="736" t="s">
        <v>474</v>
      </c>
      <c r="G490" s="121" t="s">
        <v>476</v>
      </c>
      <c r="H490" s="275">
        <f>'прил12(ведом 21)'!M211</f>
        <v>16.5</v>
      </c>
    </row>
    <row r="491" spans="1:8" ht="35.25" customHeight="1">
      <c r="A491" s="299"/>
      <c r="B491" s="135" t="s">
        <v>897</v>
      </c>
      <c r="C491" s="734" t="s">
        <v>61</v>
      </c>
      <c r="D491" s="735" t="s">
        <v>65</v>
      </c>
      <c r="E491" s="735" t="s">
        <v>92</v>
      </c>
      <c r="F491" s="736" t="s">
        <v>64</v>
      </c>
      <c r="G491" s="121"/>
      <c r="H491" s="275">
        <f>H492</f>
        <v>1332.1</v>
      </c>
    </row>
    <row r="492" spans="1:8" ht="35.25" customHeight="1">
      <c r="A492" s="299"/>
      <c r="B492" s="135" t="s">
        <v>898</v>
      </c>
      <c r="C492" s="734" t="s">
        <v>61</v>
      </c>
      <c r="D492" s="735" t="s">
        <v>65</v>
      </c>
      <c r="E492" s="735" t="s">
        <v>92</v>
      </c>
      <c r="F492" s="736" t="s">
        <v>899</v>
      </c>
      <c r="G492" s="121"/>
      <c r="H492" s="275">
        <f>H493</f>
        <v>1332.1</v>
      </c>
    </row>
    <row r="493" spans="1:8" ht="37.5">
      <c r="A493" s="299"/>
      <c r="B493" s="135" t="s">
        <v>75</v>
      </c>
      <c r="C493" s="734" t="s">
        <v>61</v>
      </c>
      <c r="D493" s="735" t="s">
        <v>65</v>
      </c>
      <c r="E493" s="735" t="s">
        <v>92</v>
      </c>
      <c r="F493" s="736" t="s">
        <v>899</v>
      </c>
      <c r="G493" s="121" t="s">
        <v>76</v>
      </c>
      <c r="H493" s="275">
        <f>'прил12(ведом 21)'!M79</f>
        <v>1332.1</v>
      </c>
    </row>
    <row r="494" spans="1:8" ht="37.5">
      <c r="A494" s="299"/>
      <c r="B494" s="135" t="s">
        <v>396</v>
      </c>
      <c r="C494" s="734" t="s">
        <v>61</v>
      </c>
      <c r="D494" s="735" t="s">
        <v>65</v>
      </c>
      <c r="E494" s="735" t="s">
        <v>109</v>
      </c>
      <c r="F494" s="736" t="s">
        <v>64</v>
      </c>
      <c r="G494" s="145"/>
      <c r="H494" s="275">
        <f>H495+H498</f>
        <v>8461</v>
      </c>
    </row>
    <row r="495" spans="1:8" ht="37.5">
      <c r="A495" s="299"/>
      <c r="B495" s="274" t="s">
        <v>795</v>
      </c>
      <c r="C495" s="734" t="s">
        <v>61</v>
      </c>
      <c r="D495" s="735" t="s">
        <v>65</v>
      </c>
      <c r="E495" s="735" t="s">
        <v>109</v>
      </c>
      <c r="F495" s="736" t="s">
        <v>112</v>
      </c>
      <c r="G495" s="121"/>
      <c r="H495" s="275">
        <f>SUM(H496:H497)</f>
        <v>6481</v>
      </c>
    </row>
    <row r="496" spans="1:8" ht="93.75">
      <c r="A496" s="299"/>
      <c r="B496" s="135" t="s">
        <v>69</v>
      </c>
      <c r="C496" s="734" t="s">
        <v>61</v>
      </c>
      <c r="D496" s="735" t="s">
        <v>65</v>
      </c>
      <c r="E496" s="735" t="s">
        <v>109</v>
      </c>
      <c r="F496" s="736" t="s">
        <v>112</v>
      </c>
      <c r="G496" s="121" t="s">
        <v>70</v>
      </c>
      <c r="H496" s="275">
        <f>'прил12(ведом 21)'!M165</f>
        <v>4627.5</v>
      </c>
    </row>
    <row r="497" spans="1:8" ht="37.5">
      <c r="A497" s="299"/>
      <c r="B497" s="135" t="s">
        <v>75</v>
      </c>
      <c r="C497" s="734" t="s">
        <v>61</v>
      </c>
      <c r="D497" s="735" t="s">
        <v>65</v>
      </c>
      <c r="E497" s="735" t="s">
        <v>109</v>
      </c>
      <c r="F497" s="736" t="s">
        <v>112</v>
      </c>
      <c r="G497" s="121" t="s">
        <v>76</v>
      </c>
      <c r="H497" s="275">
        <f>'прил12(ведом 21)'!M166</f>
        <v>1853.5</v>
      </c>
    </row>
    <row r="498" spans="1:8" ht="37.5">
      <c r="A498" s="299"/>
      <c r="B498" s="135" t="s">
        <v>903</v>
      </c>
      <c r="C498" s="734" t="s">
        <v>61</v>
      </c>
      <c r="D498" s="735" t="s">
        <v>65</v>
      </c>
      <c r="E498" s="735" t="s">
        <v>109</v>
      </c>
      <c r="F498" s="736" t="s">
        <v>902</v>
      </c>
      <c r="G498" s="121"/>
      <c r="H498" s="275">
        <f>H499</f>
        <v>1980</v>
      </c>
    </row>
    <row r="499" spans="1:8" ht="37.5">
      <c r="A499" s="299"/>
      <c r="B499" s="135" t="s">
        <v>75</v>
      </c>
      <c r="C499" s="734" t="s">
        <v>61</v>
      </c>
      <c r="D499" s="735" t="s">
        <v>65</v>
      </c>
      <c r="E499" s="735" t="s">
        <v>109</v>
      </c>
      <c r="F499" s="736" t="s">
        <v>902</v>
      </c>
      <c r="G499" s="121" t="s">
        <v>76</v>
      </c>
      <c r="H499" s="275">
        <f>'прил12(ведом 21)'!M168</f>
        <v>1980</v>
      </c>
    </row>
    <row r="500" spans="1:8" ht="37.5">
      <c r="A500" s="299"/>
      <c r="B500" s="135" t="s">
        <v>811</v>
      </c>
      <c r="C500" s="734" t="s">
        <v>61</v>
      </c>
      <c r="D500" s="735" t="s">
        <v>65</v>
      </c>
      <c r="E500" s="735" t="s">
        <v>585</v>
      </c>
      <c r="F500" s="736" t="s">
        <v>64</v>
      </c>
      <c r="G500" s="121"/>
      <c r="H500" s="275">
        <f>H501</f>
        <v>145.6</v>
      </c>
    </row>
    <row r="501" spans="1:8" ht="37.5">
      <c r="A501" s="299"/>
      <c r="B501" s="140" t="s">
        <v>812</v>
      </c>
      <c r="C501" s="734" t="s">
        <v>61</v>
      </c>
      <c r="D501" s="735" t="s">
        <v>65</v>
      </c>
      <c r="E501" s="735" t="s">
        <v>585</v>
      </c>
      <c r="F501" s="736" t="s">
        <v>111</v>
      </c>
      <c r="G501" s="121"/>
      <c r="H501" s="275">
        <f>H502</f>
        <v>145.6</v>
      </c>
    </row>
    <row r="502" spans="1:8" ht="37.5">
      <c r="A502" s="299"/>
      <c r="B502" s="135" t="s">
        <v>75</v>
      </c>
      <c r="C502" s="734" t="s">
        <v>61</v>
      </c>
      <c r="D502" s="735" t="s">
        <v>65</v>
      </c>
      <c r="E502" s="735" t="s">
        <v>585</v>
      </c>
      <c r="F502" s="736" t="s">
        <v>111</v>
      </c>
      <c r="G502" s="121" t="s">
        <v>76</v>
      </c>
      <c r="H502" s="275">
        <f>'прил12(ведом 21)'!M82</f>
        <v>145.6</v>
      </c>
    </row>
    <row r="503" spans="1:8" ht="37.5">
      <c r="A503" s="299"/>
      <c r="B503" s="135" t="s">
        <v>799</v>
      </c>
      <c r="C503" s="734" t="s">
        <v>61</v>
      </c>
      <c r="D503" s="735" t="s">
        <v>65</v>
      </c>
      <c r="E503" s="735" t="s">
        <v>61</v>
      </c>
      <c r="F503" s="736" t="s">
        <v>64</v>
      </c>
      <c r="G503" s="121"/>
      <c r="H503" s="275">
        <f>H504</f>
        <v>124.6</v>
      </c>
    </row>
    <row r="504" spans="1:8" ht="18.75">
      <c r="A504" s="299"/>
      <c r="B504" s="140" t="s">
        <v>797</v>
      </c>
      <c r="C504" s="734" t="s">
        <v>61</v>
      </c>
      <c r="D504" s="735" t="s">
        <v>65</v>
      </c>
      <c r="E504" s="735" t="s">
        <v>61</v>
      </c>
      <c r="F504" s="736" t="s">
        <v>798</v>
      </c>
      <c r="G504" s="121"/>
      <c r="H504" s="275">
        <f>H505</f>
        <v>124.6</v>
      </c>
    </row>
    <row r="505" spans="1:8" ht="39.6" customHeight="1">
      <c r="A505" s="299"/>
      <c r="B505" s="135" t="s">
        <v>75</v>
      </c>
      <c r="C505" s="734" t="s">
        <v>61</v>
      </c>
      <c r="D505" s="735" t="s">
        <v>65</v>
      </c>
      <c r="E505" s="735" t="s">
        <v>61</v>
      </c>
      <c r="F505" s="736" t="s">
        <v>798</v>
      </c>
      <c r="G505" s="121" t="s">
        <v>76</v>
      </c>
      <c r="H505" s="275">
        <f>'прил12(ведом 21)'!M85</f>
        <v>124.6</v>
      </c>
    </row>
    <row r="506" spans="1:8" ht="20.45" customHeight="1">
      <c r="A506" s="299"/>
      <c r="B506" s="135" t="s">
        <v>464</v>
      </c>
      <c r="C506" s="734" t="s">
        <v>61</v>
      </c>
      <c r="D506" s="735" t="s">
        <v>65</v>
      </c>
      <c r="E506" s="735" t="s">
        <v>992</v>
      </c>
      <c r="F506" s="736" t="s">
        <v>64</v>
      </c>
      <c r="G506" s="121"/>
      <c r="H506" s="275">
        <f>H507</f>
        <v>95</v>
      </c>
    </row>
    <row r="507" spans="1:8" ht="38.450000000000003" customHeight="1">
      <c r="A507" s="299"/>
      <c r="B507" s="135" t="s">
        <v>402</v>
      </c>
      <c r="C507" s="734" t="s">
        <v>61</v>
      </c>
      <c r="D507" s="735" t="s">
        <v>65</v>
      </c>
      <c r="E507" s="735" t="s">
        <v>992</v>
      </c>
      <c r="F507" s="736" t="s">
        <v>401</v>
      </c>
      <c r="G507" s="121"/>
      <c r="H507" s="275">
        <f>H508</f>
        <v>95</v>
      </c>
    </row>
    <row r="508" spans="1:8" ht="18.75">
      <c r="A508" s="299"/>
      <c r="B508" s="135" t="s">
        <v>77</v>
      </c>
      <c r="C508" s="734" t="s">
        <v>61</v>
      </c>
      <c r="D508" s="735" t="s">
        <v>65</v>
      </c>
      <c r="E508" s="735" t="s">
        <v>992</v>
      </c>
      <c r="F508" s="736" t="s">
        <v>401</v>
      </c>
      <c r="G508" s="121" t="s">
        <v>78</v>
      </c>
      <c r="H508" s="275">
        <f>'прил12(ведом 21)'!M88</f>
        <v>95</v>
      </c>
    </row>
    <row r="509" spans="1:8" ht="18.75">
      <c r="A509" s="299"/>
      <c r="B509" s="274"/>
      <c r="C509" s="735"/>
      <c r="D509" s="735"/>
      <c r="E509" s="735"/>
      <c r="F509" s="736"/>
      <c r="G509" s="121"/>
      <c r="H509" s="275"/>
    </row>
    <row r="510" spans="1:8" ht="55.15" customHeight="1">
      <c r="A510" s="284">
        <v>16</v>
      </c>
      <c r="B510" s="301" t="s">
        <v>255</v>
      </c>
      <c r="C510" s="285" t="s">
        <v>256</v>
      </c>
      <c r="D510" s="285" t="s">
        <v>62</v>
      </c>
      <c r="E510" s="285" t="s">
        <v>63</v>
      </c>
      <c r="F510" s="286" t="s">
        <v>64</v>
      </c>
      <c r="G510" s="271"/>
      <c r="H510" s="272">
        <f>H511</f>
        <v>51.3</v>
      </c>
    </row>
    <row r="511" spans="1:8" ht="20.45" customHeight="1">
      <c r="A511" s="261"/>
      <c r="B511" s="274" t="s">
        <v>404</v>
      </c>
      <c r="C511" s="734" t="s">
        <v>256</v>
      </c>
      <c r="D511" s="735" t="s">
        <v>65</v>
      </c>
      <c r="E511" s="735" t="s">
        <v>63</v>
      </c>
      <c r="F511" s="736" t="s">
        <v>64</v>
      </c>
      <c r="G511" s="121"/>
      <c r="H511" s="275">
        <f>H512</f>
        <v>51.3</v>
      </c>
    </row>
    <row r="512" spans="1:8" ht="56.45" customHeight="1">
      <c r="A512" s="261"/>
      <c r="B512" s="274" t="s">
        <v>326</v>
      </c>
      <c r="C512" s="734" t="s">
        <v>256</v>
      </c>
      <c r="D512" s="735" t="s">
        <v>65</v>
      </c>
      <c r="E512" s="735" t="s">
        <v>57</v>
      </c>
      <c r="F512" s="736" t="s">
        <v>64</v>
      </c>
      <c r="G512" s="121"/>
      <c r="H512" s="275">
        <f>H513</f>
        <v>51.3</v>
      </c>
    </row>
    <row r="513" spans="1:8" ht="37.5">
      <c r="A513" s="261"/>
      <c r="B513" s="274" t="s">
        <v>257</v>
      </c>
      <c r="C513" s="734" t="s">
        <v>256</v>
      </c>
      <c r="D513" s="735" t="s">
        <v>65</v>
      </c>
      <c r="E513" s="735" t="s">
        <v>57</v>
      </c>
      <c r="F513" s="736" t="s">
        <v>320</v>
      </c>
      <c r="G513" s="121"/>
      <c r="H513" s="275">
        <f>H514</f>
        <v>51.3</v>
      </c>
    </row>
    <row r="514" spans="1:8" ht="39" customHeight="1">
      <c r="A514" s="261"/>
      <c r="B514" s="274" t="s">
        <v>97</v>
      </c>
      <c r="C514" s="734" t="s">
        <v>256</v>
      </c>
      <c r="D514" s="735" t="s">
        <v>65</v>
      </c>
      <c r="E514" s="735" t="s">
        <v>57</v>
      </c>
      <c r="F514" s="736" t="s">
        <v>320</v>
      </c>
      <c r="G514" s="121" t="s">
        <v>98</v>
      </c>
      <c r="H514" s="275">
        <f>'прил12(ведом 21)'!M438</f>
        <v>51.3</v>
      </c>
    </row>
    <row r="515" spans="1:8" ht="18.75">
      <c r="A515" s="299"/>
      <c r="B515" s="274"/>
      <c r="C515" s="735"/>
      <c r="D515" s="735"/>
      <c r="E515" s="735"/>
      <c r="F515" s="735"/>
      <c r="G515" s="121"/>
      <c r="H515" s="275"/>
    </row>
    <row r="516" spans="1:8" ht="37.5">
      <c r="A516" s="284">
        <v>17</v>
      </c>
      <c r="B516" s="338" t="s">
        <v>152</v>
      </c>
      <c r="C516" s="285" t="s">
        <v>153</v>
      </c>
      <c r="D516" s="285" t="s">
        <v>62</v>
      </c>
      <c r="E516" s="285" t="s">
        <v>63</v>
      </c>
      <c r="F516" s="285" t="s">
        <v>64</v>
      </c>
      <c r="G516" s="271"/>
      <c r="H516" s="272">
        <f>H517</f>
        <v>4258.2</v>
      </c>
    </row>
    <row r="517" spans="1:8" ht="39.6" customHeight="1">
      <c r="A517" s="261"/>
      <c r="B517" s="138" t="s">
        <v>154</v>
      </c>
      <c r="C517" s="734" t="s">
        <v>153</v>
      </c>
      <c r="D517" s="735" t="s">
        <v>65</v>
      </c>
      <c r="E517" s="735" t="s">
        <v>63</v>
      </c>
      <c r="F517" s="736" t="s">
        <v>64</v>
      </c>
      <c r="G517" s="121"/>
      <c r="H517" s="275">
        <f>H518+H522</f>
        <v>4258.2</v>
      </c>
    </row>
    <row r="518" spans="1:8" ht="37.9" customHeight="1">
      <c r="A518" s="261"/>
      <c r="B518" s="274" t="s">
        <v>67</v>
      </c>
      <c r="C518" s="734" t="s">
        <v>153</v>
      </c>
      <c r="D518" s="735" t="s">
        <v>65</v>
      </c>
      <c r="E518" s="735" t="s">
        <v>63</v>
      </c>
      <c r="F518" s="736" t="s">
        <v>68</v>
      </c>
      <c r="G518" s="121"/>
      <c r="H518" s="275">
        <f>H519+H520+H521</f>
        <v>3343.9</v>
      </c>
    </row>
    <row r="519" spans="1:8" ht="91.9" customHeight="1">
      <c r="A519" s="261"/>
      <c r="B519" s="288" t="s">
        <v>69</v>
      </c>
      <c r="C519" s="734" t="s">
        <v>153</v>
      </c>
      <c r="D519" s="735" t="s">
        <v>65</v>
      </c>
      <c r="E519" s="735" t="s">
        <v>63</v>
      </c>
      <c r="F519" s="736" t="s">
        <v>68</v>
      </c>
      <c r="G519" s="121" t="s">
        <v>70</v>
      </c>
      <c r="H519" s="275">
        <f>'прил12(ведом 21)'!M290</f>
        <v>3101.3</v>
      </c>
    </row>
    <row r="520" spans="1:8" ht="37.5">
      <c r="A520" s="261"/>
      <c r="B520" s="274" t="s">
        <v>75</v>
      </c>
      <c r="C520" s="734" t="s">
        <v>153</v>
      </c>
      <c r="D520" s="735" t="s">
        <v>65</v>
      </c>
      <c r="E520" s="735" t="s">
        <v>63</v>
      </c>
      <c r="F520" s="736" t="s">
        <v>68</v>
      </c>
      <c r="G520" s="121" t="s">
        <v>76</v>
      </c>
      <c r="H520" s="275">
        <f>'прил12(ведом 21)'!M291</f>
        <v>232.6</v>
      </c>
    </row>
    <row r="521" spans="1:8" ht="18.75">
      <c r="A521" s="261"/>
      <c r="B521" s="274" t="s">
        <v>77</v>
      </c>
      <c r="C521" s="734" t="s">
        <v>153</v>
      </c>
      <c r="D521" s="735" t="s">
        <v>65</v>
      </c>
      <c r="E521" s="735" t="s">
        <v>63</v>
      </c>
      <c r="F521" s="736" t="s">
        <v>68</v>
      </c>
      <c r="G521" s="121" t="s">
        <v>78</v>
      </c>
      <c r="H521" s="275">
        <f>'прил12(ведом 21)'!M292</f>
        <v>10</v>
      </c>
    </row>
    <row r="522" spans="1:8" ht="38.450000000000003" customHeight="1">
      <c r="A522" s="261"/>
      <c r="B522" s="274" t="s">
        <v>258</v>
      </c>
      <c r="C522" s="734" t="s">
        <v>153</v>
      </c>
      <c r="D522" s="735" t="s">
        <v>65</v>
      </c>
      <c r="E522" s="735" t="s">
        <v>63</v>
      </c>
      <c r="F522" s="736" t="s">
        <v>155</v>
      </c>
      <c r="G522" s="121"/>
      <c r="H522" s="275">
        <f>SUM(H523:H523)</f>
        <v>914.3</v>
      </c>
    </row>
    <row r="523" spans="1:8" ht="92.45" customHeight="1">
      <c r="A523" s="261"/>
      <c r="B523" s="274" t="s">
        <v>69</v>
      </c>
      <c r="C523" s="734" t="s">
        <v>153</v>
      </c>
      <c r="D523" s="735" t="s">
        <v>65</v>
      </c>
      <c r="E523" s="735" t="s">
        <v>63</v>
      </c>
      <c r="F523" s="736" t="s">
        <v>155</v>
      </c>
      <c r="G523" s="121" t="s">
        <v>70</v>
      </c>
      <c r="H523" s="275">
        <f>'прил12(ведом 21)'!M294</f>
        <v>914.3</v>
      </c>
    </row>
    <row r="524" spans="1:8" ht="112.5">
      <c r="A524" s="651">
        <v>18</v>
      </c>
      <c r="B524" s="683" t="s">
        <v>923</v>
      </c>
      <c r="C524" s="684" t="s">
        <v>919</v>
      </c>
      <c r="D524" s="685" t="s">
        <v>62</v>
      </c>
      <c r="E524" s="685" t="s">
        <v>63</v>
      </c>
      <c r="F524" s="686" t="s">
        <v>64</v>
      </c>
      <c r="G524" s="121"/>
      <c r="H524" s="652">
        <f>H525+H532</f>
        <v>11915.921999999999</v>
      </c>
    </row>
    <row r="525" spans="1:8" ht="93.75">
      <c r="A525" s="651"/>
      <c r="B525" s="139" t="s">
        <v>982</v>
      </c>
      <c r="C525" s="734" t="s">
        <v>919</v>
      </c>
      <c r="D525" s="735" t="s">
        <v>65</v>
      </c>
      <c r="E525" s="735" t="s">
        <v>63</v>
      </c>
      <c r="F525" s="736" t="s">
        <v>64</v>
      </c>
      <c r="G525" s="259"/>
      <c r="H525" s="553">
        <f>H526+H529</f>
        <v>1060</v>
      </c>
    </row>
    <row r="526" spans="1:8" ht="39" customHeight="1">
      <c r="A526" s="651"/>
      <c r="B526" s="139" t="s">
        <v>983</v>
      </c>
      <c r="C526" s="734" t="s">
        <v>919</v>
      </c>
      <c r="D526" s="735" t="s">
        <v>65</v>
      </c>
      <c r="E526" s="735" t="s">
        <v>57</v>
      </c>
      <c r="F526" s="736" t="s">
        <v>64</v>
      </c>
      <c r="G526" s="259"/>
      <c r="H526" s="553">
        <f>H527</f>
        <v>210</v>
      </c>
    </row>
    <row r="527" spans="1:8" s="181" customFormat="1" ht="37.9" customHeight="1">
      <c r="A527" s="651"/>
      <c r="B527" s="139" t="s">
        <v>993</v>
      </c>
      <c r="C527" s="734" t="s">
        <v>919</v>
      </c>
      <c r="D527" s="735" t="s">
        <v>65</v>
      </c>
      <c r="E527" s="735" t="s">
        <v>57</v>
      </c>
      <c r="F527" s="736" t="s">
        <v>994</v>
      </c>
      <c r="G527" s="121"/>
      <c r="H527" s="553">
        <f>H528</f>
        <v>210</v>
      </c>
    </row>
    <row r="528" spans="1:8" s="181" customFormat="1" ht="37.5">
      <c r="A528" s="651"/>
      <c r="B528" s="139" t="s">
        <v>141</v>
      </c>
      <c r="C528" s="734" t="s">
        <v>919</v>
      </c>
      <c r="D528" s="735" t="s">
        <v>65</v>
      </c>
      <c r="E528" s="735" t="s">
        <v>57</v>
      </c>
      <c r="F528" s="736" t="s">
        <v>994</v>
      </c>
      <c r="G528" s="121" t="s">
        <v>142</v>
      </c>
      <c r="H528" s="553">
        <f>'прил12(ведом 21)'!M188</f>
        <v>210</v>
      </c>
    </row>
    <row r="529" spans="1:8" ht="56.25">
      <c r="A529" s="651"/>
      <c r="B529" s="139" t="s">
        <v>984</v>
      </c>
      <c r="C529" s="734" t="s">
        <v>919</v>
      </c>
      <c r="D529" s="735" t="s">
        <v>65</v>
      </c>
      <c r="E529" s="735" t="s">
        <v>59</v>
      </c>
      <c r="F529" s="736" t="s">
        <v>64</v>
      </c>
      <c r="G529" s="121"/>
      <c r="H529" s="553">
        <f>H530</f>
        <v>850</v>
      </c>
    </row>
    <row r="530" spans="1:8" ht="38.450000000000003" customHeight="1">
      <c r="A530" s="651"/>
      <c r="B530" s="139" t="s">
        <v>993</v>
      </c>
      <c r="C530" s="734" t="s">
        <v>919</v>
      </c>
      <c r="D530" s="735" t="s">
        <v>65</v>
      </c>
      <c r="E530" s="735" t="s">
        <v>59</v>
      </c>
      <c r="F530" s="736" t="s">
        <v>994</v>
      </c>
      <c r="G530" s="121"/>
      <c r="H530" s="553">
        <f>H531</f>
        <v>850</v>
      </c>
    </row>
    <row r="531" spans="1:8" ht="19.899999999999999" customHeight="1">
      <c r="A531" s="651"/>
      <c r="B531" s="139" t="s">
        <v>141</v>
      </c>
      <c r="C531" s="734" t="s">
        <v>919</v>
      </c>
      <c r="D531" s="735" t="s">
        <v>65</v>
      </c>
      <c r="E531" s="735" t="s">
        <v>59</v>
      </c>
      <c r="F531" s="736" t="s">
        <v>994</v>
      </c>
      <c r="G531" s="121" t="s">
        <v>142</v>
      </c>
      <c r="H531" s="553">
        <f>'прил12(ведом 21)'!M191</f>
        <v>850</v>
      </c>
    </row>
    <row r="532" spans="1:8" ht="94.9" customHeight="1">
      <c r="A532" s="261"/>
      <c r="B532" s="135" t="s">
        <v>920</v>
      </c>
      <c r="C532" s="734" t="s">
        <v>919</v>
      </c>
      <c r="D532" s="735" t="s">
        <v>110</v>
      </c>
      <c r="E532" s="735" t="s">
        <v>63</v>
      </c>
      <c r="F532" s="736" t="s">
        <v>64</v>
      </c>
      <c r="G532" s="121"/>
      <c r="H532" s="275">
        <f>H533+H536+H539+H542+H545+H548+H551+H554+H557+H560</f>
        <v>10855.921999999999</v>
      </c>
    </row>
    <row r="533" spans="1:8" ht="75" customHeight="1">
      <c r="A533" s="261"/>
      <c r="B533" s="139" t="s">
        <v>921</v>
      </c>
      <c r="C533" s="734" t="s">
        <v>919</v>
      </c>
      <c r="D533" s="735" t="s">
        <v>110</v>
      </c>
      <c r="E533" s="735" t="s">
        <v>57</v>
      </c>
      <c r="F533" s="736" t="s">
        <v>64</v>
      </c>
      <c r="G533" s="121"/>
      <c r="H533" s="275">
        <f>H534</f>
        <v>3396.692</v>
      </c>
    </row>
    <row r="534" spans="1:8" ht="76.900000000000006" customHeight="1">
      <c r="A534" s="261"/>
      <c r="B534" s="139" t="s">
        <v>922</v>
      </c>
      <c r="C534" s="734" t="s">
        <v>919</v>
      </c>
      <c r="D534" s="735" t="s">
        <v>110</v>
      </c>
      <c r="E534" s="735" t="s">
        <v>57</v>
      </c>
      <c r="F534" s="736" t="s">
        <v>924</v>
      </c>
      <c r="G534" s="121"/>
      <c r="H534" s="275">
        <f>H535</f>
        <v>3396.692</v>
      </c>
    </row>
    <row r="535" spans="1:8" ht="19.899999999999999" customHeight="1">
      <c r="A535" s="261"/>
      <c r="B535" s="135" t="s">
        <v>144</v>
      </c>
      <c r="C535" s="734" t="s">
        <v>919</v>
      </c>
      <c r="D535" s="735" t="s">
        <v>110</v>
      </c>
      <c r="E535" s="735" t="s">
        <v>57</v>
      </c>
      <c r="F535" s="736" t="s">
        <v>924</v>
      </c>
      <c r="G535" s="121" t="s">
        <v>145</v>
      </c>
      <c r="H535" s="275">
        <f>'прил12(ведом 21)'!M218</f>
        <v>3396.692</v>
      </c>
    </row>
    <row r="536" spans="1:8" ht="58.9" customHeight="1">
      <c r="A536" s="261"/>
      <c r="B536" s="135" t="s">
        <v>978</v>
      </c>
      <c r="C536" s="734" t="s">
        <v>919</v>
      </c>
      <c r="D536" s="735" t="s">
        <v>110</v>
      </c>
      <c r="E536" s="735" t="s">
        <v>59</v>
      </c>
      <c r="F536" s="736" t="s">
        <v>64</v>
      </c>
      <c r="G536" s="121"/>
      <c r="H536" s="275">
        <f>H537</f>
        <v>1078.8879999999999</v>
      </c>
    </row>
    <row r="537" spans="1:8" ht="75">
      <c r="A537" s="261"/>
      <c r="B537" s="135" t="s">
        <v>922</v>
      </c>
      <c r="C537" s="734" t="s">
        <v>919</v>
      </c>
      <c r="D537" s="735" t="s">
        <v>110</v>
      </c>
      <c r="E537" s="735" t="s">
        <v>59</v>
      </c>
      <c r="F537" s="736" t="s">
        <v>924</v>
      </c>
      <c r="G537" s="121"/>
      <c r="H537" s="275">
        <f>H538</f>
        <v>1078.8879999999999</v>
      </c>
    </row>
    <row r="538" spans="1:8" ht="21.6" customHeight="1">
      <c r="A538" s="261"/>
      <c r="B538" s="135" t="s">
        <v>144</v>
      </c>
      <c r="C538" s="734" t="s">
        <v>919</v>
      </c>
      <c r="D538" s="735" t="s">
        <v>110</v>
      </c>
      <c r="E538" s="735" t="s">
        <v>59</v>
      </c>
      <c r="F538" s="736" t="s">
        <v>924</v>
      </c>
      <c r="G538" s="121" t="s">
        <v>145</v>
      </c>
      <c r="H538" s="137">
        <f>'прил12(ведом 21)'!M221</f>
        <v>1078.8879999999999</v>
      </c>
    </row>
    <row r="539" spans="1:8" ht="111" customHeight="1">
      <c r="A539" s="261"/>
      <c r="B539" s="135" t="s">
        <v>990</v>
      </c>
      <c r="C539" s="734" t="s">
        <v>919</v>
      </c>
      <c r="D539" s="735" t="s">
        <v>110</v>
      </c>
      <c r="E539" s="735" t="s">
        <v>84</v>
      </c>
      <c r="F539" s="736" t="s">
        <v>64</v>
      </c>
      <c r="G539" s="121"/>
      <c r="H539" s="137">
        <f>H540</f>
        <v>63</v>
      </c>
    </row>
    <row r="540" spans="1:8" ht="75.599999999999994" customHeight="1">
      <c r="A540" s="261"/>
      <c r="B540" s="135" t="s">
        <v>922</v>
      </c>
      <c r="C540" s="734" t="s">
        <v>919</v>
      </c>
      <c r="D540" s="735" t="s">
        <v>110</v>
      </c>
      <c r="E540" s="735" t="s">
        <v>84</v>
      </c>
      <c r="F540" s="736" t="s">
        <v>924</v>
      </c>
      <c r="G540" s="121"/>
      <c r="H540" s="137">
        <f>H541</f>
        <v>63</v>
      </c>
    </row>
    <row r="541" spans="1:8" ht="18.600000000000001" customHeight="1">
      <c r="A541" s="261"/>
      <c r="B541" s="135" t="s">
        <v>144</v>
      </c>
      <c r="C541" s="734" t="s">
        <v>919</v>
      </c>
      <c r="D541" s="735" t="s">
        <v>110</v>
      </c>
      <c r="E541" s="735" t="s">
        <v>84</v>
      </c>
      <c r="F541" s="736" t="s">
        <v>924</v>
      </c>
      <c r="G541" s="121" t="s">
        <v>145</v>
      </c>
      <c r="H541" s="137">
        <f>'прил12(ведом 21)'!M224</f>
        <v>63</v>
      </c>
    </row>
    <row r="542" spans="1:8" ht="94.15" customHeight="1">
      <c r="A542" s="261"/>
      <c r="B542" s="135" t="s">
        <v>991</v>
      </c>
      <c r="C542" s="734" t="s">
        <v>919</v>
      </c>
      <c r="D542" s="735" t="s">
        <v>110</v>
      </c>
      <c r="E542" s="735" t="s">
        <v>72</v>
      </c>
      <c r="F542" s="736" t="s">
        <v>64</v>
      </c>
      <c r="G542" s="121"/>
      <c r="H542" s="137">
        <f>H543</f>
        <v>202</v>
      </c>
    </row>
    <row r="543" spans="1:8" ht="72" customHeight="1">
      <c r="A543" s="261"/>
      <c r="B543" s="135" t="s">
        <v>922</v>
      </c>
      <c r="C543" s="734" t="s">
        <v>919</v>
      </c>
      <c r="D543" s="735" t="s">
        <v>110</v>
      </c>
      <c r="E543" s="735" t="s">
        <v>72</v>
      </c>
      <c r="F543" s="736" t="s">
        <v>924</v>
      </c>
      <c r="G543" s="121"/>
      <c r="H543" s="137">
        <f>H544</f>
        <v>202</v>
      </c>
    </row>
    <row r="544" spans="1:8" ht="21.6" customHeight="1">
      <c r="A544" s="261"/>
      <c r="B544" s="135" t="s">
        <v>144</v>
      </c>
      <c r="C544" s="734" t="s">
        <v>919</v>
      </c>
      <c r="D544" s="735" t="s">
        <v>110</v>
      </c>
      <c r="E544" s="735" t="s">
        <v>72</v>
      </c>
      <c r="F544" s="736" t="s">
        <v>924</v>
      </c>
      <c r="G544" s="259" t="s">
        <v>145</v>
      </c>
      <c r="H544" s="275">
        <f>'прил12(ведом 21)'!M227</f>
        <v>202</v>
      </c>
    </row>
    <row r="545" spans="1:8" ht="93" customHeight="1">
      <c r="A545" s="261"/>
      <c r="B545" s="135" t="s">
        <v>1000</v>
      </c>
      <c r="C545" s="734" t="s">
        <v>919</v>
      </c>
      <c r="D545" s="735" t="s">
        <v>110</v>
      </c>
      <c r="E545" s="735" t="s">
        <v>86</v>
      </c>
      <c r="F545" s="736" t="s">
        <v>64</v>
      </c>
      <c r="G545" s="259"/>
      <c r="H545" s="275">
        <f>H546</f>
        <v>150</v>
      </c>
    </row>
    <row r="546" spans="1:8" ht="75.599999999999994" customHeight="1">
      <c r="A546" s="261"/>
      <c r="B546" s="135" t="s">
        <v>922</v>
      </c>
      <c r="C546" s="734" t="s">
        <v>919</v>
      </c>
      <c r="D546" s="735" t="s">
        <v>110</v>
      </c>
      <c r="E546" s="735" t="s">
        <v>86</v>
      </c>
      <c r="F546" s="736" t="s">
        <v>924</v>
      </c>
      <c r="G546" s="259"/>
      <c r="H546" s="275">
        <f>H547</f>
        <v>150</v>
      </c>
    </row>
    <row r="547" spans="1:8" ht="20.45" customHeight="1">
      <c r="A547" s="261"/>
      <c r="B547" s="135" t="s">
        <v>144</v>
      </c>
      <c r="C547" s="734" t="s">
        <v>919</v>
      </c>
      <c r="D547" s="735" t="s">
        <v>110</v>
      </c>
      <c r="E547" s="735" t="s">
        <v>86</v>
      </c>
      <c r="F547" s="736" t="s">
        <v>924</v>
      </c>
      <c r="G547" s="259" t="s">
        <v>145</v>
      </c>
      <c r="H547" s="275">
        <f>'прил12(ведом 21)'!M230</f>
        <v>150</v>
      </c>
    </row>
    <row r="548" spans="1:8" ht="18.75">
      <c r="A548" s="261"/>
      <c r="B548" s="135" t="s">
        <v>1001</v>
      </c>
      <c r="C548" s="734" t="s">
        <v>919</v>
      </c>
      <c r="D548" s="735" t="s">
        <v>110</v>
      </c>
      <c r="E548" s="735" t="s">
        <v>102</v>
      </c>
      <c r="F548" s="736" t="s">
        <v>64</v>
      </c>
      <c r="G548" s="259"/>
      <c r="H548" s="275">
        <f>H549</f>
        <v>86</v>
      </c>
    </row>
    <row r="549" spans="1:8" ht="75">
      <c r="A549" s="261"/>
      <c r="B549" s="135" t="s">
        <v>1002</v>
      </c>
      <c r="C549" s="734" t="s">
        <v>919</v>
      </c>
      <c r="D549" s="735" t="s">
        <v>110</v>
      </c>
      <c r="E549" s="735" t="s">
        <v>102</v>
      </c>
      <c r="F549" s="736" t="s">
        <v>924</v>
      </c>
      <c r="G549" s="259"/>
      <c r="H549" s="275">
        <f>H550</f>
        <v>86</v>
      </c>
    </row>
    <row r="550" spans="1:8" ht="18.75">
      <c r="A550" s="261"/>
      <c r="B550" s="135" t="s">
        <v>144</v>
      </c>
      <c r="C550" s="734" t="s">
        <v>919</v>
      </c>
      <c r="D550" s="735" t="s">
        <v>110</v>
      </c>
      <c r="E550" s="735" t="s">
        <v>102</v>
      </c>
      <c r="F550" s="736" t="s">
        <v>924</v>
      </c>
      <c r="G550" s="259" t="s">
        <v>145</v>
      </c>
      <c r="H550" s="275">
        <f>'прил12(ведом 21)'!M233</f>
        <v>86</v>
      </c>
    </row>
    <row r="551" spans="1:8" ht="112.5">
      <c r="A551" s="261"/>
      <c r="B551" s="135" t="s">
        <v>1015</v>
      </c>
      <c r="C551" s="734" t="s">
        <v>919</v>
      </c>
      <c r="D551" s="735" t="s">
        <v>110</v>
      </c>
      <c r="E551" s="735" t="s">
        <v>246</v>
      </c>
      <c r="F551" s="736" t="s">
        <v>64</v>
      </c>
      <c r="G551" s="259"/>
      <c r="H551" s="275">
        <f>H552</f>
        <v>2569.998</v>
      </c>
    </row>
    <row r="552" spans="1:8" ht="75">
      <c r="A552" s="261"/>
      <c r="B552" s="135" t="s">
        <v>1002</v>
      </c>
      <c r="C552" s="734" t="s">
        <v>919</v>
      </c>
      <c r="D552" s="735" t="s">
        <v>110</v>
      </c>
      <c r="E552" s="735" t="s">
        <v>246</v>
      </c>
      <c r="F552" s="736" t="s">
        <v>924</v>
      </c>
      <c r="G552" s="259"/>
      <c r="H552" s="275">
        <f>H553</f>
        <v>2569.998</v>
      </c>
    </row>
    <row r="553" spans="1:8" ht="18.75">
      <c r="A553" s="261"/>
      <c r="B553" s="135" t="s">
        <v>144</v>
      </c>
      <c r="C553" s="734" t="s">
        <v>919</v>
      </c>
      <c r="D553" s="735" t="s">
        <v>110</v>
      </c>
      <c r="E553" s="735" t="s">
        <v>246</v>
      </c>
      <c r="F553" s="736" t="s">
        <v>924</v>
      </c>
      <c r="G553" s="121" t="s">
        <v>145</v>
      </c>
      <c r="H553" s="275">
        <f>'прил12(ведом 21)'!M236</f>
        <v>2569.998</v>
      </c>
    </row>
    <row r="554" spans="1:8" ht="37.5">
      <c r="A554" s="261"/>
      <c r="B554" s="332" t="s">
        <v>1016</v>
      </c>
      <c r="C554" s="308" t="s">
        <v>919</v>
      </c>
      <c r="D554" s="279" t="s">
        <v>110</v>
      </c>
      <c r="E554" s="279" t="s">
        <v>248</v>
      </c>
      <c r="F554" s="280" t="s">
        <v>64</v>
      </c>
      <c r="G554" s="281"/>
      <c r="H554" s="275">
        <f>H555</f>
        <v>2754</v>
      </c>
    </row>
    <row r="555" spans="1:8" ht="37.5">
      <c r="A555" s="261"/>
      <c r="B555" s="332" t="s">
        <v>749</v>
      </c>
      <c r="C555" s="308" t="s">
        <v>919</v>
      </c>
      <c r="D555" s="279" t="s">
        <v>110</v>
      </c>
      <c r="E555" s="279" t="s">
        <v>248</v>
      </c>
      <c r="F555" s="280" t="s">
        <v>90</v>
      </c>
      <c r="G555" s="370"/>
      <c r="H555" s="275">
        <f>H556</f>
        <v>2754</v>
      </c>
    </row>
    <row r="556" spans="1:8" ht="18.75">
      <c r="A556" s="261"/>
      <c r="B556" s="332" t="s">
        <v>77</v>
      </c>
      <c r="C556" s="308" t="s">
        <v>919</v>
      </c>
      <c r="D556" s="279" t="s">
        <v>110</v>
      </c>
      <c r="E556" s="279" t="s">
        <v>248</v>
      </c>
      <c r="F556" s="280" t="s">
        <v>90</v>
      </c>
      <c r="G556" s="281" t="s">
        <v>78</v>
      </c>
      <c r="H556" s="275">
        <f>'прил12(ведом 21)'!M350</f>
        <v>2754</v>
      </c>
    </row>
    <row r="557" spans="1:8" ht="75">
      <c r="A557" s="261"/>
      <c r="B557" s="709" t="s">
        <v>1030</v>
      </c>
      <c r="C557" s="737" t="s">
        <v>919</v>
      </c>
      <c r="D557" s="738" t="s">
        <v>110</v>
      </c>
      <c r="E557" s="738" t="s">
        <v>100</v>
      </c>
      <c r="F557" s="739" t="s">
        <v>64</v>
      </c>
      <c r="G557" s="415"/>
      <c r="H557" s="275">
        <f>H558</f>
        <v>60</v>
      </c>
    </row>
    <row r="558" spans="1:8" ht="75">
      <c r="A558" s="261"/>
      <c r="B558" s="709" t="s">
        <v>1002</v>
      </c>
      <c r="C558" s="737" t="s">
        <v>919</v>
      </c>
      <c r="D558" s="738" t="s">
        <v>110</v>
      </c>
      <c r="E558" s="738" t="s">
        <v>100</v>
      </c>
      <c r="F558" s="739" t="s">
        <v>924</v>
      </c>
      <c r="G558" s="527"/>
      <c r="H558" s="275">
        <f>H559</f>
        <v>60</v>
      </c>
    </row>
    <row r="559" spans="1:8" ht="18.75">
      <c r="A559" s="261"/>
      <c r="B559" s="709" t="s">
        <v>144</v>
      </c>
      <c r="C559" s="737" t="s">
        <v>919</v>
      </c>
      <c r="D559" s="738" t="s">
        <v>110</v>
      </c>
      <c r="E559" s="738" t="s">
        <v>100</v>
      </c>
      <c r="F559" s="739" t="s">
        <v>924</v>
      </c>
      <c r="G559" s="527" t="s">
        <v>145</v>
      </c>
      <c r="H559" s="275">
        <f>'прил12(ведом 21)'!M239</f>
        <v>60</v>
      </c>
    </row>
    <row r="560" spans="1:8" ht="112.5">
      <c r="A560" s="261"/>
      <c r="B560" s="709" t="s">
        <v>1032</v>
      </c>
      <c r="C560" s="810" t="s">
        <v>919</v>
      </c>
      <c r="D560" s="810" t="s">
        <v>110</v>
      </c>
      <c r="E560" s="810" t="s">
        <v>125</v>
      </c>
      <c r="F560" s="811" t="s">
        <v>64</v>
      </c>
      <c r="G560" s="527"/>
      <c r="H560" s="275">
        <f>H561</f>
        <v>495.34399999999999</v>
      </c>
    </row>
    <row r="561" spans="1:8" ht="75">
      <c r="A561" s="261"/>
      <c r="B561" s="709" t="s">
        <v>1002</v>
      </c>
      <c r="C561" s="810" t="s">
        <v>919</v>
      </c>
      <c r="D561" s="810" t="s">
        <v>110</v>
      </c>
      <c r="E561" s="810" t="s">
        <v>125</v>
      </c>
      <c r="F561" s="811" t="s">
        <v>924</v>
      </c>
      <c r="G561" s="527"/>
      <c r="H561" s="275">
        <f>H562</f>
        <v>495.34399999999999</v>
      </c>
    </row>
    <row r="562" spans="1:8" ht="18.75">
      <c r="A562" s="261"/>
      <c r="B562" s="709" t="s">
        <v>144</v>
      </c>
      <c r="C562" s="810" t="s">
        <v>919</v>
      </c>
      <c r="D562" s="810" t="s">
        <v>110</v>
      </c>
      <c r="E562" s="810" t="s">
        <v>125</v>
      </c>
      <c r="F562" s="811" t="s">
        <v>924</v>
      </c>
      <c r="G562" s="415" t="s">
        <v>145</v>
      </c>
      <c r="H562" s="275">
        <f>'прил12(ведом 21)'!M242</f>
        <v>495.34399999999999</v>
      </c>
    </row>
    <row r="563" spans="1:8" ht="18.75">
      <c r="A563" s="261"/>
      <c r="B563" s="135"/>
      <c r="C563" s="729"/>
      <c r="D563" s="729"/>
      <c r="E563" s="729"/>
      <c r="F563" s="729"/>
      <c r="G563" s="259"/>
      <c r="H563" s="275"/>
    </row>
    <row r="564" spans="1:8" s="273" customFormat="1" ht="44.25" customHeight="1">
      <c r="A564" s="284">
        <v>19</v>
      </c>
      <c r="B564" s="615" t="s">
        <v>755</v>
      </c>
      <c r="C564" s="285" t="s">
        <v>89</v>
      </c>
      <c r="D564" s="285" t="s">
        <v>62</v>
      </c>
      <c r="E564" s="285" t="s">
        <v>63</v>
      </c>
      <c r="F564" s="285" t="s">
        <v>64</v>
      </c>
      <c r="G564" s="271"/>
      <c r="H564" s="272">
        <f>H565</f>
        <v>12037.878000000001</v>
      </c>
    </row>
    <row r="565" spans="1:8" ht="18.600000000000001" customHeight="1">
      <c r="A565" s="261"/>
      <c r="B565" s="288" t="s">
        <v>751</v>
      </c>
      <c r="C565" s="734" t="s">
        <v>89</v>
      </c>
      <c r="D565" s="735" t="s">
        <v>65</v>
      </c>
      <c r="E565" s="735" t="s">
        <v>63</v>
      </c>
      <c r="F565" s="736" t="s">
        <v>64</v>
      </c>
      <c r="G565" s="121"/>
      <c r="H565" s="275">
        <f>H566+H568</f>
        <v>12037.878000000001</v>
      </c>
    </row>
    <row r="566" spans="1:8" ht="37.5">
      <c r="A566" s="261"/>
      <c r="B566" s="274" t="s">
        <v>749</v>
      </c>
      <c r="C566" s="734" t="s">
        <v>89</v>
      </c>
      <c r="D566" s="735" t="s">
        <v>65</v>
      </c>
      <c r="E566" s="735" t="s">
        <v>63</v>
      </c>
      <c r="F566" s="736" t="s">
        <v>90</v>
      </c>
      <c r="G566" s="121"/>
      <c r="H566" s="275">
        <f>H567</f>
        <v>5572.3780000000006</v>
      </c>
    </row>
    <row r="567" spans="1:8" ht="18.75">
      <c r="A567" s="261"/>
      <c r="B567" s="274" t="s">
        <v>77</v>
      </c>
      <c r="C567" s="734" t="s">
        <v>89</v>
      </c>
      <c r="D567" s="735" t="s">
        <v>65</v>
      </c>
      <c r="E567" s="735" t="s">
        <v>63</v>
      </c>
      <c r="F567" s="736" t="s">
        <v>90</v>
      </c>
      <c r="G567" s="121" t="s">
        <v>78</v>
      </c>
      <c r="H567" s="275">
        <f>'прил12(ведом 21)'!M56</f>
        <v>5572.3780000000006</v>
      </c>
    </row>
    <row r="568" spans="1:8" s="779" customFormat="1" ht="37.5">
      <c r="A568" s="773"/>
      <c r="B568" s="774" t="s">
        <v>1028</v>
      </c>
      <c r="C568" s="775" t="s">
        <v>89</v>
      </c>
      <c r="D568" s="776" t="s">
        <v>65</v>
      </c>
      <c r="E568" s="776" t="s">
        <v>63</v>
      </c>
      <c r="F568" s="777" t="s">
        <v>1029</v>
      </c>
      <c r="G568" s="778"/>
      <c r="H568" s="716">
        <f>H569</f>
        <v>6465.5</v>
      </c>
    </row>
    <row r="569" spans="1:8" s="779" customFormat="1" ht="18.75">
      <c r="A569" s="773"/>
      <c r="B569" s="774" t="s">
        <v>144</v>
      </c>
      <c r="C569" s="775" t="s">
        <v>89</v>
      </c>
      <c r="D569" s="776" t="s">
        <v>65</v>
      </c>
      <c r="E569" s="776" t="s">
        <v>63</v>
      </c>
      <c r="F569" s="777" t="s">
        <v>1029</v>
      </c>
      <c r="G569" s="778">
        <v>500</v>
      </c>
      <c r="H569" s="716">
        <f>'прил12(ведом 21)'!M246</f>
        <v>6465.5</v>
      </c>
    </row>
    <row r="570" spans="1:8" ht="18.75">
      <c r="A570" s="339"/>
      <c r="B570" s="340"/>
      <c r="C570" s="341"/>
      <c r="D570" s="341"/>
      <c r="E570" s="341"/>
      <c r="F570" s="341"/>
      <c r="G570" s="341"/>
      <c r="H570" s="342"/>
    </row>
    <row r="571" spans="1:8" ht="18.75">
      <c r="A571" s="252"/>
      <c r="B571" s="253"/>
      <c r="C571" s="254"/>
      <c r="D571" s="254"/>
      <c r="E571" s="254"/>
      <c r="F571" s="254"/>
      <c r="G571" s="343"/>
    </row>
    <row r="572" spans="1:8" ht="18.75">
      <c r="A572" s="344" t="s">
        <v>467</v>
      </c>
      <c r="B572" s="253"/>
      <c r="C572" s="254"/>
      <c r="D572" s="254"/>
      <c r="E572" s="254"/>
      <c r="F572" s="254"/>
      <c r="G572" s="343"/>
    </row>
    <row r="573" spans="1:8" ht="18.75">
      <c r="A573" s="344" t="s">
        <v>468</v>
      </c>
      <c r="B573" s="253"/>
      <c r="C573" s="254"/>
      <c r="D573" s="254"/>
      <c r="E573" s="254"/>
      <c r="F573" s="254"/>
      <c r="G573" s="343"/>
    </row>
    <row r="574" spans="1:8" ht="18.75">
      <c r="A574" s="345" t="s">
        <v>469</v>
      </c>
      <c r="B574" s="253"/>
      <c r="C574" s="250"/>
      <c r="D574" s="254"/>
      <c r="E574" s="254"/>
      <c r="F574" s="254"/>
      <c r="G574" s="250"/>
      <c r="H574" s="346" t="s">
        <v>494</v>
      </c>
    </row>
    <row r="575" spans="1:8">
      <c r="A575" s="252"/>
      <c r="B575" s="253"/>
      <c r="C575" s="254"/>
      <c r="D575" s="254"/>
      <c r="E575" s="254"/>
      <c r="F575" s="254"/>
    </row>
    <row r="576" spans="1:8">
      <c r="A576" s="252"/>
      <c r="B576" s="253"/>
      <c r="C576" s="254"/>
      <c r="D576" s="254"/>
      <c r="E576" s="254"/>
      <c r="F576" s="254"/>
    </row>
    <row r="577" spans="1:8">
      <c r="A577" s="252"/>
      <c r="B577" s="253"/>
      <c r="C577" s="254"/>
      <c r="D577" s="254"/>
      <c r="E577" s="254"/>
      <c r="F577" s="254"/>
    </row>
    <row r="578" spans="1:8" ht="18.75">
      <c r="A578" s="252"/>
      <c r="B578" s="253"/>
      <c r="C578" s="254"/>
      <c r="D578" s="254"/>
      <c r="E578" s="254"/>
      <c r="F578" s="254"/>
      <c r="G578" s="343"/>
    </row>
    <row r="579" spans="1:8">
      <c r="B579" s="246" t="s">
        <v>259</v>
      </c>
      <c r="H579" s="251">
        <f>H14+H141+H198+H233+H258+H294+H316+H354+H405+H416+H422+H432+H440+H446+H392+H510</f>
        <v>1653631.9749400006</v>
      </c>
    </row>
    <row r="581" spans="1:8">
      <c r="H581" s="251">
        <f>(H579/H13)*100</f>
        <v>98.322555455775472</v>
      </c>
    </row>
    <row r="583" spans="1:8">
      <c r="B583" s="246" t="s">
        <v>260</v>
      </c>
      <c r="H583" s="251">
        <f>H516+H564</f>
        <v>16296.078000000001</v>
      </c>
    </row>
    <row r="584" spans="1:8">
      <c r="H584" s="251">
        <f>(H583/H585)*100</f>
        <v>0.97585509575157192</v>
      </c>
    </row>
    <row r="585" spans="1:8">
      <c r="H585" s="251">
        <f>H579+H583</f>
        <v>1669928.0529400005</v>
      </c>
    </row>
  </sheetData>
  <autoFilter ref="A4:J585"/>
  <mergeCells count="3">
    <mergeCell ref="A8:H8"/>
    <mergeCell ref="C11:F11"/>
    <mergeCell ref="C12:F12"/>
  </mergeCells>
  <printOptions horizontalCentered="1"/>
  <pageMargins left="1.1811023622047245" right="0.39370078740157483" top="0.78740157480314965" bottom="0.78740157480314965" header="0" footer="0"/>
  <pageSetup paperSize="9" scale="78" fitToHeight="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L430"/>
  <sheetViews>
    <sheetView zoomScale="80" zoomScaleNormal="80" zoomScaleSheetLayoutView="40" workbookViewId="0">
      <pane ySplit="5" topLeftCell="A6" activePane="bottomLeft" state="frozen"/>
      <selection activeCell="E16" sqref="E16"/>
      <selection pane="bottomLeft" activeCell="I2" sqref="I2"/>
    </sheetView>
  </sheetViews>
  <sheetFormatPr defaultColWidth="9.140625" defaultRowHeight="15.75"/>
  <cols>
    <col min="1" max="1" width="4.5703125" style="245" customWidth="1"/>
    <col min="2" max="2" width="62.42578125" style="246" customWidth="1"/>
    <col min="3" max="3" width="3.140625" style="247" customWidth="1"/>
    <col min="4" max="4" width="2.28515625" style="247" customWidth="1"/>
    <col min="5" max="5" width="3" style="247" customWidth="1"/>
    <col min="6" max="6" width="8" style="247" customWidth="1"/>
    <col min="7" max="7" width="5.5703125" style="248" customWidth="1"/>
    <col min="8" max="8" width="14.140625" style="394" customWidth="1"/>
    <col min="9" max="9" width="13.28515625" style="250" customWidth="1"/>
    <col min="10" max="10" width="17.7109375" style="250" customWidth="1"/>
    <col min="11" max="11" width="17.28515625" style="250" customWidth="1"/>
    <col min="12" max="12" width="15.5703125" style="250" customWidth="1"/>
    <col min="13" max="16384" width="9.140625" style="250"/>
  </cols>
  <sheetData>
    <row r="1" spans="1:12" s="165" customFormat="1" ht="18.75">
      <c r="I1" s="172" t="s">
        <v>470</v>
      </c>
    </row>
    <row r="2" spans="1:12" s="165" customFormat="1" ht="18.75">
      <c r="I2" s="172" t="s">
        <v>1039</v>
      </c>
    </row>
    <row r="4" spans="1:12" ht="18.75">
      <c r="I4" s="249" t="s">
        <v>569</v>
      </c>
    </row>
    <row r="5" spans="1:12" ht="18.75">
      <c r="I5" s="455" t="s">
        <v>914</v>
      </c>
    </row>
    <row r="8" spans="1:12" ht="76.5" customHeight="1">
      <c r="A8" s="856" t="s">
        <v>772</v>
      </c>
      <c r="B8" s="856"/>
      <c r="C8" s="856"/>
      <c r="D8" s="856"/>
      <c r="E8" s="856"/>
      <c r="F8" s="856"/>
      <c r="G8" s="856"/>
      <c r="H8" s="856"/>
      <c r="I8" s="856"/>
    </row>
    <row r="9" spans="1:12">
      <c r="A9" s="250"/>
      <c r="B9" s="250"/>
      <c r="C9" s="245"/>
      <c r="D9" s="245"/>
      <c r="E9" s="245"/>
      <c r="F9" s="245"/>
      <c r="G9" s="251"/>
    </row>
    <row r="10" spans="1:12" ht="18.75">
      <c r="A10" s="252"/>
      <c r="B10" s="253"/>
      <c r="C10" s="254"/>
      <c r="D10" s="254"/>
      <c r="E10" s="254"/>
      <c r="F10" s="254"/>
      <c r="G10" s="250"/>
      <c r="I10" s="444" t="s">
        <v>42</v>
      </c>
    </row>
    <row r="11" spans="1:12" ht="18.75">
      <c r="A11" s="864" t="s">
        <v>43</v>
      </c>
      <c r="B11" s="865" t="s">
        <v>44</v>
      </c>
      <c r="C11" s="865" t="s">
        <v>48</v>
      </c>
      <c r="D11" s="865"/>
      <c r="E11" s="865"/>
      <c r="F11" s="865"/>
      <c r="G11" s="865" t="s">
        <v>49</v>
      </c>
      <c r="H11" s="863" t="s">
        <v>33</v>
      </c>
      <c r="I11" s="863"/>
    </row>
    <row r="12" spans="1:12" ht="40.9" customHeight="1">
      <c r="A12" s="864"/>
      <c r="B12" s="865"/>
      <c r="C12" s="865"/>
      <c r="D12" s="865"/>
      <c r="E12" s="865"/>
      <c r="F12" s="865"/>
      <c r="G12" s="865"/>
      <c r="H12" s="445" t="s">
        <v>580</v>
      </c>
      <c r="I12" s="445" t="s">
        <v>773</v>
      </c>
    </row>
    <row r="13" spans="1:12" ht="18.75">
      <c r="A13" s="257">
        <v>1</v>
      </c>
      <c r="B13" s="258">
        <v>2</v>
      </c>
      <c r="C13" s="860" t="s">
        <v>50</v>
      </c>
      <c r="D13" s="861"/>
      <c r="E13" s="861"/>
      <c r="F13" s="862"/>
      <c r="G13" s="259" t="s">
        <v>51</v>
      </c>
      <c r="H13" s="260">
        <v>5</v>
      </c>
      <c r="I13" s="260">
        <v>6</v>
      </c>
    </row>
    <row r="14" spans="1:12" ht="18.75">
      <c r="A14" s="261"/>
      <c r="B14" s="262" t="s">
        <v>224</v>
      </c>
      <c r="C14" s="263"/>
      <c r="D14" s="263"/>
      <c r="E14" s="263"/>
      <c r="F14" s="263"/>
      <c r="G14" s="264"/>
      <c r="H14" s="265">
        <f>H15+H99+H139+H166+H189+H215+H232+H256+H292+H304+H313+H319+H329+H343+H397+H404+H409+H337</f>
        <v>1571867.3</v>
      </c>
      <c r="I14" s="265">
        <f>I15+I99+I139+I166+I189+I215+I232+I256+I292+I304+I313+I319+I329+I343+I397+I404+I409+I337</f>
        <v>1512134.5</v>
      </c>
      <c r="J14" s="446"/>
      <c r="K14" s="446">
        <f>H14-'прил13(ведом 22-23)'!M15</f>
        <v>0</v>
      </c>
      <c r="L14" s="446">
        <f>I14-'прил13(ведом 22-23)'!N15</f>
        <v>0</v>
      </c>
    </row>
    <row r="15" spans="1:12" s="273" customFormat="1" ht="56.25">
      <c r="A15" s="267">
        <v>1</v>
      </c>
      <c r="B15" s="268" t="s">
        <v>227</v>
      </c>
      <c r="C15" s="269" t="s">
        <v>59</v>
      </c>
      <c r="D15" s="269" t="s">
        <v>62</v>
      </c>
      <c r="E15" s="269" t="s">
        <v>63</v>
      </c>
      <c r="F15" s="270" t="s">
        <v>64</v>
      </c>
      <c r="G15" s="271"/>
      <c r="H15" s="272">
        <f>H16+H56+H69</f>
        <v>1111901.3999999999</v>
      </c>
      <c r="I15" s="272">
        <f>I16+I56+I69</f>
        <v>1007074.2</v>
      </c>
    </row>
    <row r="16" spans="1:12" ht="24" customHeight="1">
      <c r="A16" s="261"/>
      <c r="B16" s="274" t="s">
        <v>228</v>
      </c>
      <c r="C16" s="729" t="s">
        <v>59</v>
      </c>
      <c r="D16" s="729" t="s">
        <v>65</v>
      </c>
      <c r="E16" s="729" t="s">
        <v>63</v>
      </c>
      <c r="F16" s="730" t="s">
        <v>64</v>
      </c>
      <c r="G16" s="259"/>
      <c r="H16" s="275">
        <f>H17+H29</f>
        <v>984531.5</v>
      </c>
      <c r="I16" s="275">
        <f>I17+I29</f>
        <v>879606.29999999993</v>
      </c>
    </row>
    <row r="17" spans="1:9" ht="18.75">
      <c r="A17" s="261"/>
      <c r="B17" s="274" t="s">
        <v>307</v>
      </c>
      <c r="C17" s="734" t="s">
        <v>59</v>
      </c>
      <c r="D17" s="735" t="s">
        <v>65</v>
      </c>
      <c r="E17" s="735" t="s">
        <v>57</v>
      </c>
      <c r="F17" s="736" t="s">
        <v>64</v>
      </c>
      <c r="G17" s="259"/>
      <c r="H17" s="275">
        <f>H20+H23+H25+H18+H27</f>
        <v>416538.2</v>
      </c>
      <c r="I17" s="275">
        <f>I20+I23+I25+I18+I27</f>
        <v>317984.90000000002</v>
      </c>
    </row>
    <row r="18" spans="1:9" ht="37.5">
      <c r="A18" s="261"/>
      <c r="B18" s="274" t="s">
        <v>795</v>
      </c>
      <c r="C18" s="734" t="s">
        <v>59</v>
      </c>
      <c r="D18" s="735" t="s">
        <v>65</v>
      </c>
      <c r="E18" s="735" t="s">
        <v>57</v>
      </c>
      <c r="F18" s="736" t="s">
        <v>112</v>
      </c>
      <c r="G18" s="121"/>
      <c r="H18" s="275">
        <f>H19</f>
        <v>97128.3</v>
      </c>
      <c r="I18" s="275">
        <f>I19</f>
        <v>96714.1</v>
      </c>
    </row>
    <row r="19" spans="1:9" ht="42" customHeight="1">
      <c r="A19" s="261"/>
      <c r="B19" s="274" t="s">
        <v>97</v>
      </c>
      <c r="C19" s="734" t="s">
        <v>59</v>
      </c>
      <c r="D19" s="735" t="s">
        <v>65</v>
      </c>
      <c r="E19" s="735" t="s">
        <v>57</v>
      </c>
      <c r="F19" s="736" t="s">
        <v>112</v>
      </c>
      <c r="G19" s="121" t="s">
        <v>98</v>
      </c>
      <c r="H19" s="275">
        <f>'прил13(ведом 22-23)'!M299</f>
        <v>97128.3</v>
      </c>
      <c r="I19" s="275">
        <f>'прил13(ведом 22-23)'!N299</f>
        <v>96714.1</v>
      </c>
    </row>
    <row r="20" spans="1:9" ht="117.75" customHeight="1">
      <c r="A20" s="261"/>
      <c r="B20" s="274" t="s">
        <v>323</v>
      </c>
      <c r="C20" s="734" t="s">
        <v>59</v>
      </c>
      <c r="D20" s="735" t="s">
        <v>65</v>
      </c>
      <c r="E20" s="735" t="s">
        <v>57</v>
      </c>
      <c r="F20" s="736" t="s">
        <v>324</v>
      </c>
      <c r="G20" s="121"/>
      <c r="H20" s="275">
        <f>SUM(H21:H22)</f>
        <v>8034.2</v>
      </c>
      <c r="I20" s="275">
        <f>SUM(I21:I22)</f>
        <v>8034.2</v>
      </c>
    </row>
    <row r="21" spans="1:9" ht="37.5">
      <c r="A21" s="261"/>
      <c r="B21" s="274" t="s">
        <v>75</v>
      </c>
      <c r="C21" s="734" t="s">
        <v>59</v>
      </c>
      <c r="D21" s="735" t="s">
        <v>65</v>
      </c>
      <c r="E21" s="735" t="s">
        <v>57</v>
      </c>
      <c r="F21" s="736" t="s">
        <v>324</v>
      </c>
      <c r="G21" s="121" t="s">
        <v>76</v>
      </c>
      <c r="H21" s="275">
        <f>'прил13(ведом 22-23)'!M397</f>
        <v>118.7</v>
      </c>
      <c r="I21" s="275">
        <f>'прил13(ведом 22-23)'!N397</f>
        <v>118.7</v>
      </c>
    </row>
    <row r="22" spans="1:9" ht="24" customHeight="1">
      <c r="A22" s="261"/>
      <c r="B22" s="276" t="s">
        <v>141</v>
      </c>
      <c r="C22" s="734" t="s">
        <v>59</v>
      </c>
      <c r="D22" s="735" t="s">
        <v>65</v>
      </c>
      <c r="E22" s="735" t="s">
        <v>57</v>
      </c>
      <c r="F22" s="736" t="s">
        <v>324</v>
      </c>
      <c r="G22" s="121" t="s">
        <v>142</v>
      </c>
      <c r="H22" s="275">
        <f>'прил13(ведом 22-23)'!M398</f>
        <v>7915.5</v>
      </c>
      <c r="I22" s="275">
        <f>'прил13(ведом 22-23)'!N398</f>
        <v>7915.5</v>
      </c>
    </row>
    <row r="23" spans="1:9" ht="18.75">
      <c r="A23" s="261"/>
      <c r="B23" s="274" t="s">
        <v>308</v>
      </c>
      <c r="C23" s="734" t="s">
        <v>59</v>
      </c>
      <c r="D23" s="735" t="s">
        <v>65</v>
      </c>
      <c r="E23" s="735" t="s">
        <v>57</v>
      </c>
      <c r="F23" s="736" t="s">
        <v>309</v>
      </c>
      <c r="G23" s="121"/>
      <c r="H23" s="275">
        <f>H24</f>
        <v>520.70000000000005</v>
      </c>
      <c r="I23" s="275">
        <f>I24</f>
        <v>538.79999999999995</v>
      </c>
    </row>
    <row r="24" spans="1:9" ht="42.75" customHeight="1">
      <c r="A24" s="261"/>
      <c r="B24" s="274" t="s">
        <v>97</v>
      </c>
      <c r="C24" s="734" t="s">
        <v>59</v>
      </c>
      <c r="D24" s="735" t="s">
        <v>65</v>
      </c>
      <c r="E24" s="735" t="s">
        <v>57</v>
      </c>
      <c r="F24" s="736" t="s">
        <v>309</v>
      </c>
      <c r="G24" s="121" t="s">
        <v>98</v>
      </c>
      <c r="H24" s="275">
        <f>'прил13(ведом 22-23)'!M301</f>
        <v>520.70000000000005</v>
      </c>
      <c r="I24" s="275">
        <f>'прил13(ведом 22-23)'!N301</f>
        <v>538.79999999999995</v>
      </c>
    </row>
    <row r="25" spans="1:9" ht="97.5" customHeight="1">
      <c r="A25" s="261"/>
      <c r="B25" s="274" t="s">
        <v>415</v>
      </c>
      <c r="C25" s="734" t="s">
        <v>59</v>
      </c>
      <c r="D25" s="735" t="s">
        <v>65</v>
      </c>
      <c r="E25" s="735" t="s">
        <v>57</v>
      </c>
      <c r="F25" s="736" t="s">
        <v>310</v>
      </c>
      <c r="G25" s="121"/>
      <c r="H25" s="275">
        <f>H26</f>
        <v>212697.8</v>
      </c>
      <c r="I25" s="275">
        <f>I26</f>
        <v>212697.8</v>
      </c>
    </row>
    <row r="26" spans="1:9" ht="42.75" customHeight="1">
      <c r="A26" s="261"/>
      <c r="B26" s="276" t="s">
        <v>97</v>
      </c>
      <c r="C26" s="734" t="s">
        <v>59</v>
      </c>
      <c r="D26" s="735" t="s">
        <v>65</v>
      </c>
      <c r="E26" s="735" t="s">
        <v>57</v>
      </c>
      <c r="F26" s="736" t="s">
        <v>310</v>
      </c>
      <c r="G26" s="121" t="s">
        <v>98</v>
      </c>
      <c r="H26" s="275">
        <f>'прил13(ведом 22-23)'!M303</f>
        <v>212697.8</v>
      </c>
      <c r="I26" s="275">
        <f>'прил13(ведом 22-23)'!N303</f>
        <v>212697.8</v>
      </c>
    </row>
    <row r="27" spans="1:9" ht="112.5">
      <c r="A27" s="261"/>
      <c r="B27" s="277" t="s">
        <v>1025</v>
      </c>
      <c r="C27" s="734" t="s">
        <v>59</v>
      </c>
      <c r="D27" s="735" t="s">
        <v>65</v>
      </c>
      <c r="E27" s="735" t="s">
        <v>57</v>
      </c>
      <c r="F27" s="736" t="s">
        <v>1022</v>
      </c>
      <c r="G27" s="121"/>
      <c r="H27" s="275">
        <f>H28</f>
        <v>98157.2</v>
      </c>
      <c r="I27" s="275">
        <f>I28</f>
        <v>0</v>
      </c>
    </row>
    <row r="28" spans="1:9" ht="42.75" customHeight="1">
      <c r="A28" s="261"/>
      <c r="B28" s="277" t="s">
        <v>225</v>
      </c>
      <c r="C28" s="734" t="s">
        <v>59</v>
      </c>
      <c r="D28" s="735" t="s">
        <v>65</v>
      </c>
      <c r="E28" s="735" t="s">
        <v>57</v>
      </c>
      <c r="F28" s="736" t="s">
        <v>1022</v>
      </c>
      <c r="G28" s="121" t="s">
        <v>226</v>
      </c>
      <c r="H28" s="275">
        <f>'прил13(ведом 22-23)'!M262</f>
        <v>98157.2</v>
      </c>
      <c r="I28" s="275">
        <f>'прил13(ведом 22-23)'!N262</f>
        <v>0</v>
      </c>
    </row>
    <row r="29" spans="1:9" ht="18.75">
      <c r="A29" s="261"/>
      <c r="B29" s="274" t="s">
        <v>312</v>
      </c>
      <c r="C29" s="734" t="s">
        <v>59</v>
      </c>
      <c r="D29" s="735" t="s">
        <v>65</v>
      </c>
      <c r="E29" s="735" t="s">
        <v>59</v>
      </c>
      <c r="F29" s="736" t="s">
        <v>64</v>
      </c>
      <c r="G29" s="121"/>
      <c r="H29" s="275">
        <f>H42+H46+H50+H30+H35+H53+H39</f>
        <v>567993.29999999993</v>
      </c>
      <c r="I29" s="275">
        <f>I42+I46+I50+I30+I35+I53+I39</f>
        <v>561621.39999999991</v>
      </c>
    </row>
    <row r="30" spans="1:9" ht="37.5">
      <c r="A30" s="261"/>
      <c r="B30" s="274" t="s">
        <v>795</v>
      </c>
      <c r="C30" s="734" t="s">
        <v>59</v>
      </c>
      <c r="D30" s="735" t="s">
        <v>65</v>
      </c>
      <c r="E30" s="735" t="s">
        <v>59</v>
      </c>
      <c r="F30" s="736" t="s">
        <v>112</v>
      </c>
      <c r="G30" s="121"/>
      <c r="H30" s="275">
        <f>SUM(H31:H34)</f>
        <v>59981.899999999994</v>
      </c>
      <c r="I30" s="275">
        <f>SUM(I31:I34)</f>
        <v>59681.7</v>
      </c>
    </row>
    <row r="31" spans="1:9" ht="93.75">
      <c r="A31" s="261"/>
      <c r="B31" s="135" t="s">
        <v>69</v>
      </c>
      <c r="C31" s="734" t="s">
        <v>59</v>
      </c>
      <c r="D31" s="735" t="s">
        <v>65</v>
      </c>
      <c r="E31" s="735" t="s">
        <v>59</v>
      </c>
      <c r="F31" s="736" t="s">
        <v>112</v>
      </c>
      <c r="G31" s="121" t="s">
        <v>70</v>
      </c>
      <c r="H31" s="275">
        <f>'прил13(ведом 22-23)'!M314</f>
        <v>899.4</v>
      </c>
      <c r="I31" s="275">
        <f>'прил13(ведом 22-23)'!N314</f>
        <v>899.4</v>
      </c>
    </row>
    <row r="32" spans="1:9" ht="37.5">
      <c r="A32" s="261"/>
      <c r="B32" s="135" t="s">
        <v>75</v>
      </c>
      <c r="C32" s="734" t="s">
        <v>59</v>
      </c>
      <c r="D32" s="735" t="s">
        <v>65</v>
      </c>
      <c r="E32" s="735" t="s">
        <v>59</v>
      </c>
      <c r="F32" s="736" t="s">
        <v>112</v>
      </c>
      <c r="G32" s="121" t="s">
        <v>76</v>
      </c>
      <c r="H32" s="275">
        <f>'прил13(ведом 22-23)'!M315</f>
        <v>3918.2</v>
      </c>
      <c r="I32" s="275">
        <f>'прил13(ведом 22-23)'!N315</f>
        <v>3924.6</v>
      </c>
    </row>
    <row r="33" spans="1:9" ht="43.5" customHeight="1">
      <c r="A33" s="261"/>
      <c r="B33" s="274" t="s">
        <v>97</v>
      </c>
      <c r="C33" s="734" t="s">
        <v>59</v>
      </c>
      <c r="D33" s="735" t="s">
        <v>65</v>
      </c>
      <c r="E33" s="735" t="s">
        <v>59</v>
      </c>
      <c r="F33" s="736" t="s">
        <v>112</v>
      </c>
      <c r="G33" s="121" t="s">
        <v>98</v>
      </c>
      <c r="H33" s="275">
        <f>'прил13(ведом 22-23)'!M316</f>
        <v>54546.299999999996</v>
      </c>
      <c r="I33" s="275">
        <f>'прил13(ведом 22-23)'!N316</f>
        <v>54250.6</v>
      </c>
    </row>
    <row r="34" spans="1:9" ht="18.75">
      <c r="A34" s="261"/>
      <c r="B34" s="274" t="s">
        <v>77</v>
      </c>
      <c r="C34" s="734" t="s">
        <v>59</v>
      </c>
      <c r="D34" s="735" t="s">
        <v>65</v>
      </c>
      <c r="E34" s="735" t="s">
        <v>59</v>
      </c>
      <c r="F34" s="736" t="s">
        <v>112</v>
      </c>
      <c r="G34" s="121" t="s">
        <v>78</v>
      </c>
      <c r="H34" s="275">
        <f>'прил13(ведом 22-23)'!M317</f>
        <v>618</v>
      </c>
      <c r="I34" s="275">
        <f>'прил13(ведом 22-23)'!N317</f>
        <v>607.1</v>
      </c>
    </row>
    <row r="35" spans="1:9" ht="37.5">
      <c r="A35" s="261"/>
      <c r="B35" s="135" t="s">
        <v>230</v>
      </c>
      <c r="C35" s="734" t="s">
        <v>59</v>
      </c>
      <c r="D35" s="735" t="s">
        <v>65</v>
      </c>
      <c r="E35" s="735" t="s">
        <v>59</v>
      </c>
      <c r="F35" s="736" t="s">
        <v>314</v>
      </c>
      <c r="G35" s="121"/>
      <c r="H35" s="275">
        <f>H36+H38+H37</f>
        <v>4724.5999999999995</v>
      </c>
      <c r="I35" s="275">
        <f>I36+I38+I37</f>
        <v>0</v>
      </c>
    </row>
    <row r="36" spans="1:9" ht="37.5">
      <c r="A36" s="261"/>
      <c r="B36" s="135" t="s">
        <v>75</v>
      </c>
      <c r="C36" s="734" t="s">
        <v>59</v>
      </c>
      <c r="D36" s="735" t="s">
        <v>65</v>
      </c>
      <c r="E36" s="735" t="s">
        <v>59</v>
      </c>
      <c r="F36" s="736" t="s">
        <v>314</v>
      </c>
      <c r="G36" s="121" t="s">
        <v>76</v>
      </c>
      <c r="H36" s="275">
        <f>'прил13(ведом 22-23)'!M319</f>
        <v>178</v>
      </c>
      <c r="I36" s="275">
        <f>'прил13(ведом 22-23)'!N319</f>
        <v>0</v>
      </c>
    </row>
    <row r="37" spans="1:9" ht="37.5">
      <c r="A37" s="261"/>
      <c r="B37" s="277" t="s">
        <v>225</v>
      </c>
      <c r="C37" s="734" t="s">
        <v>59</v>
      </c>
      <c r="D37" s="735" t="s">
        <v>65</v>
      </c>
      <c r="E37" s="735" t="s">
        <v>59</v>
      </c>
      <c r="F37" s="736" t="s">
        <v>314</v>
      </c>
      <c r="G37" s="121" t="s">
        <v>226</v>
      </c>
      <c r="H37" s="275">
        <f>'прил13(ведом 22-23)'!M268</f>
        <v>197.2</v>
      </c>
      <c r="I37" s="275"/>
    </row>
    <row r="38" spans="1:9" ht="37.5" customHeight="1">
      <c r="A38" s="261"/>
      <c r="B38" s="135" t="s">
        <v>97</v>
      </c>
      <c r="C38" s="734" t="s">
        <v>59</v>
      </c>
      <c r="D38" s="735" t="s">
        <v>65</v>
      </c>
      <c r="E38" s="735" t="s">
        <v>59</v>
      </c>
      <c r="F38" s="736" t="s">
        <v>314</v>
      </c>
      <c r="G38" s="121" t="s">
        <v>98</v>
      </c>
      <c r="H38" s="275">
        <f>'прил13(ведом 22-23)'!M320</f>
        <v>4349.3999999999996</v>
      </c>
      <c r="I38" s="275">
        <f>'прил13(ведом 22-23)'!N320</f>
        <v>0</v>
      </c>
    </row>
    <row r="39" spans="1:9" ht="70.5" customHeight="1">
      <c r="A39" s="261"/>
      <c r="B39" s="135" t="s">
        <v>889</v>
      </c>
      <c r="C39" s="734" t="s">
        <v>59</v>
      </c>
      <c r="D39" s="735" t="s">
        <v>65</v>
      </c>
      <c r="E39" s="735" t="s">
        <v>59</v>
      </c>
      <c r="F39" s="736" t="s">
        <v>888</v>
      </c>
      <c r="G39" s="121"/>
      <c r="H39" s="275">
        <f>H40+H41</f>
        <v>36560.199999999997</v>
      </c>
      <c r="I39" s="275">
        <f>I40+I41</f>
        <v>36560.199999999997</v>
      </c>
    </row>
    <row r="40" spans="1:9" ht="90.75" customHeight="1">
      <c r="A40" s="261"/>
      <c r="B40" s="135" t="s">
        <v>69</v>
      </c>
      <c r="C40" s="734" t="s">
        <v>59</v>
      </c>
      <c r="D40" s="735" t="s">
        <v>65</v>
      </c>
      <c r="E40" s="735" t="s">
        <v>59</v>
      </c>
      <c r="F40" s="736" t="s">
        <v>888</v>
      </c>
      <c r="G40" s="121" t="s">
        <v>70</v>
      </c>
      <c r="H40" s="275">
        <f>'прил13(ведом 22-23)'!M322</f>
        <v>2968.6</v>
      </c>
      <c r="I40" s="275">
        <f>'прил13(ведом 22-23)'!N322</f>
        <v>2968.6</v>
      </c>
    </row>
    <row r="41" spans="1:9" ht="36" customHeight="1">
      <c r="A41" s="261"/>
      <c r="B41" s="135" t="s">
        <v>97</v>
      </c>
      <c r="C41" s="734" t="s">
        <v>59</v>
      </c>
      <c r="D41" s="735" t="s">
        <v>65</v>
      </c>
      <c r="E41" s="735" t="s">
        <v>59</v>
      </c>
      <c r="F41" s="736" t="s">
        <v>888</v>
      </c>
      <c r="G41" s="121" t="s">
        <v>98</v>
      </c>
      <c r="H41" s="275">
        <f>'прил13(ведом 22-23)'!M323</f>
        <v>33591.599999999999</v>
      </c>
      <c r="I41" s="275">
        <f>'прил13(ведом 22-23)'!N323</f>
        <v>33591.599999999999</v>
      </c>
    </row>
    <row r="42" spans="1:9" ht="18.75">
      <c r="A42" s="261"/>
      <c r="B42" s="274" t="s">
        <v>308</v>
      </c>
      <c r="C42" s="734" t="s">
        <v>59</v>
      </c>
      <c r="D42" s="735" t="s">
        <v>65</v>
      </c>
      <c r="E42" s="735" t="s">
        <v>59</v>
      </c>
      <c r="F42" s="736" t="s">
        <v>309</v>
      </c>
      <c r="G42" s="121"/>
      <c r="H42" s="275">
        <f>SUM(H43:H45)</f>
        <v>1632.2</v>
      </c>
      <c r="I42" s="275">
        <f>SUM(I43:I45)</f>
        <v>1689.1000000000001</v>
      </c>
    </row>
    <row r="43" spans="1:9" ht="93.75">
      <c r="A43" s="261"/>
      <c r="B43" s="135" t="s">
        <v>69</v>
      </c>
      <c r="C43" s="734" t="s">
        <v>59</v>
      </c>
      <c r="D43" s="735" t="s">
        <v>65</v>
      </c>
      <c r="E43" s="735" t="s">
        <v>59</v>
      </c>
      <c r="F43" s="736" t="s">
        <v>309</v>
      </c>
      <c r="G43" s="121" t="s">
        <v>70</v>
      </c>
      <c r="H43" s="275">
        <f>'прил13(ведом 22-23)'!M325</f>
        <v>115.8</v>
      </c>
      <c r="I43" s="275">
        <f>'прил13(ведом 22-23)'!N325</f>
        <v>115.8</v>
      </c>
    </row>
    <row r="44" spans="1:9" ht="26.25" customHeight="1">
      <c r="A44" s="261"/>
      <c r="B44" s="135" t="s">
        <v>141</v>
      </c>
      <c r="C44" s="734" t="s">
        <v>59</v>
      </c>
      <c r="D44" s="735" t="s">
        <v>65</v>
      </c>
      <c r="E44" s="735" t="s">
        <v>59</v>
      </c>
      <c r="F44" s="736" t="s">
        <v>309</v>
      </c>
      <c r="G44" s="121" t="s">
        <v>142</v>
      </c>
      <c r="H44" s="275">
        <f>'прил13(ведом 22-23)'!M326</f>
        <v>13.9</v>
      </c>
      <c r="I44" s="275">
        <f>'прил13(ведом 22-23)'!N326</f>
        <v>13.9</v>
      </c>
    </row>
    <row r="45" spans="1:9" ht="39" customHeight="1">
      <c r="A45" s="261"/>
      <c r="B45" s="274" t="s">
        <v>97</v>
      </c>
      <c r="C45" s="734" t="s">
        <v>59</v>
      </c>
      <c r="D45" s="735" t="s">
        <v>65</v>
      </c>
      <c r="E45" s="735" t="s">
        <v>59</v>
      </c>
      <c r="F45" s="736" t="s">
        <v>309</v>
      </c>
      <c r="G45" s="121" t="s">
        <v>98</v>
      </c>
      <c r="H45" s="275">
        <f>'прил13(ведом 22-23)'!M327</f>
        <v>1502.5</v>
      </c>
      <c r="I45" s="275">
        <f>'прил13(ведом 22-23)'!N327</f>
        <v>1559.4</v>
      </c>
    </row>
    <row r="46" spans="1:9" ht="93" customHeight="1">
      <c r="A46" s="261"/>
      <c r="B46" s="274" t="s">
        <v>415</v>
      </c>
      <c r="C46" s="734" t="s">
        <v>59</v>
      </c>
      <c r="D46" s="735" t="s">
        <v>65</v>
      </c>
      <c r="E46" s="735" t="s">
        <v>59</v>
      </c>
      <c r="F46" s="736" t="s">
        <v>310</v>
      </c>
      <c r="G46" s="121"/>
      <c r="H46" s="275">
        <f>SUM(H47:H49)</f>
        <v>404790.7</v>
      </c>
      <c r="I46" s="275">
        <f>SUM(I47:I49)</f>
        <v>404790.7</v>
      </c>
    </row>
    <row r="47" spans="1:9" ht="93.75">
      <c r="A47" s="261"/>
      <c r="B47" s="274" t="s">
        <v>69</v>
      </c>
      <c r="C47" s="734" t="s">
        <v>59</v>
      </c>
      <c r="D47" s="735" t="s">
        <v>65</v>
      </c>
      <c r="E47" s="735" t="s">
        <v>59</v>
      </c>
      <c r="F47" s="736" t="s">
        <v>310</v>
      </c>
      <c r="G47" s="121" t="s">
        <v>70</v>
      </c>
      <c r="H47" s="275">
        <f>'прил13(ведом 22-23)'!M329</f>
        <v>27962</v>
      </c>
      <c r="I47" s="275">
        <f>'прил13(ведом 22-23)'!N329</f>
        <v>27962</v>
      </c>
    </row>
    <row r="48" spans="1:9" ht="37.5">
      <c r="A48" s="261"/>
      <c r="B48" s="274" t="s">
        <v>75</v>
      </c>
      <c r="C48" s="734" t="s">
        <v>59</v>
      </c>
      <c r="D48" s="735" t="s">
        <v>65</v>
      </c>
      <c r="E48" s="735" t="s">
        <v>59</v>
      </c>
      <c r="F48" s="736" t="s">
        <v>310</v>
      </c>
      <c r="G48" s="121" t="s">
        <v>76</v>
      </c>
      <c r="H48" s="275">
        <f>'прил13(ведом 22-23)'!M330</f>
        <v>1898.4</v>
      </c>
      <c r="I48" s="275">
        <f>'прил13(ведом 22-23)'!N330</f>
        <v>1898.4</v>
      </c>
    </row>
    <row r="49" spans="1:9" ht="43.5" customHeight="1">
      <c r="A49" s="261"/>
      <c r="B49" s="274" t="s">
        <v>97</v>
      </c>
      <c r="C49" s="734" t="s">
        <v>59</v>
      </c>
      <c r="D49" s="735" t="s">
        <v>65</v>
      </c>
      <c r="E49" s="735" t="s">
        <v>59</v>
      </c>
      <c r="F49" s="736" t="s">
        <v>310</v>
      </c>
      <c r="G49" s="121" t="s">
        <v>98</v>
      </c>
      <c r="H49" s="275">
        <f>'прил13(ведом 22-23)'!M331</f>
        <v>374930.3</v>
      </c>
      <c r="I49" s="275">
        <f>'прил13(ведом 22-23)'!N331</f>
        <v>374930.3</v>
      </c>
    </row>
    <row r="50" spans="1:9" ht="78" customHeight="1">
      <c r="A50" s="261"/>
      <c r="B50" s="274" t="s">
        <v>231</v>
      </c>
      <c r="C50" s="729" t="s">
        <v>59</v>
      </c>
      <c r="D50" s="729" t="s">
        <v>65</v>
      </c>
      <c r="E50" s="729" t="s">
        <v>59</v>
      </c>
      <c r="F50" s="730" t="s">
        <v>315</v>
      </c>
      <c r="G50" s="259"/>
      <c r="H50" s="275">
        <f>SUM(H51:H52)</f>
        <v>2399</v>
      </c>
      <c r="I50" s="275">
        <f>SUM(I51:I52)</f>
        <v>2399</v>
      </c>
    </row>
    <row r="51" spans="1:9" ht="37.5">
      <c r="A51" s="261"/>
      <c r="B51" s="135" t="s">
        <v>75</v>
      </c>
      <c r="C51" s="734" t="s">
        <v>59</v>
      </c>
      <c r="D51" s="735" t="s">
        <v>65</v>
      </c>
      <c r="E51" s="735" t="s">
        <v>59</v>
      </c>
      <c r="F51" s="736" t="s">
        <v>315</v>
      </c>
      <c r="G51" s="121" t="s">
        <v>76</v>
      </c>
      <c r="H51" s="275">
        <f>'прил13(ведом 22-23)'!M333</f>
        <v>104.8</v>
      </c>
      <c r="I51" s="275">
        <f>'прил13(ведом 22-23)'!N333</f>
        <v>104.8</v>
      </c>
    </row>
    <row r="52" spans="1:9" ht="45.75" customHeight="1">
      <c r="A52" s="261"/>
      <c r="B52" s="274" t="s">
        <v>97</v>
      </c>
      <c r="C52" s="729" t="s">
        <v>59</v>
      </c>
      <c r="D52" s="729" t="s">
        <v>65</v>
      </c>
      <c r="E52" s="729" t="s">
        <v>59</v>
      </c>
      <c r="F52" s="730" t="s">
        <v>315</v>
      </c>
      <c r="G52" s="259" t="s">
        <v>98</v>
      </c>
      <c r="H52" s="275">
        <f>'прил13(ведом 22-23)'!M334</f>
        <v>2294.1999999999998</v>
      </c>
      <c r="I52" s="275">
        <f>'прил13(ведом 22-23)'!N334</f>
        <v>2294.1999999999998</v>
      </c>
    </row>
    <row r="53" spans="1:9" ht="72.75" customHeight="1">
      <c r="A53" s="261"/>
      <c r="B53" s="135" t="s">
        <v>765</v>
      </c>
      <c r="C53" s="734" t="s">
        <v>59</v>
      </c>
      <c r="D53" s="735" t="s">
        <v>65</v>
      </c>
      <c r="E53" s="735" t="s">
        <v>59</v>
      </c>
      <c r="F53" s="736" t="s">
        <v>764</v>
      </c>
      <c r="G53" s="121"/>
      <c r="H53" s="275">
        <f>H54+H55</f>
        <v>57904.700000000004</v>
      </c>
      <c r="I53" s="275">
        <f>I54+I55</f>
        <v>56500.7</v>
      </c>
    </row>
    <row r="54" spans="1:9" ht="33.75" customHeight="1">
      <c r="A54" s="261"/>
      <c r="B54" s="135" t="s">
        <v>75</v>
      </c>
      <c r="C54" s="734" t="s">
        <v>59</v>
      </c>
      <c r="D54" s="735" t="s">
        <v>65</v>
      </c>
      <c r="E54" s="735" t="s">
        <v>59</v>
      </c>
      <c r="F54" s="736" t="s">
        <v>764</v>
      </c>
      <c r="G54" s="121" t="s">
        <v>76</v>
      </c>
      <c r="H54" s="275">
        <f>'прил13(ведом 22-23)'!M336</f>
        <v>1715.9</v>
      </c>
      <c r="I54" s="275">
        <f>'прил13(ведом 22-23)'!N336</f>
        <v>1674.2</v>
      </c>
    </row>
    <row r="55" spans="1:9" ht="35.25" customHeight="1">
      <c r="A55" s="261"/>
      <c r="B55" s="135" t="s">
        <v>97</v>
      </c>
      <c r="C55" s="734" t="s">
        <v>59</v>
      </c>
      <c r="D55" s="735" t="s">
        <v>65</v>
      </c>
      <c r="E55" s="735" t="s">
        <v>59</v>
      </c>
      <c r="F55" s="736" t="s">
        <v>764</v>
      </c>
      <c r="G55" s="121" t="s">
        <v>98</v>
      </c>
      <c r="H55" s="275">
        <f>'прил13(ведом 22-23)'!M337</f>
        <v>56188.800000000003</v>
      </c>
      <c r="I55" s="275">
        <f>'прил13(ведом 22-23)'!N337</f>
        <v>54826.5</v>
      </c>
    </row>
    <row r="56" spans="1:9" ht="18.75">
      <c r="A56" s="261"/>
      <c r="B56" s="274" t="s">
        <v>232</v>
      </c>
      <c r="C56" s="734" t="s">
        <v>59</v>
      </c>
      <c r="D56" s="735" t="s">
        <v>110</v>
      </c>
      <c r="E56" s="735" t="s">
        <v>63</v>
      </c>
      <c r="F56" s="736" t="s">
        <v>64</v>
      </c>
      <c r="G56" s="259"/>
      <c r="H56" s="275">
        <f>H57</f>
        <v>55983.000000000007</v>
      </c>
      <c r="I56" s="275">
        <f>I57</f>
        <v>56047.000000000007</v>
      </c>
    </row>
    <row r="57" spans="1:9" ht="37.5">
      <c r="A57" s="261"/>
      <c r="B57" s="274" t="s">
        <v>316</v>
      </c>
      <c r="C57" s="734" t="s">
        <v>59</v>
      </c>
      <c r="D57" s="735" t="s">
        <v>110</v>
      </c>
      <c r="E57" s="735" t="s">
        <v>57</v>
      </c>
      <c r="F57" s="736" t="s">
        <v>64</v>
      </c>
      <c r="G57" s="259"/>
      <c r="H57" s="275">
        <f>H58+H65+H63+H67</f>
        <v>55983.000000000007</v>
      </c>
      <c r="I57" s="275">
        <f>I58+I65+I63+I67</f>
        <v>56047.000000000007</v>
      </c>
    </row>
    <row r="58" spans="1:9" ht="37.5">
      <c r="A58" s="261"/>
      <c r="B58" s="274" t="s">
        <v>795</v>
      </c>
      <c r="C58" s="734" t="s">
        <v>59</v>
      </c>
      <c r="D58" s="735" t="s">
        <v>110</v>
      </c>
      <c r="E58" s="735" t="s">
        <v>57</v>
      </c>
      <c r="F58" s="736" t="s">
        <v>112</v>
      </c>
      <c r="G58" s="121"/>
      <c r="H58" s="275">
        <f>SUM(H59:H62)</f>
        <v>47871.700000000004</v>
      </c>
      <c r="I58" s="275">
        <f>SUM(I59:I62)</f>
        <v>47931.8</v>
      </c>
    </row>
    <row r="59" spans="1:9" ht="93.75">
      <c r="A59" s="261"/>
      <c r="B59" s="135" t="s">
        <v>69</v>
      </c>
      <c r="C59" s="734" t="s">
        <v>59</v>
      </c>
      <c r="D59" s="735" t="s">
        <v>110</v>
      </c>
      <c r="E59" s="735" t="s">
        <v>57</v>
      </c>
      <c r="F59" s="736" t="s">
        <v>112</v>
      </c>
      <c r="G59" s="121" t="s">
        <v>70</v>
      </c>
      <c r="H59" s="275">
        <f>'прил13(ведом 22-23)'!M354</f>
        <v>18629</v>
      </c>
      <c r="I59" s="275">
        <f>'прил13(ведом 22-23)'!N354</f>
        <v>18629</v>
      </c>
    </row>
    <row r="60" spans="1:9" ht="37.5">
      <c r="A60" s="261"/>
      <c r="B60" s="135" t="s">
        <v>75</v>
      </c>
      <c r="C60" s="734" t="s">
        <v>59</v>
      </c>
      <c r="D60" s="735" t="s">
        <v>110</v>
      </c>
      <c r="E60" s="735" t="s">
        <v>57</v>
      </c>
      <c r="F60" s="736" t="s">
        <v>112</v>
      </c>
      <c r="G60" s="121" t="s">
        <v>76</v>
      </c>
      <c r="H60" s="275">
        <f>'прил13(ведом 22-23)'!M355</f>
        <v>1135.98695</v>
      </c>
      <c r="I60" s="275">
        <f>'прил13(ведом 22-23)'!N355</f>
        <v>1167.7563600000001</v>
      </c>
    </row>
    <row r="61" spans="1:9" ht="46.5" customHeight="1">
      <c r="A61" s="261"/>
      <c r="B61" s="274" t="s">
        <v>97</v>
      </c>
      <c r="C61" s="734" t="s">
        <v>59</v>
      </c>
      <c r="D61" s="735" t="s">
        <v>110</v>
      </c>
      <c r="E61" s="735" t="s">
        <v>57</v>
      </c>
      <c r="F61" s="736" t="s">
        <v>112</v>
      </c>
      <c r="G61" s="121" t="s">
        <v>98</v>
      </c>
      <c r="H61" s="275">
        <f>'прил13(ведом 22-23)'!M356</f>
        <v>28055.716050000003</v>
      </c>
      <c r="I61" s="275">
        <f>'прил13(ведом 22-23)'!N356</f>
        <v>28084.393640000002</v>
      </c>
    </row>
    <row r="62" spans="1:9" ht="18.75">
      <c r="A62" s="261"/>
      <c r="B62" s="135" t="s">
        <v>77</v>
      </c>
      <c r="C62" s="734" t="s">
        <v>59</v>
      </c>
      <c r="D62" s="735" t="s">
        <v>110</v>
      </c>
      <c r="E62" s="735" t="s">
        <v>57</v>
      </c>
      <c r="F62" s="736" t="s">
        <v>112</v>
      </c>
      <c r="G62" s="121" t="s">
        <v>78</v>
      </c>
      <c r="H62" s="275">
        <f>'прил13(ведом 22-23)'!M357</f>
        <v>50.997</v>
      </c>
      <c r="I62" s="275">
        <f>'прил13(ведом 22-23)'!N357</f>
        <v>50.65</v>
      </c>
    </row>
    <row r="63" spans="1:9" ht="183" customHeight="1">
      <c r="A63" s="261"/>
      <c r="B63" s="135" t="s">
        <v>694</v>
      </c>
      <c r="C63" s="734" t="s">
        <v>59</v>
      </c>
      <c r="D63" s="735" t="s">
        <v>110</v>
      </c>
      <c r="E63" s="735" t="s">
        <v>57</v>
      </c>
      <c r="F63" s="736" t="s">
        <v>538</v>
      </c>
      <c r="G63" s="121"/>
      <c r="H63" s="275">
        <f>H64</f>
        <v>125</v>
      </c>
      <c r="I63" s="275">
        <f>I64</f>
        <v>125</v>
      </c>
    </row>
    <row r="64" spans="1:9" ht="93.75">
      <c r="A64" s="261"/>
      <c r="B64" s="135" t="s">
        <v>69</v>
      </c>
      <c r="C64" s="734" t="s">
        <v>59</v>
      </c>
      <c r="D64" s="735" t="s">
        <v>110</v>
      </c>
      <c r="E64" s="735" t="s">
        <v>57</v>
      </c>
      <c r="F64" s="736" t="s">
        <v>538</v>
      </c>
      <c r="G64" s="121" t="s">
        <v>70</v>
      </c>
      <c r="H64" s="275">
        <f>'прил13(ведом 22-23)'!M359</f>
        <v>125</v>
      </c>
      <c r="I64" s="275">
        <f>'прил13(ведом 22-23)'!N359</f>
        <v>125</v>
      </c>
    </row>
    <row r="65" spans="1:9" ht="162" customHeight="1">
      <c r="A65" s="261"/>
      <c r="B65" s="274" t="s">
        <v>308</v>
      </c>
      <c r="C65" s="734" t="s">
        <v>59</v>
      </c>
      <c r="D65" s="735" t="s">
        <v>110</v>
      </c>
      <c r="E65" s="735" t="s">
        <v>57</v>
      </c>
      <c r="F65" s="736" t="s">
        <v>309</v>
      </c>
      <c r="G65" s="121"/>
      <c r="H65" s="275">
        <f>H66</f>
        <v>110.9</v>
      </c>
      <c r="I65" s="275">
        <f>I66</f>
        <v>114.8</v>
      </c>
    </row>
    <row r="66" spans="1:9" ht="56.25">
      <c r="A66" s="261"/>
      <c r="B66" s="135" t="s">
        <v>97</v>
      </c>
      <c r="C66" s="734" t="s">
        <v>59</v>
      </c>
      <c r="D66" s="735" t="s">
        <v>110</v>
      </c>
      <c r="E66" s="735" t="s">
        <v>57</v>
      </c>
      <c r="F66" s="736" t="s">
        <v>309</v>
      </c>
      <c r="G66" s="121" t="s">
        <v>98</v>
      </c>
      <c r="H66" s="275">
        <f>'прил13(ведом 22-23)'!M361</f>
        <v>110.9</v>
      </c>
      <c r="I66" s="275">
        <f>'прил13(ведом 22-23)'!N361</f>
        <v>114.8</v>
      </c>
    </row>
    <row r="67" spans="1:9" ht="96.75" customHeight="1">
      <c r="A67" s="261"/>
      <c r="B67" s="135" t="s">
        <v>415</v>
      </c>
      <c r="C67" s="734" t="s">
        <v>59</v>
      </c>
      <c r="D67" s="735" t="s">
        <v>110</v>
      </c>
      <c r="E67" s="735" t="s">
        <v>57</v>
      </c>
      <c r="F67" s="736" t="s">
        <v>310</v>
      </c>
      <c r="G67" s="121"/>
      <c r="H67" s="275">
        <f>H68</f>
        <v>7875.4</v>
      </c>
      <c r="I67" s="275">
        <f>I68</f>
        <v>7875.4</v>
      </c>
    </row>
    <row r="68" spans="1:9" ht="45" customHeight="1">
      <c r="A68" s="261"/>
      <c r="B68" s="135" t="s">
        <v>97</v>
      </c>
      <c r="C68" s="734" t="s">
        <v>59</v>
      </c>
      <c r="D68" s="735" t="s">
        <v>110</v>
      </c>
      <c r="E68" s="735" t="s">
        <v>57</v>
      </c>
      <c r="F68" s="736" t="s">
        <v>310</v>
      </c>
      <c r="G68" s="121" t="s">
        <v>98</v>
      </c>
      <c r="H68" s="275">
        <f>'прил13(ведом 22-23)'!M363</f>
        <v>7875.4</v>
      </c>
      <c r="I68" s="275">
        <f>'прил13(ведом 22-23)'!N363</f>
        <v>7875.4</v>
      </c>
    </row>
    <row r="69" spans="1:9" ht="42" customHeight="1">
      <c r="A69" s="261"/>
      <c r="B69" s="274" t="s">
        <v>234</v>
      </c>
      <c r="C69" s="734" t="s">
        <v>59</v>
      </c>
      <c r="D69" s="735" t="s">
        <v>50</v>
      </c>
      <c r="E69" s="735" t="s">
        <v>63</v>
      </c>
      <c r="F69" s="736" t="s">
        <v>64</v>
      </c>
      <c r="G69" s="259"/>
      <c r="H69" s="275">
        <f>H70+H86+H89+H92+H95</f>
        <v>71386.899999999994</v>
      </c>
      <c r="I69" s="275">
        <f>I70+I86+I89+I92+I95</f>
        <v>71420.899999999994</v>
      </c>
    </row>
    <row r="70" spans="1:9" ht="37.5">
      <c r="A70" s="261"/>
      <c r="B70" s="274" t="s">
        <v>322</v>
      </c>
      <c r="C70" s="734" t="s">
        <v>59</v>
      </c>
      <c r="D70" s="735" t="s">
        <v>50</v>
      </c>
      <c r="E70" s="735" t="s">
        <v>57</v>
      </c>
      <c r="F70" s="736" t="s">
        <v>64</v>
      </c>
      <c r="G70" s="259"/>
      <c r="H70" s="275">
        <f>H71+H75+H83+H80</f>
        <v>64408.200000000004</v>
      </c>
      <c r="I70" s="275">
        <f>I71+I75+I83+I80</f>
        <v>64442.200000000004</v>
      </c>
    </row>
    <row r="71" spans="1:9" ht="37.5">
      <c r="A71" s="261"/>
      <c r="B71" s="274" t="s">
        <v>67</v>
      </c>
      <c r="C71" s="734" t="s">
        <v>59</v>
      </c>
      <c r="D71" s="735" t="s">
        <v>50</v>
      </c>
      <c r="E71" s="735" t="s">
        <v>57</v>
      </c>
      <c r="F71" s="736" t="s">
        <v>68</v>
      </c>
      <c r="G71" s="121"/>
      <c r="H71" s="275">
        <f>SUM(H72:H74)</f>
        <v>10391.199999999999</v>
      </c>
      <c r="I71" s="275">
        <f>SUM(I72:I74)</f>
        <v>10396.800000000001</v>
      </c>
    </row>
    <row r="72" spans="1:9" ht="93.75">
      <c r="A72" s="261"/>
      <c r="B72" s="274" t="s">
        <v>69</v>
      </c>
      <c r="C72" s="734" t="s">
        <v>59</v>
      </c>
      <c r="D72" s="735" t="s">
        <v>50</v>
      </c>
      <c r="E72" s="735" t="s">
        <v>57</v>
      </c>
      <c r="F72" s="736" t="s">
        <v>68</v>
      </c>
      <c r="G72" s="121" t="s">
        <v>70</v>
      </c>
      <c r="H72" s="275">
        <f>'прил13(ведом 22-23)'!M380</f>
        <v>9265.9</v>
      </c>
      <c r="I72" s="275">
        <f>'прил13(ведом 22-23)'!N380</f>
        <v>9265.9</v>
      </c>
    </row>
    <row r="73" spans="1:9" ht="37.5">
      <c r="A73" s="261"/>
      <c r="B73" s="274" t="s">
        <v>75</v>
      </c>
      <c r="C73" s="734" t="s">
        <v>59</v>
      </c>
      <c r="D73" s="735" t="s">
        <v>50</v>
      </c>
      <c r="E73" s="735" t="s">
        <v>57</v>
      </c>
      <c r="F73" s="736" t="s">
        <v>68</v>
      </c>
      <c r="G73" s="121" t="s">
        <v>76</v>
      </c>
      <c r="H73" s="275">
        <f>'прил13(ведом 22-23)'!M381</f>
        <v>1110.5</v>
      </c>
      <c r="I73" s="275">
        <f>'прил13(ведом 22-23)'!N381</f>
        <v>1116.2</v>
      </c>
    </row>
    <row r="74" spans="1:9" ht="18.75">
      <c r="A74" s="261"/>
      <c r="B74" s="274" t="s">
        <v>77</v>
      </c>
      <c r="C74" s="734" t="s">
        <v>59</v>
      </c>
      <c r="D74" s="735" t="s">
        <v>50</v>
      </c>
      <c r="E74" s="735" t="s">
        <v>57</v>
      </c>
      <c r="F74" s="736" t="s">
        <v>68</v>
      </c>
      <c r="G74" s="121" t="s">
        <v>78</v>
      </c>
      <c r="H74" s="275">
        <f>'прил13(ведом 22-23)'!M382</f>
        <v>14.8</v>
      </c>
      <c r="I74" s="275">
        <f>'прил13(ведом 22-23)'!N382</f>
        <v>14.7</v>
      </c>
    </row>
    <row r="75" spans="1:9" ht="37.5">
      <c r="A75" s="261"/>
      <c r="B75" s="274" t="s">
        <v>795</v>
      </c>
      <c r="C75" s="734" t="s">
        <v>59</v>
      </c>
      <c r="D75" s="735" t="s">
        <v>50</v>
      </c>
      <c r="E75" s="735" t="s">
        <v>57</v>
      </c>
      <c r="F75" s="736" t="s">
        <v>112</v>
      </c>
      <c r="G75" s="121"/>
      <c r="H75" s="275">
        <f>SUM(H76:H79)</f>
        <v>45469.100000000006</v>
      </c>
      <c r="I75" s="275">
        <f>SUM(I76:I79)</f>
        <v>45497.5</v>
      </c>
    </row>
    <row r="76" spans="1:9" ht="93.75">
      <c r="A76" s="261"/>
      <c r="B76" s="274" t="s">
        <v>69</v>
      </c>
      <c r="C76" s="734" t="s">
        <v>59</v>
      </c>
      <c r="D76" s="735" t="s">
        <v>50</v>
      </c>
      <c r="E76" s="735" t="s">
        <v>57</v>
      </c>
      <c r="F76" s="736" t="s">
        <v>112</v>
      </c>
      <c r="G76" s="121" t="s">
        <v>70</v>
      </c>
      <c r="H76" s="275">
        <f>'прил13(ведом 22-23)'!M384</f>
        <v>26953.7</v>
      </c>
      <c r="I76" s="275">
        <f>'прил13(ведом 22-23)'!N384</f>
        <v>26953.7</v>
      </c>
    </row>
    <row r="77" spans="1:9" ht="37.5">
      <c r="A77" s="261"/>
      <c r="B77" s="274" t="s">
        <v>75</v>
      </c>
      <c r="C77" s="734" t="s">
        <v>59</v>
      </c>
      <c r="D77" s="735" t="s">
        <v>50</v>
      </c>
      <c r="E77" s="735" t="s">
        <v>57</v>
      </c>
      <c r="F77" s="736" t="s">
        <v>112</v>
      </c>
      <c r="G77" s="121" t="s">
        <v>76</v>
      </c>
      <c r="H77" s="275">
        <f>'прил13(ведом 22-23)'!M385</f>
        <v>2453.8000000000002</v>
      </c>
      <c r="I77" s="275">
        <f>'прил13(ведом 22-23)'!N385</f>
        <v>2482.5</v>
      </c>
    </row>
    <row r="78" spans="1:9" ht="45.75" customHeight="1">
      <c r="A78" s="261"/>
      <c r="B78" s="135" t="s">
        <v>97</v>
      </c>
      <c r="C78" s="734" t="s">
        <v>59</v>
      </c>
      <c r="D78" s="735" t="s">
        <v>50</v>
      </c>
      <c r="E78" s="735" t="s">
        <v>57</v>
      </c>
      <c r="F78" s="736" t="s">
        <v>112</v>
      </c>
      <c r="G78" s="121" t="s">
        <v>98</v>
      </c>
      <c r="H78" s="275">
        <f>'прил13(ведом 22-23)'!M386</f>
        <v>16053.8</v>
      </c>
      <c r="I78" s="275">
        <f>'прил13(ведом 22-23)'!N386</f>
        <v>16053.8</v>
      </c>
    </row>
    <row r="79" spans="1:9" ht="18.75">
      <c r="A79" s="261"/>
      <c r="B79" s="135" t="s">
        <v>77</v>
      </c>
      <c r="C79" s="734" t="s">
        <v>59</v>
      </c>
      <c r="D79" s="735" t="s">
        <v>50</v>
      </c>
      <c r="E79" s="735" t="s">
        <v>57</v>
      </c>
      <c r="F79" s="736" t="s">
        <v>112</v>
      </c>
      <c r="G79" s="121" t="s">
        <v>78</v>
      </c>
      <c r="H79" s="275">
        <f>'прил13(ведом 22-23)'!M387</f>
        <v>7.8</v>
      </c>
      <c r="I79" s="275">
        <f>'прил13(ведом 22-23)'!N387</f>
        <v>7.5</v>
      </c>
    </row>
    <row r="80" spans="1:9" ht="97.5" customHeight="1">
      <c r="A80" s="261"/>
      <c r="B80" s="135" t="s">
        <v>415</v>
      </c>
      <c r="C80" s="734" t="s">
        <v>59</v>
      </c>
      <c r="D80" s="735" t="s">
        <v>50</v>
      </c>
      <c r="E80" s="735" t="s">
        <v>57</v>
      </c>
      <c r="F80" s="736" t="s">
        <v>310</v>
      </c>
      <c r="G80" s="121"/>
      <c r="H80" s="275">
        <f>SUM(H81:H82)</f>
        <v>6189.9</v>
      </c>
      <c r="I80" s="275">
        <f>SUM(I81:I82)</f>
        <v>6189.9</v>
      </c>
    </row>
    <row r="81" spans="1:9" ht="93.75">
      <c r="A81" s="261"/>
      <c r="B81" s="135" t="s">
        <v>69</v>
      </c>
      <c r="C81" s="734" t="s">
        <v>59</v>
      </c>
      <c r="D81" s="735" t="s">
        <v>50</v>
      </c>
      <c r="E81" s="735" t="s">
        <v>57</v>
      </c>
      <c r="F81" s="736" t="s">
        <v>310</v>
      </c>
      <c r="G81" s="121" t="s">
        <v>70</v>
      </c>
      <c r="H81" s="275">
        <f>'прил13(ведом 22-23)'!M389</f>
        <v>5863.4</v>
      </c>
      <c r="I81" s="275">
        <f>'прил13(ведом 22-23)'!N389</f>
        <v>5863.4</v>
      </c>
    </row>
    <row r="82" spans="1:9" ht="37.5">
      <c r="A82" s="261"/>
      <c r="B82" s="274" t="s">
        <v>75</v>
      </c>
      <c r="C82" s="734" t="s">
        <v>59</v>
      </c>
      <c r="D82" s="735" t="s">
        <v>50</v>
      </c>
      <c r="E82" s="735" t="s">
        <v>57</v>
      </c>
      <c r="F82" s="736" t="s">
        <v>310</v>
      </c>
      <c r="G82" s="121" t="s">
        <v>76</v>
      </c>
      <c r="H82" s="275">
        <f>'прил13(ведом 22-23)'!M390</f>
        <v>326.5</v>
      </c>
      <c r="I82" s="275">
        <f>'прил13(ведом 22-23)'!N390</f>
        <v>326.5</v>
      </c>
    </row>
    <row r="83" spans="1:9" ht="214.5" customHeight="1">
      <c r="A83" s="261"/>
      <c r="B83" s="135" t="s">
        <v>693</v>
      </c>
      <c r="C83" s="734" t="s">
        <v>59</v>
      </c>
      <c r="D83" s="735" t="s">
        <v>50</v>
      </c>
      <c r="E83" s="735" t="s">
        <v>57</v>
      </c>
      <c r="F83" s="736" t="s">
        <v>416</v>
      </c>
      <c r="G83" s="121"/>
      <c r="H83" s="275">
        <f>SUM(H84:H85)</f>
        <v>2358</v>
      </c>
      <c r="I83" s="275">
        <f>SUM(I84:I85)</f>
        <v>2358</v>
      </c>
    </row>
    <row r="84" spans="1:9" ht="93.75">
      <c r="A84" s="261"/>
      <c r="B84" s="135" t="s">
        <v>69</v>
      </c>
      <c r="C84" s="734" t="s">
        <v>59</v>
      </c>
      <c r="D84" s="735" t="s">
        <v>50</v>
      </c>
      <c r="E84" s="735" t="s">
        <v>57</v>
      </c>
      <c r="F84" s="736" t="s">
        <v>416</v>
      </c>
      <c r="G84" s="121" t="s">
        <v>70</v>
      </c>
      <c r="H84" s="275">
        <f>'прил13(ведом 22-23)'!M341</f>
        <v>29.8</v>
      </c>
      <c r="I84" s="275">
        <f>'прил13(ведом 22-23)'!N341</f>
        <v>29.8</v>
      </c>
    </row>
    <row r="85" spans="1:9" ht="45" customHeight="1">
      <c r="A85" s="261"/>
      <c r="B85" s="135" t="s">
        <v>97</v>
      </c>
      <c r="C85" s="734" t="s">
        <v>59</v>
      </c>
      <c r="D85" s="735" t="s">
        <v>50</v>
      </c>
      <c r="E85" s="735" t="s">
        <v>57</v>
      </c>
      <c r="F85" s="736" t="s">
        <v>416</v>
      </c>
      <c r="G85" s="121" t="s">
        <v>98</v>
      </c>
      <c r="H85" s="275">
        <f>'прил13(ведом 22-23)'!M342</f>
        <v>2328.1999999999998</v>
      </c>
      <c r="I85" s="275">
        <f>'прил13(ведом 22-23)'!N342</f>
        <v>2328.1999999999998</v>
      </c>
    </row>
    <row r="86" spans="1:9" ht="45" customHeight="1">
      <c r="A86" s="261"/>
      <c r="B86" s="135" t="s">
        <v>321</v>
      </c>
      <c r="C86" s="734" t="s">
        <v>59</v>
      </c>
      <c r="D86" s="735" t="s">
        <v>50</v>
      </c>
      <c r="E86" s="735" t="s">
        <v>59</v>
      </c>
      <c r="F86" s="736" t="s">
        <v>64</v>
      </c>
      <c r="G86" s="121"/>
      <c r="H86" s="275">
        <f>H87</f>
        <v>6749.9</v>
      </c>
      <c r="I86" s="275">
        <f>I87</f>
        <v>6749.9</v>
      </c>
    </row>
    <row r="87" spans="1:9" ht="109.5" customHeight="1">
      <c r="A87" s="261"/>
      <c r="B87" s="135" t="s">
        <v>734</v>
      </c>
      <c r="C87" s="734" t="s">
        <v>59</v>
      </c>
      <c r="D87" s="735" t="s">
        <v>50</v>
      </c>
      <c r="E87" s="735" t="s">
        <v>59</v>
      </c>
      <c r="F87" s="736" t="s">
        <v>733</v>
      </c>
      <c r="G87" s="121"/>
      <c r="H87" s="275">
        <f>H88</f>
        <v>6749.9</v>
      </c>
      <c r="I87" s="275">
        <f>I88</f>
        <v>6749.9</v>
      </c>
    </row>
    <row r="88" spans="1:9" ht="39" customHeight="1">
      <c r="A88" s="261"/>
      <c r="B88" s="135" t="s">
        <v>97</v>
      </c>
      <c r="C88" s="734" t="s">
        <v>59</v>
      </c>
      <c r="D88" s="735" t="s">
        <v>50</v>
      </c>
      <c r="E88" s="735" t="s">
        <v>59</v>
      </c>
      <c r="F88" s="736" t="s">
        <v>733</v>
      </c>
      <c r="G88" s="121" t="s">
        <v>98</v>
      </c>
      <c r="H88" s="275">
        <f>'прил13(ведом 22-23)'!M374</f>
        <v>6749.9</v>
      </c>
      <c r="I88" s="275">
        <f>'прил13(ведом 22-23)'!N374</f>
        <v>6749.9</v>
      </c>
    </row>
    <row r="89" spans="1:9" ht="36" customHeight="1">
      <c r="A89" s="261"/>
      <c r="B89" s="607" t="s">
        <v>428</v>
      </c>
      <c r="C89" s="608" t="s">
        <v>59</v>
      </c>
      <c r="D89" s="609" t="s">
        <v>50</v>
      </c>
      <c r="E89" s="609" t="s">
        <v>84</v>
      </c>
      <c r="F89" s="610" t="s">
        <v>64</v>
      </c>
      <c r="G89" s="611"/>
      <c r="H89" s="275">
        <f>H90</f>
        <v>100.4</v>
      </c>
      <c r="I89" s="275">
        <f>I90</f>
        <v>100.4</v>
      </c>
    </row>
    <row r="90" spans="1:9" ht="51.75" customHeight="1">
      <c r="A90" s="261"/>
      <c r="B90" s="575" t="s">
        <v>814</v>
      </c>
      <c r="C90" s="608" t="s">
        <v>59</v>
      </c>
      <c r="D90" s="609" t="s">
        <v>50</v>
      </c>
      <c r="E90" s="609" t="s">
        <v>84</v>
      </c>
      <c r="F90" s="610" t="s">
        <v>126</v>
      </c>
      <c r="G90" s="611"/>
      <c r="H90" s="275">
        <f>H91</f>
        <v>100.4</v>
      </c>
      <c r="I90" s="275">
        <f>I91</f>
        <v>100.4</v>
      </c>
    </row>
    <row r="91" spans="1:9" ht="37.5">
      <c r="A91" s="261"/>
      <c r="B91" s="575" t="s">
        <v>75</v>
      </c>
      <c r="C91" s="608" t="s">
        <v>59</v>
      </c>
      <c r="D91" s="609" t="s">
        <v>50</v>
      </c>
      <c r="E91" s="609" t="s">
        <v>84</v>
      </c>
      <c r="F91" s="610" t="s">
        <v>126</v>
      </c>
      <c r="G91" s="611" t="s">
        <v>76</v>
      </c>
      <c r="H91" s="275">
        <f>'прил13(ведом 22-23)'!M286</f>
        <v>100.4</v>
      </c>
      <c r="I91" s="275">
        <f>'прил13(ведом 22-23)'!N286</f>
        <v>100.4</v>
      </c>
    </row>
    <row r="92" spans="1:9" ht="34.5" customHeight="1">
      <c r="A92" s="261"/>
      <c r="B92" s="575" t="s">
        <v>799</v>
      </c>
      <c r="C92" s="608" t="s">
        <v>59</v>
      </c>
      <c r="D92" s="609" t="s">
        <v>50</v>
      </c>
      <c r="E92" s="609" t="s">
        <v>72</v>
      </c>
      <c r="F92" s="610" t="s">
        <v>64</v>
      </c>
      <c r="G92" s="611"/>
      <c r="H92" s="275">
        <f>H93</f>
        <v>25</v>
      </c>
      <c r="I92" s="275">
        <f>I93</f>
        <v>25</v>
      </c>
    </row>
    <row r="93" spans="1:9" ht="24" customHeight="1">
      <c r="A93" s="261"/>
      <c r="B93" s="575" t="s">
        <v>815</v>
      </c>
      <c r="C93" s="608" t="s">
        <v>59</v>
      </c>
      <c r="D93" s="609" t="s">
        <v>50</v>
      </c>
      <c r="E93" s="609" t="s">
        <v>72</v>
      </c>
      <c r="F93" s="610" t="s">
        <v>798</v>
      </c>
      <c r="G93" s="611"/>
      <c r="H93" s="275">
        <f>H94</f>
        <v>25</v>
      </c>
      <c r="I93" s="275">
        <f>I94</f>
        <v>25</v>
      </c>
    </row>
    <row r="94" spans="1:9" ht="33.75" customHeight="1">
      <c r="A94" s="261"/>
      <c r="B94" s="575" t="s">
        <v>75</v>
      </c>
      <c r="C94" s="608" t="s">
        <v>59</v>
      </c>
      <c r="D94" s="609" t="s">
        <v>50</v>
      </c>
      <c r="E94" s="609" t="s">
        <v>72</v>
      </c>
      <c r="F94" s="610" t="s">
        <v>798</v>
      </c>
      <c r="G94" s="611" t="s">
        <v>76</v>
      </c>
      <c r="H94" s="275">
        <f>'прил13(ведом 22-23)'!M289</f>
        <v>25</v>
      </c>
      <c r="I94" s="275">
        <f>'прил13(ведом 22-23)'!N289</f>
        <v>25</v>
      </c>
    </row>
    <row r="95" spans="1:9" ht="33.6" customHeight="1">
      <c r="A95" s="261"/>
      <c r="B95" s="575" t="s">
        <v>811</v>
      </c>
      <c r="C95" s="608" t="s">
        <v>59</v>
      </c>
      <c r="D95" s="609" t="s">
        <v>50</v>
      </c>
      <c r="E95" s="609" t="s">
        <v>86</v>
      </c>
      <c r="F95" s="730" t="s">
        <v>64</v>
      </c>
      <c r="G95" s="259"/>
      <c r="H95" s="275">
        <f>H96</f>
        <v>103.4</v>
      </c>
      <c r="I95" s="275">
        <f>I96</f>
        <v>103.4</v>
      </c>
    </row>
    <row r="96" spans="1:9" ht="36.75" customHeight="1">
      <c r="A96" s="261"/>
      <c r="B96" s="575" t="s">
        <v>148</v>
      </c>
      <c r="C96" s="608" t="s">
        <v>59</v>
      </c>
      <c r="D96" s="609" t="s">
        <v>50</v>
      </c>
      <c r="E96" s="609" t="s">
        <v>86</v>
      </c>
      <c r="F96" s="730" t="s">
        <v>111</v>
      </c>
      <c r="G96" s="259"/>
      <c r="H96" s="275">
        <f>H97</f>
        <v>103.4</v>
      </c>
      <c r="I96" s="275">
        <f>I97</f>
        <v>103.4</v>
      </c>
    </row>
    <row r="97" spans="1:9" ht="34.5" customHeight="1">
      <c r="A97" s="261"/>
      <c r="B97" s="575" t="s">
        <v>75</v>
      </c>
      <c r="C97" s="608" t="s">
        <v>59</v>
      </c>
      <c r="D97" s="609" t="s">
        <v>50</v>
      </c>
      <c r="E97" s="609" t="s">
        <v>86</v>
      </c>
      <c r="F97" s="730" t="s">
        <v>111</v>
      </c>
      <c r="G97" s="259" t="s">
        <v>76</v>
      </c>
      <c r="H97" s="275">
        <f>'прил13(ведом 22-23)'!M292</f>
        <v>103.4</v>
      </c>
      <c r="I97" s="275">
        <f>'прил13(ведом 22-23)'!N292</f>
        <v>103.4</v>
      </c>
    </row>
    <row r="98" spans="1:9" ht="18.75">
      <c r="A98" s="261"/>
      <c r="B98" s="283"/>
      <c r="C98" s="728"/>
      <c r="D98" s="729"/>
      <c r="E98" s="729"/>
      <c r="F98" s="730"/>
      <c r="G98" s="259"/>
      <c r="H98" s="275"/>
      <c r="I98" s="275"/>
    </row>
    <row r="99" spans="1:9" s="273" customFormat="1" ht="56.25">
      <c r="A99" s="284">
        <v>2</v>
      </c>
      <c r="B99" s="268" t="s">
        <v>235</v>
      </c>
      <c r="C99" s="285" t="s">
        <v>84</v>
      </c>
      <c r="D99" s="285" t="s">
        <v>62</v>
      </c>
      <c r="E99" s="285" t="s">
        <v>63</v>
      </c>
      <c r="F99" s="286" t="s">
        <v>64</v>
      </c>
      <c r="G99" s="271"/>
      <c r="H99" s="272">
        <f>H100+H125+H119</f>
        <v>91914</v>
      </c>
      <c r="I99" s="272">
        <f>I100+I125+I119</f>
        <v>92030.5</v>
      </c>
    </row>
    <row r="100" spans="1:9" s="273" customFormat="1" ht="56.25">
      <c r="A100" s="261"/>
      <c r="B100" s="287" t="s">
        <v>236</v>
      </c>
      <c r="C100" s="734" t="s">
        <v>84</v>
      </c>
      <c r="D100" s="735" t="s">
        <v>65</v>
      </c>
      <c r="E100" s="735" t="s">
        <v>63</v>
      </c>
      <c r="F100" s="736" t="s">
        <v>64</v>
      </c>
      <c r="G100" s="259"/>
      <c r="H100" s="275">
        <f>H101+H106+H111+H116</f>
        <v>82579.899999999994</v>
      </c>
      <c r="I100" s="275">
        <f>I101+I106+I111+I116</f>
        <v>82640.7</v>
      </c>
    </row>
    <row r="101" spans="1:9" s="273" customFormat="1" ht="37.5">
      <c r="A101" s="261"/>
      <c r="B101" s="287" t="s">
        <v>316</v>
      </c>
      <c r="C101" s="734" t="s">
        <v>84</v>
      </c>
      <c r="D101" s="735" t="s">
        <v>65</v>
      </c>
      <c r="E101" s="735" t="s">
        <v>57</v>
      </c>
      <c r="F101" s="736" t="s">
        <v>64</v>
      </c>
      <c r="G101" s="259"/>
      <c r="H101" s="275">
        <f>H102+H104</f>
        <v>57661.299999999996</v>
      </c>
      <c r="I101" s="275">
        <f>I102+I104</f>
        <v>57688.1</v>
      </c>
    </row>
    <row r="102" spans="1:9" s="273" customFormat="1" ht="37.5">
      <c r="A102" s="261"/>
      <c r="B102" s="274" t="s">
        <v>795</v>
      </c>
      <c r="C102" s="734" t="s">
        <v>84</v>
      </c>
      <c r="D102" s="735" t="s">
        <v>65</v>
      </c>
      <c r="E102" s="735" t="s">
        <v>57</v>
      </c>
      <c r="F102" s="736" t="s">
        <v>112</v>
      </c>
      <c r="G102" s="121"/>
      <c r="H102" s="275">
        <f>H103</f>
        <v>56386.6</v>
      </c>
      <c r="I102" s="275">
        <f>I103</f>
        <v>56413.4</v>
      </c>
    </row>
    <row r="103" spans="1:9" s="273" customFormat="1" ht="42.75" customHeight="1">
      <c r="A103" s="261"/>
      <c r="B103" s="276" t="s">
        <v>97</v>
      </c>
      <c r="C103" s="734" t="s">
        <v>84</v>
      </c>
      <c r="D103" s="735" t="s">
        <v>65</v>
      </c>
      <c r="E103" s="735" t="s">
        <v>57</v>
      </c>
      <c r="F103" s="736" t="s">
        <v>112</v>
      </c>
      <c r="G103" s="121" t="s">
        <v>98</v>
      </c>
      <c r="H103" s="275">
        <f>'прил13(ведом 22-23)'!M413</f>
        <v>56386.6</v>
      </c>
      <c r="I103" s="275">
        <f>'прил13(ведом 22-23)'!N413</f>
        <v>56413.4</v>
      </c>
    </row>
    <row r="104" spans="1:9" s="273" customFormat="1" ht="42.75" customHeight="1">
      <c r="A104" s="261"/>
      <c r="B104" s="139" t="s">
        <v>378</v>
      </c>
      <c r="C104" s="734" t="s">
        <v>84</v>
      </c>
      <c r="D104" s="735" t="s">
        <v>65</v>
      </c>
      <c r="E104" s="735" t="s">
        <v>57</v>
      </c>
      <c r="F104" s="736" t="s">
        <v>379</v>
      </c>
      <c r="G104" s="121"/>
      <c r="H104" s="275">
        <f>'прил13(ведом 22-23)'!M414</f>
        <v>1274.7</v>
      </c>
      <c r="I104" s="275">
        <f>'прил13(ведом 22-23)'!N414</f>
        <v>1274.7</v>
      </c>
    </row>
    <row r="105" spans="1:9" s="273" customFormat="1" ht="42.75" customHeight="1">
      <c r="A105" s="261"/>
      <c r="B105" s="139" t="s">
        <v>97</v>
      </c>
      <c r="C105" s="734" t="s">
        <v>84</v>
      </c>
      <c r="D105" s="735" t="s">
        <v>65</v>
      </c>
      <c r="E105" s="735" t="s">
        <v>57</v>
      </c>
      <c r="F105" s="736" t="s">
        <v>379</v>
      </c>
      <c r="G105" s="121" t="s">
        <v>98</v>
      </c>
      <c r="H105" s="275">
        <f>'прил13(ведом 22-23)'!M415</f>
        <v>1274.7</v>
      </c>
      <c r="I105" s="275">
        <f>'прил13(ведом 22-23)'!N415</f>
        <v>1274.7</v>
      </c>
    </row>
    <row r="106" spans="1:9" s="273" customFormat="1" ht="18.75">
      <c r="A106" s="261"/>
      <c r="B106" s="274" t="s">
        <v>380</v>
      </c>
      <c r="C106" s="151" t="s">
        <v>84</v>
      </c>
      <c r="D106" s="291" t="s">
        <v>65</v>
      </c>
      <c r="E106" s="291" t="s">
        <v>84</v>
      </c>
      <c r="F106" s="292" t="s">
        <v>64</v>
      </c>
      <c r="G106" s="293"/>
      <c r="H106" s="275">
        <f>H107+H109</f>
        <v>11645.9</v>
      </c>
      <c r="I106" s="275">
        <f>I107+I109</f>
        <v>11655.5</v>
      </c>
    </row>
    <row r="107" spans="1:9" s="273" customFormat="1" ht="37.5">
      <c r="A107" s="261"/>
      <c r="B107" s="274" t="s">
        <v>795</v>
      </c>
      <c r="C107" s="151" t="s">
        <v>84</v>
      </c>
      <c r="D107" s="291" t="s">
        <v>65</v>
      </c>
      <c r="E107" s="291" t="s">
        <v>84</v>
      </c>
      <c r="F107" s="292" t="s">
        <v>112</v>
      </c>
      <c r="G107" s="293"/>
      <c r="H107" s="275">
        <f>H108</f>
        <v>11498.5</v>
      </c>
      <c r="I107" s="275">
        <f>I108</f>
        <v>11508.1</v>
      </c>
    </row>
    <row r="108" spans="1:9" s="273" customFormat="1" ht="45" customHeight="1">
      <c r="A108" s="261"/>
      <c r="B108" s="276" t="s">
        <v>97</v>
      </c>
      <c r="C108" s="734" t="s">
        <v>84</v>
      </c>
      <c r="D108" s="735" t="s">
        <v>65</v>
      </c>
      <c r="E108" s="735" t="s">
        <v>84</v>
      </c>
      <c r="F108" s="736" t="s">
        <v>112</v>
      </c>
      <c r="G108" s="121" t="s">
        <v>98</v>
      </c>
      <c r="H108" s="275">
        <f>'прил13(ведом 22-23)'!M428</f>
        <v>11498.5</v>
      </c>
      <c r="I108" s="275">
        <f>'прил13(ведом 22-23)'!N428</f>
        <v>11508.1</v>
      </c>
    </row>
    <row r="109" spans="1:9" s="273" customFormat="1" ht="45" customHeight="1">
      <c r="A109" s="261"/>
      <c r="B109" s="139" t="s">
        <v>378</v>
      </c>
      <c r="C109" s="734" t="s">
        <v>84</v>
      </c>
      <c r="D109" s="735" t="s">
        <v>65</v>
      </c>
      <c r="E109" s="735" t="s">
        <v>84</v>
      </c>
      <c r="F109" s="736" t="s">
        <v>379</v>
      </c>
      <c r="G109" s="121"/>
      <c r="H109" s="275">
        <f>H110</f>
        <v>147.4</v>
      </c>
      <c r="I109" s="275">
        <f>I110</f>
        <v>147.4</v>
      </c>
    </row>
    <row r="110" spans="1:9" s="273" customFormat="1" ht="42.75" customHeight="1">
      <c r="A110" s="261"/>
      <c r="B110" s="139" t="s">
        <v>97</v>
      </c>
      <c r="C110" s="734" t="s">
        <v>84</v>
      </c>
      <c r="D110" s="735" t="s">
        <v>65</v>
      </c>
      <c r="E110" s="735" t="s">
        <v>84</v>
      </c>
      <c r="F110" s="736" t="s">
        <v>379</v>
      </c>
      <c r="G110" s="121" t="s">
        <v>98</v>
      </c>
      <c r="H110" s="275">
        <f>'прил13(ведом 22-23)'!M430</f>
        <v>147.4</v>
      </c>
      <c r="I110" s="275">
        <f>'прил13(ведом 22-23)'!N430</f>
        <v>147.4</v>
      </c>
    </row>
    <row r="111" spans="1:9" s="273" customFormat="1" ht="37.5">
      <c r="A111" s="261"/>
      <c r="B111" s="276" t="s">
        <v>382</v>
      </c>
      <c r="C111" s="151" t="s">
        <v>84</v>
      </c>
      <c r="D111" s="291" t="s">
        <v>65</v>
      </c>
      <c r="E111" s="291" t="s">
        <v>72</v>
      </c>
      <c r="F111" s="736" t="s">
        <v>64</v>
      </c>
      <c r="G111" s="121"/>
      <c r="H111" s="275">
        <f>H112</f>
        <v>12994.800000000001</v>
      </c>
      <c r="I111" s="275">
        <f>I112</f>
        <v>13019.2</v>
      </c>
    </row>
    <row r="112" spans="1:9" s="273" customFormat="1" ht="37.5">
      <c r="A112" s="261"/>
      <c r="B112" s="274" t="s">
        <v>795</v>
      </c>
      <c r="C112" s="151" t="s">
        <v>84</v>
      </c>
      <c r="D112" s="291" t="s">
        <v>65</v>
      </c>
      <c r="E112" s="291" t="s">
        <v>72</v>
      </c>
      <c r="F112" s="292" t="s">
        <v>112</v>
      </c>
      <c r="G112" s="293"/>
      <c r="H112" s="275">
        <f>SUM(H113:H115)</f>
        <v>12994.800000000001</v>
      </c>
      <c r="I112" s="275">
        <f>SUM(I113:I115)</f>
        <v>13019.2</v>
      </c>
    </row>
    <row r="113" spans="1:9" s="273" customFormat="1" ht="93.75">
      <c r="A113" s="261"/>
      <c r="B113" s="135" t="s">
        <v>69</v>
      </c>
      <c r="C113" s="734" t="s">
        <v>84</v>
      </c>
      <c r="D113" s="735" t="s">
        <v>65</v>
      </c>
      <c r="E113" s="735" t="s">
        <v>72</v>
      </c>
      <c r="F113" s="736" t="s">
        <v>112</v>
      </c>
      <c r="G113" s="121" t="s">
        <v>70</v>
      </c>
      <c r="H113" s="275">
        <f>'прил13(ведом 22-23)'!M433</f>
        <v>11426.1</v>
      </c>
      <c r="I113" s="275">
        <f>'прил13(ведом 22-23)'!N433</f>
        <v>11426.1</v>
      </c>
    </row>
    <row r="114" spans="1:9" s="273" customFormat="1" ht="37.5">
      <c r="A114" s="261"/>
      <c r="B114" s="135" t="s">
        <v>75</v>
      </c>
      <c r="C114" s="734" t="s">
        <v>84</v>
      </c>
      <c r="D114" s="735" t="s">
        <v>65</v>
      </c>
      <c r="E114" s="735" t="s">
        <v>72</v>
      </c>
      <c r="F114" s="736" t="s">
        <v>112</v>
      </c>
      <c r="G114" s="121" t="s">
        <v>76</v>
      </c>
      <c r="H114" s="275">
        <f>'прил13(ведом 22-23)'!M434</f>
        <v>1554.1</v>
      </c>
      <c r="I114" s="275">
        <f>'прил13(ведом 22-23)'!N434</f>
        <v>1578.5</v>
      </c>
    </row>
    <row r="115" spans="1:9" s="273" customFormat="1" ht="18.75">
      <c r="A115" s="261"/>
      <c r="B115" s="135" t="s">
        <v>77</v>
      </c>
      <c r="C115" s="734" t="s">
        <v>84</v>
      </c>
      <c r="D115" s="735" t="s">
        <v>65</v>
      </c>
      <c r="E115" s="735" t="s">
        <v>72</v>
      </c>
      <c r="F115" s="736" t="s">
        <v>112</v>
      </c>
      <c r="G115" s="121" t="s">
        <v>78</v>
      </c>
      <c r="H115" s="275">
        <f>'прил13(ведом 22-23)'!M435</f>
        <v>14.6</v>
      </c>
      <c r="I115" s="275">
        <f>'прил13(ведом 22-23)'!N435</f>
        <v>14.6</v>
      </c>
    </row>
    <row r="116" spans="1:9" s="273" customFormat="1" ht="39.75" customHeight="1">
      <c r="A116" s="261"/>
      <c r="B116" s="139" t="s">
        <v>321</v>
      </c>
      <c r="C116" s="734" t="s">
        <v>84</v>
      </c>
      <c r="D116" s="735" t="s">
        <v>65</v>
      </c>
      <c r="E116" s="735" t="s">
        <v>86</v>
      </c>
      <c r="F116" s="736" t="s">
        <v>64</v>
      </c>
      <c r="G116" s="121"/>
      <c r="H116" s="275">
        <f>'прил13(ведом 22-23)'!M419</f>
        <v>277.89999999999998</v>
      </c>
      <c r="I116" s="275">
        <f>'прил13(ведом 22-23)'!N419</f>
        <v>277.89999999999998</v>
      </c>
    </row>
    <row r="117" spans="1:9" s="273" customFormat="1" ht="37.5">
      <c r="A117" s="261"/>
      <c r="B117" s="139" t="s">
        <v>810</v>
      </c>
      <c r="C117" s="734" t="s">
        <v>84</v>
      </c>
      <c r="D117" s="735" t="s">
        <v>65</v>
      </c>
      <c r="E117" s="735" t="s">
        <v>86</v>
      </c>
      <c r="F117" s="736" t="s">
        <v>809</v>
      </c>
      <c r="G117" s="121"/>
      <c r="H117" s="275">
        <f>'прил13(ведом 22-23)'!M420</f>
        <v>277.89999999999998</v>
      </c>
      <c r="I117" s="275">
        <f>'прил13(ведом 22-23)'!N420</f>
        <v>277.89999999999998</v>
      </c>
    </row>
    <row r="118" spans="1:9" s="273" customFormat="1" ht="34.5" customHeight="1">
      <c r="A118" s="261"/>
      <c r="B118" s="139" t="s">
        <v>97</v>
      </c>
      <c r="C118" s="734" t="s">
        <v>84</v>
      </c>
      <c r="D118" s="735" t="s">
        <v>65</v>
      </c>
      <c r="E118" s="735" t="s">
        <v>86</v>
      </c>
      <c r="F118" s="736" t="s">
        <v>809</v>
      </c>
      <c r="G118" s="121" t="s">
        <v>98</v>
      </c>
      <c r="H118" s="275">
        <f>'прил13(ведом 22-23)'!M421</f>
        <v>277.89999999999998</v>
      </c>
      <c r="I118" s="275">
        <f>'прил13(ведом 22-23)'!N421</f>
        <v>277.89999999999998</v>
      </c>
    </row>
    <row r="119" spans="1:9" s="273" customFormat="1" ht="37.5">
      <c r="A119" s="261"/>
      <c r="B119" s="135" t="s">
        <v>391</v>
      </c>
      <c r="C119" s="151" t="s">
        <v>84</v>
      </c>
      <c r="D119" s="291" t="s">
        <v>110</v>
      </c>
      <c r="E119" s="291" t="s">
        <v>63</v>
      </c>
      <c r="F119" s="736" t="s">
        <v>64</v>
      </c>
      <c r="G119" s="121"/>
      <c r="H119" s="275">
        <f t="shared" ref="H119:I123" si="0">H120</f>
        <v>60</v>
      </c>
      <c r="I119" s="275">
        <f t="shared" si="0"/>
        <v>57.9</v>
      </c>
    </row>
    <row r="120" spans="1:9" s="273" customFormat="1" ht="93.75">
      <c r="A120" s="261"/>
      <c r="B120" s="139" t="s">
        <v>383</v>
      </c>
      <c r="C120" s="151" t="s">
        <v>84</v>
      </c>
      <c r="D120" s="291" t="s">
        <v>110</v>
      </c>
      <c r="E120" s="291" t="s">
        <v>84</v>
      </c>
      <c r="F120" s="736" t="s">
        <v>64</v>
      </c>
      <c r="G120" s="121"/>
      <c r="H120" s="275">
        <f>H123+H121</f>
        <v>60</v>
      </c>
      <c r="I120" s="275">
        <f>I123+I121</f>
        <v>57.9</v>
      </c>
    </row>
    <row r="121" spans="1:9" s="273" customFormat="1" ht="37.5">
      <c r="A121" s="261"/>
      <c r="B121" s="139" t="s">
        <v>378</v>
      </c>
      <c r="C121" s="151" t="s">
        <v>84</v>
      </c>
      <c r="D121" s="291" t="s">
        <v>110</v>
      </c>
      <c r="E121" s="291" t="s">
        <v>84</v>
      </c>
      <c r="F121" s="736" t="s">
        <v>379</v>
      </c>
      <c r="G121" s="121"/>
      <c r="H121" s="275">
        <f>H122</f>
        <v>17.899999999999999</v>
      </c>
      <c r="I121" s="275">
        <f>I122</f>
        <v>17.899999999999999</v>
      </c>
    </row>
    <row r="122" spans="1:9" s="273" customFormat="1" ht="38.25" customHeight="1">
      <c r="A122" s="261"/>
      <c r="B122" s="139" t="s">
        <v>97</v>
      </c>
      <c r="C122" s="151" t="s">
        <v>84</v>
      </c>
      <c r="D122" s="291" t="s">
        <v>110</v>
      </c>
      <c r="E122" s="291" t="s">
        <v>84</v>
      </c>
      <c r="F122" s="736" t="s">
        <v>379</v>
      </c>
      <c r="G122" s="121" t="s">
        <v>98</v>
      </c>
      <c r="H122" s="275">
        <f>'прил13(ведом 22-23)'!M439</f>
        <v>17.899999999999999</v>
      </c>
      <c r="I122" s="275">
        <f>'прил13(ведом 22-23)'!N439</f>
        <v>17.899999999999999</v>
      </c>
    </row>
    <row r="123" spans="1:9" s="273" customFormat="1" ht="42" customHeight="1">
      <c r="A123" s="261"/>
      <c r="B123" s="139" t="s">
        <v>586</v>
      </c>
      <c r="C123" s="734" t="s">
        <v>84</v>
      </c>
      <c r="D123" s="735" t="s">
        <v>110</v>
      </c>
      <c r="E123" s="735" t="s">
        <v>84</v>
      </c>
      <c r="F123" s="736" t="s">
        <v>587</v>
      </c>
      <c r="G123" s="121"/>
      <c r="H123" s="275">
        <f t="shared" si="0"/>
        <v>42.1</v>
      </c>
      <c r="I123" s="275">
        <f t="shared" si="0"/>
        <v>40</v>
      </c>
    </row>
    <row r="124" spans="1:9" s="273" customFormat="1" ht="42" customHeight="1">
      <c r="A124" s="261"/>
      <c r="B124" s="139" t="s">
        <v>97</v>
      </c>
      <c r="C124" s="734" t="s">
        <v>84</v>
      </c>
      <c r="D124" s="735" t="s">
        <v>110</v>
      </c>
      <c r="E124" s="735" t="s">
        <v>84</v>
      </c>
      <c r="F124" s="736" t="s">
        <v>587</v>
      </c>
      <c r="G124" s="121" t="s">
        <v>98</v>
      </c>
      <c r="H124" s="275">
        <f>'прил13(ведом 22-23)'!M441</f>
        <v>42.1</v>
      </c>
      <c r="I124" s="275">
        <f>'прил13(ведом 22-23)'!N441</f>
        <v>40</v>
      </c>
    </row>
    <row r="125" spans="1:9" s="273" customFormat="1" ht="39" customHeight="1">
      <c r="A125" s="261"/>
      <c r="B125" s="274" t="s">
        <v>238</v>
      </c>
      <c r="C125" s="734" t="s">
        <v>84</v>
      </c>
      <c r="D125" s="735" t="s">
        <v>50</v>
      </c>
      <c r="E125" s="735" t="s">
        <v>63</v>
      </c>
      <c r="F125" s="736" t="s">
        <v>64</v>
      </c>
      <c r="G125" s="259"/>
      <c r="H125" s="275">
        <f>H126+H135</f>
        <v>9274.1</v>
      </c>
      <c r="I125" s="275">
        <f>I126+I135</f>
        <v>9331.9000000000015</v>
      </c>
    </row>
    <row r="126" spans="1:9" s="273" customFormat="1" ht="37.5">
      <c r="A126" s="261"/>
      <c r="B126" s="274" t="s">
        <v>322</v>
      </c>
      <c r="C126" s="734" t="s">
        <v>84</v>
      </c>
      <c r="D126" s="735" t="s">
        <v>50</v>
      </c>
      <c r="E126" s="735" t="s">
        <v>57</v>
      </c>
      <c r="F126" s="736" t="s">
        <v>64</v>
      </c>
      <c r="G126" s="121"/>
      <c r="H126" s="275">
        <f>H127+H131</f>
        <v>9246.1</v>
      </c>
      <c r="I126" s="275">
        <f>I127+I131</f>
        <v>9303.9000000000015</v>
      </c>
    </row>
    <row r="127" spans="1:9" ht="37.5">
      <c r="A127" s="261"/>
      <c r="B127" s="274" t="s">
        <v>67</v>
      </c>
      <c r="C127" s="734" t="s">
        <v>84</v>
      </c>
      <c r="D127" s="735" t="s">
        <v>50</v>
      </c>
      <c r="E127" s="735" t="s">
        <v>57</v>
      </c>
      <c r="F127" s="736" t="s">
        <v>68</v>
      </c>
      <c r="G127" s="293"/>
      <c r="H127" s="275">
        <f>SUM(H128:H130)</f>
        <v>2806.7</v>
      </c>
      <c r="I127" s="275">
        <f>SUM(I128:I130)</f>
        <v>2807.3</v>
      </c>
    </row>
    <row r="128" spans="1:9" ht="93.75">
      <c r="A128" s="261"/>
      <c r="B128" s="274" t="s">
        <v>69</v>
      </c>
      <c r="C128" s="734" t="s">
        <v>84</v>
      </c>
      <c r="D128" s="735" t="s">
        <v>50</v>
      </c>
      <c r="E128" s="735" t="s">
        <v>57</v>
      </c>
      <c r="F128" s="736" t="s">
        <v>68</v>
      </c>
      <c r="G128" s="293" t="s">
        <v>70</v>
      </c>
      <c r="H128" s="275">
        <f>'прил13(ведом 22-23)'!M447</f>
        <v>2605.6</v>
      </c>
      <c r="I128" s="275">
        <f>'прил13(ведом 22-23)'!N447</f>
        <v>2605.6</v>
      </c>
    </row>
    <row r="129" spans="1:9" ht="37.5">
      <c r="A129" s="261"/>
      <c r="B129" s="274" t="s">
        <v>75</v>
      </c>
      <c r="C129" s="734" t="s">
        <v>84</v>
      </c>
      <c r="D129" s="735" t="s">
        <v>50</v>
      </c>
      <c r="E129" s="735" t="s">
        <v>57</v>
      </c>
      <c r="F129" s="736" t="s">
        <v>68</v>
      </c>
      <c r="G129" s="293" t="s">
        <v>76</v>
      </c>
      <c r="H129" s="275">
        <f>'прил13(ведом 22-23)'!M448</f>
        <v>196.7</v>
      </c>
      <c r="I129" s="275">
        <f>'прил13(ведом 22-23)'!N448</f>
        <v>197.4</v>
      </c>
    </row>
    <row r="130" spans="1:9" ht="18.75">
      <c r="A130" s="261"/>
      <c r="B130" s="135" t="s">
        <v>77</v>
      </c>
      <c r="C130" s="734" t="s">
        <v>84</v>
      </c>
      <c r="D130" s="735" t="s">
        <v>50</v>
      </c>
      <c r="E130" s="735" t="s">
        <v>57</v>
      </c>
      <c r="F130" s="736" t="s">
        <v>68</v>
      </c>
      <c r="G130" s="121" t="s">
        <v>78</v>
      </c>
      <c r="H130" s="275">
        <f>'прил13(ведом 22-23)'!M449</f>
        <v>4.4000000000000004</v>
      </c>
      <c r="I130" s="275">
        <f>'прил13(ведом 22-23)'!N449</f>
        <v>4.3</v>
      </c>
    </row>
    <row r="131" spans="1:9" ht="37.5">
      <c r="A131" s="261"/>
      <c r="B131" s="274" t="s">
        <v>795</v>
      </c>
      <c r="C131" s="734" t="s">
        <v>84</v>
      </c>
      <c r="D131" s="735" t="s">
        <v>50</v>
      </c>
      <c r="E131" s="735" t="s">
        <v>57</v>
      </c>
      <c r="F131" s="736" t="s">
        <v>112</v>
      </c>
      <c r="G131" s="121"/>
      <c r="H131" s="275">
        <f>SUM(H132:H134)</f>
        <v>6439.4000000000005</v>
      </c>
      <c r="I131" s="275">
        <f>SUM(I132:I134)</f>
        <v>6496.6</v>
      </c>
    </row>
    <row r="132" spans="1:9" ht="93.75">
      <c r="A132" s="261"/>
      <c r="B132" s="274" t="s">
        <v>69</v>
      </c>
      <c r="C132" s="734" t="s">
        <v>84</v>
      </c>
      <c r="D132" s="735" t="s">
        <v>50</v>
      </c>
      <c r="E132" s="735" t="s">
        <v>57</v>
      </c>
      <c r="F132" s="736" t="s">
        <v>112</v>
      </c>
      <c r="G132" s="293" t="s">
        <v>70</v>
      </c>
      <c r="H132" s="275">
        <f>'прил13(ведом 22-23)'!M451</f>
        <v>5959.1</v>
      </c>
      <c r="I132" s="275">
        <f>'прил13(ведом 22-23)'!N451</f>
        <v>5959.1</v>
      </c>
    </row>
    <row r="133" spans="1:9" ht="37.5">
      <c r="A133" s="261"/>
      <c r="B133" s="135" t="s">
        <v>75</v>
      </c>
      <c r="C133" s="734" t="s">
        <v>84</v>
      </c>
      <c r="D133" s="735" t="s">
        <v>50</v>
      </c>
      <c r="E133" s="735" t="s">
        <v>57</v>
      </c>
      <c r="F133" s="736" t="s">
        <v>112</v>
      </c>
      <c r="G133" s="293" t="s">
        <v>76</v>
      </c>
      <c r="H133" s="275">
        <f>'прил13(ведом 22-23)'!M452</f>
        <v>478.7</v>
      </c>
      <c r="I133" s="275">
        <f>'прил13(ведом 22-23)'!N452</f>
        <v>535.9</v>
      </c>
    </row>
    <row r="134" spans="1:9" ht="18.75">
      <c r="A134" s="261"/>
      <c r="B134" s="135" t="s">
        <v>77</v>
      </c>
      <c r="C134" s="734" t="s">
        <v>84</v>
      </c>
      <c r="D134" s="735" t="s">
        <v>50</v>
      </c>
      <c r="E134" s="735" t="s">
        <v>57</v>
      </c>
      <c r="F134" s="736" t="s">
        <v>112</v>
      </c>
      <c r="G134" s="121" t="s">
        <v>78</v>
      </c>
      <c r="H134" s="275">
        <f>'прил13(ведом 22-23)'!M453</f>
        <v>1.6</v>
      </c>
      <c r="I134" s="275">
        <f>'прил13(ведом 22-23)'!N453</f>
        <v>1.6</v>
      </c>
    </row>
    <row r="135" spans="1:9" ht="37.5">
      <c r="A135" s="261"/>
      <c r="B135" s="135" t="s">
        <v>428</v>
      </c>
      <c r="C135" s="535" t="s">
        <v>84</v>
      </c>
      <c r="D135" s="536" t="s">
        <v>50</v>
      </c>
      <c r="E135" s="536" t="s">
        <v>59</v>
      </c>
      <c r="F135" s="537" t="s">
        <v>64</v>
      </c>
      <c r="G135" s="131"/>
      <c r="H135" s="275">
        <f>H136</f>
        <v>28</v>
      </c>
      <c r="I135" s="275">
        <f>I136</f>
        <v>28</v>
      </c>
    </row>
    <row r="136" spans="1:9" ht="56.25">
      <c r="A136" s="261"/>
      <c r="B136" s="135" t="s">
        <v>429</v>
      </c>
      <c r="C136" s="535" t="s">
        <v>84</v>
      </c>
      <c r="D136" s="536" t="s">
        <v>50</v>
      </c>
      <c r="E136" s="536" t="s">
        <v>59</v>
      </c>
      <c r="F136" s="537" t="s">
        <v>126</v>
      </c>
      <c r="G136" s="131"/>
      <c r="H136" s="275">
        <f>H137</f>
        <v>28</v>
      </c>
      <c r="I136" s="275">
        <f>I137</f>
        <v>28</v>
      </c>
    </row>
    <row r="137" spans="1:9" ht="37.5">
      <c r="A137" s="261"/>
      <c r="B137" s="135" t="s">
        <v>75</v>
      </c>
      <c r="C137" s="535" t="s">
        <v>84</v>
      </c>
      <c r="D137" s="536" t="s">
        <v>50</v>
      </c>
      <c r="E137" s="536" t="s">
        <v>59</v>
      </c>
      <c r="F137" s="537" t="s">
        <v>126</v>
      </c>
      <c r="G137" s="152" t="s">
        <v>76</v>
      </c>
      <c r="H137" s="275">
        <f>'прил13(ведом 22-23)'!M406</f>
        <v>28</v>
      </c>
      <c r="I137" s="275">
        <f>'прил13(ведом 22-23)'!N406</f>
        <v>28</v>
      </c>
    </row>
    <row r="138" spans="1:9" ht="18.75">
      <c r="A138" s="261"/>
      <c r="B138" s="283"/>
      <c r="C138" s="729"/>
      <c r="D138" s="294"/>
      <c r="E138" s="295"/>
      <c r="F138" s="296"/>
      <c r="G138" s="259"/>
      <c r="H138" s="275"/>
      <c r="I138" s="275"/>
    </row>
    <row r="139" spans="1:9" s="273" customFormat="1" ht="56.25">
      <c r="A139" s="284">
        <v>3</v>
      </c>
      <c r="B139" s="297" t="s">
        <v>239</v>
      </c>
      <c r="C139" s="285" t="s">
        <v>72</v>
      </c>
      <c r="D139" s="285" t="s">
        <v>62</v>
      </c>
      <c r="E139" s="285" t="s">
        <v>63</v>
      </c>
      <c r="F139" s="286" t="s">
        <v>64</v>
      </c>
      <c r="G139" s="271"/>
      <c r="H139" s="272">
        <f>H140+H147</f>
        <v>21837.300000000003</v>
      </c>
      <c r="I139" s="272">
        <f>I140+I147</f>
        <v>24564.5</v>
      </c>
    </row>
    <row r="140" spans="1:9" s="273" customFormat="1" ht="25.5" customHeight="1">
      <c r="A140" s="284"/>
      <c r="B140" s="141" t="s">
        <v>240</v>
      </c>
      <c r="C140" s="734" t="s">
        <v>72</v>
      </c>
      <c r="D140" s="735" t="s">
        <v>65</v>
      </c>
      <c r="E140" s="735" t="s">
        <v>63</v>
      </c>
      <c r="F140" s="736" t="s">
        <v>64</v>
      </c>
      <c r="G140" s="271"/>
      <c r="H140" s="275">
        <f>H141+H144</f>
        <v>180</v>
      </c>
      <c r="I140" s="275">
        <f>I141+I144</f>
        <v>3869.7999999999997</v>
      </c>
    </row>
    <row r="141" spans="1:9" s="273" customFormat="1" ht="18.75">
      <c r="A141" s="284"/>
      <c r="B141" s="135" t="s">
        <v>317</v>
      </c>
      <c r="C141" s="734" t="s">
        <v>72</v>
      </c>
      <c r="D141" s="735" t="s">
        <v>65</v>
      </c>
      <c r="E141" s="735" t="s">
        <v>57</v>
      </c>
      <c r="F141" s="736" t="s">
        <v>64</v>
      </c>
      <c r="G141" s="121"/>
      <c r="H141" s="275">
        <f t="shared" ref="H141:I142" si="1">H142</f>
        <v>180</v>
      </c>
      <c r="I141" s="275">
        <f t="shared" si="1"/>
        <v>180</v>
      </c>
    </row>
    <row r="142" spans="1:9" s="273" customFormat="1" ht="37.5">
      <c r="A142" s="284"/>
      <c r="B142" s="135" t="s">
        <v>318</v>
      </c>
      <c r="C142" s="734" t="s">
        <v>72</v>
      </c>
      <c r="D142" s="735" t="s">
        <v>65</v>
      </c>
      <c r="E142" s="735" t="s">
        <v>57</v>
      </c>
      <c r="F142" s="736" t="s">
        <v>319</v>
      </c>
      <c r="G142" s="121"/>
      <c r="H142" s="275">
        <f t="shared" si="1"/>
        <v>180</v>
      </c>
      <c r="I142" s="275">
        <f t="shared" si="1"/>
        <v>180</v>
      </c>
    </row>
    <row r="143" spans="1:9" s="273" customFormat="1" ht="27" customHeight="1">
      <c r="A143" s="284"/>
      <c r="B143" s="135" t="s">
        <v>141</v>
      </c>
      <c r="C143" s="734" t="s">
        <v>72</v>
      </c>
      <c r="D143" s="735" t="s">
        <v>65</v>
      </c>
      <c r="E143" s="735" t="s">
        <v>57</v>
      </c>
      <c r="F143" s="736" t="s">
        <v>319</v>
      </c>
      <c r="G143" s="121" t="s">
        <v>142</v>
      </c>
      <c r="H143" s="275">
        <f>'прил13(ведом 22-23)'!M469</f>
        <v>180</v>
      </c>
      <c r="I143" s="275">
        <f>'прил13(ведом 22-23)'!N469</f>
        <v>180</v>
      </c>
    </row>
    <row r="144" spans="1:9" s="273" customFormat="1" ht="27" customHeight="1">
      <c r="A144" s="284"/>
      <c r="B144" s="135" t="s">
        <v>895</v>
      </c>
      <c r="C144" s="734" t="s">
        <v>72</v>
      </c>
      <c r="D144" s="735" t="s">
        <v>65</v>
      </c>
      <c r="E144" s="735" t="s">
        <v>894</v>
      </c>
      <c r="F144" s="736" t="s">
        <v>64</v>
      </c>
      <c r="G144" s="121"/>
      <c r="H144" s="275">
        <f>H145</f>
        <v>0</v>
      </c>
      <c r="I144" s="275">
        <f>I145</f>
        <v>3689.7999999999997</v>
      </c>
    </row>
    <row r="145" spans="1:9" s="273" customFormat="1" ht="40.5" customHeight="1">
      <c r="A145" s="284"/>
      <c r="B145" s="135" t="s">
        <v>896</v>
      </c>
      <c r="C145" s="734" t="s">
        <v>72</v>
      </c>
      <c r="D145" s="735" t="s">
        <v>65</v>
      </c>
      <c r="E145" s="735" t="s">
        <v>894</v>
      </c>
      <c r="F145" s="736" t="s">
        <v>913</v>
      </c>
      <c r="G145" s="121"/>
      <c r="H145" s="275">
        <f>H146</f>
        <v>0</v>
      </c>
      <c r="I145" s="275">
        <f>I146</f>
        <v>3689.7999999999997</v>
      </c>
    </row>
    <row r="146" spans="1:9" s="273" customFormat="1" ht="37.5" customHeight="1">
      <c r="A146" s="284"/>
      <c r="B146" s="135" t="s">
        <v>75</v>
      </c>
      <c r="C146" s="734" t="s">
        <v>72</v>
      </c>
      <c r="D146" s="735" t="s">
        <v>65</v>
      </c>
      <c r="E146" s="735" t="s">
        <v>894</v>
      </c>
      <c r="F146" s="736" t="s">
        <v>913</v>
      </c>
      <c r="G146" s="121" t="s">
        <v>76</v>
      </c>
      <c r="H146" s="275">
        <f>'прил13(ведом 22-23)'!M485</f>
        <v>0</v>
      </c>
      <c r="I146" s="275">
        <f>'прил13(ведом 22-23)'!N485</f>
        <v>3689.7999999999997</v>
      </c>
    </row>
    <row r="147" spans="1:9" ht="23.25" customHeight="1">
      <c r="A147" s="261"/>
      <c r="B147" s="274" t="s">
        <v>242</v>
      </c>
      <c r="C147" s="734" t="s">
        <v>72</v>
      </c>
      <c r="D147" s="735" t="s">
        <v>110</v>
      </c>
      <c r="E147" s="735" t="s">
        <v>63</v>
      </c>
      <c r="F147" s="736" t="s">
        <v>64</v>
      </c>
      <c r="G147" s="259"/>
      <c r="H147" s="275">
        <f>H148+H153+H162</f>
        <v>21657.300000000003</v>
      </c>
      <c r="I147" s="275">
        <f>I148+I153+I162</f>
        <v>20694.7</v>
      </c>
    </row>
    <row r="148" spans="1:9" ht="37.5">
      <c r="A148" s="261"/>
      <c r="B148" s="274" t="s">
        <v>322</v>
      </c>
      <c r="C148" s="734" t="s">
        <v>72</v>
      </c>
      <c r="D148" s="735" t="s">
        <v>110</v>
      </c>
      <c r="E148" s="735" t="s">
        <v>57</v>
      </c>
      <c r="F148" s="736" t="s">
        <v>64</v>
      </c>
      <c r="G148" s="121"/>
      <c r="H148" s="275">
        <f>H149</f>
        <v>2485.4</v>
      </c>
      <c r="I148" s="275">
        <f>I149</f>
        <v>2375.7000000000003</v>
      </c>
    </row>
    <row r="149" spans="1:9" ht="37.5">
      <c r="A149" s="261"/>
      <c r="B149" s="274" t="s">
        <v>67</v>
      </c>
      <c r="C149" s="734" t="s">
        <v>72</v>
      </c>
      <c r="D149" s="735" t="s">
        <v>110</v>
      </c>
      <c r="E149" s="735" t="s">
        <v>57</v>
      </c>
      <c r="F149" s="736" t="s">
        <v>68</v>
      </c>
      <c r="G149" s="121"/>
      <c r="H149" s="275">
        <f>SUM(H150:H152)</f>
        <v>2485.4</v>
      </c>
      <c r="I149" s="275">
        <f>SUM(I150:I152)</f>
        <v>2375.7000000000003</v>
      </c>
    </row>
    <row r="150" spans="1:9" ht="93.75">
      <c r="A150" s="261"/>
      <c r="B150" s="274" t="s">
        <v>69</v>
      </c>
      <c r="C150" s="734" t="s">
        <v>72</v>
      </c>
      <c r="D150" s="735" t="s">
        <v>110</v>
      </c>
      <c r="E150" s="735" t="s">
        <v>57</v>
      </c>
      <c r="F150" s="736" t="s">
        <v>68</v>
      </c>
      <c r="G150" s="121" t="s">
        <v>70</v>
      </c>
      <c r="H150" s="275">
        <f>'прил13(ведом 22-23)'!M491</f>
        <v>2371.8000000000002</v>
      </c>
      <c r="I150" s="275">
        <f>'прил13(ведом 22-23)'!N491</f>
        <v>2371.8000000000002</v>
      </c>
    </row>
    <row r="151" spans="1:9" ht="37.5">
      <c r="A151" s="261"/>
      <c r="B151" s="135" t="s">
        <v>75</v>
      </c>
      <c r="C151" s="734" t="s">
        <v>72</v>
      </c>
      <c r="D151" s="735" t="s">
        <v>110</v>
      </c>
      <c r="E151" s="735" t="s">
        <v>57</v>
      </c>
      <c r="F151" s="736" t="s">
        <v>68</v>
      </c>
      <c r="G151" s="121" t="s">
        <v>76</v>
      </c>
      <c r="H151" s="275">
        <f>'прил13(ведом 22-23)'!M492</f>
        <v>111.6</v>
      </c>
      <c r="I151" s="275">
        <f>'прил13(ведом 22-23)'!N492</f>
        <v>2</v>
      </c>
    </row>
    <row r="152" spans="1:9" ht="18.75">
      <c r="A152" s="261"/>
      <c r="B152" s="135" t="s">
        <v>77</v>
      </c>
      <c r="C152" s="734" t="s">
        <v>72</v>
      </c>
      <c r="D152" s="735" t="s">
        <v>110</v>
      </c>
      <c r="E152" s="735" t="s">
        <v>57</v>
      </c>
      <c r="F152" s="736" t="s">
        <v>68</v>
      </c>
      <c r="G152" s="121" t="s">
        <v>78</v>
      </c>
      <c r="H152" s="275">
        <f>'прил13(ведом 22-23)'!M493</f>
        <v>2</v>
      </c>
      <c r="I152" s="275">
        <f>'прил13(ведом 22-23)'!N493</f>
        <v>1.9</v>
      </c>
    </row>
    <row r="153" spans="1:9" ht="18.75">
      <c r="A153" s="261"/>
      <c r="B153" s="274" t="s">
        <v>444</v>
      </c>
      <c r="C153" s="734" t="s">
        <v>72</v>
      </c>
      <c r="D153" s="735" t="s">
        <v>110</v>
      </c>
      <c r="E153" s="735" t="s">
        <v>59</v>
      </c>
      <c r="F153" s="736" t="s">
        <v>64</v>
      </c>
      <c r="G153" s="121"/>
      <c r="H153" s="275">
        <f>H154+H158+H160</f>
        <v>19136.600000000002</v>
      </c>
      <c r="I153" s="275">
        <f>I154+I158+I160</f>
        <v>18283.7</v>
      </c>
    </row>
    <row r="154" spans="1:9" ht="37.5">
      <c r="A154" s="261"/>
      <c r="B154" s="274" t="s">
        <v>795</v>
      </c>
      <c r="C154" s="734" t="s">
        <v>72</v>
      </c>
      <c r="D154" s="735" t="s">
        <v>110</v>
      </c>
      <c r="E154" s="735" t="s">
        <v>59</v>
      </c>
      <c r="F154" s="736" t="s">
        <v>112</v>
      </c>
      <c r="G154" s="121"/>
      <c r="H154" s="275">
        <f>SUM(H155:H157)</f>
        <v>18158.7</v>
      </c>
      <c r="I154" s="275">
        <f>SUM(I155:I157)</f>
        <v>18158.7</v>
      </c>
    </row>
    <row r="155" spans="1:9" ht="93.75">
      <c r="A155" s="261"/>
      <c r="B155" s="274" t="s">
        <v>69</v>
      </c>
      <c r="C155" s="734" t="s">
        <v>72</v>
      </c>
      <c r="D155" s="735" t="s">
        <v>110</v>
      </c>
      <c r="E155" s="735" t="s">
        <v>59</v>
      </c>
      <c r="F155" s="736" t="s">
        <v>112</v>
      </c>
      <c r="G155" s="121" t="s">
        <v>70</v>
      </c>
      <c r="H155" s="275">
        <f>'прил13(ведом 22-23)'!M473</f>
        <v>17673</v>
      </c>
      <c r="I155" s="275">
        <f>'прил13(ведом 22-23)'!N473</f>
        <v>17673</v>
      </c>
    </row>
    <row r="156" spans="1:9" ht="37.5">
      <c r="A156" s="261"/>
      <c r="B156" s="274" t="s">
        <v>75</v>
      </c>
      <c r="C156" s="734" t="s">
        <v>72</v>
      </c>
      <c r="D156" s="735" t="s">
        <v>110</v>
      </c>
      <c r="E156" s="735" t="s">
        <v>59</v>
      </c>
      <c r="F156" s="736" t="s">
        <v>112</v>
      </c>
      <c r="G156" s="121" t="s">
        <v>76</v>
      </c>
      <c r="H156" s="275">
        <f>'прил13(ведом 22-23)'!M474</f>
        <v>425.8</v>
      </c>
      <c r="I156" s="275">
        <f>'прил13(ведом 22-23)'!N474</f>
        <v>427.8</v>
      </c>
    </row>
    <row r="157" spans="1:9" ht="18.75">
      <c r="A157" s="261"/>
      <c r="B157" s="274" t="s">
        <v>77</v>
      </c>
      <c r="C157" s="734" t="s">
        <v>72</v>
      </c>
      <c r="D157" s="735" t="s">
        <v>110</v>
      </c>
      <c r="E157" s="735" t="s">
        <v>59</v>
      </c>
      <c r="F157" s="736" t="s">
        <v>112</v>
      </c>
      <c r="G157" s="121" t="s">
        <v>78</v>
      </c>
      <c r="H157" s="275">
        <f>'прил13(ведом 22-23)'!M475</f>
        <v>59.9</v>
      </c>
      <c r="I157" s="275">
        <f>'прил13(ведом 22-23)'!N475</f>
        <v>57.9</v>
      </c>
    </row>
    <row r="158" spans="1:9" ht="183.6" customHeight="1">
      <c r="A158" s="261"/>
      <c r="B158" s="135" t="s">
        <v>694</v>
      </c>
      <c r="C158" s="734" t="s">
        <v>72</v>
      </c>
      <c r="D158" s="735" t="s">
        <v>110</v>
      </c>
      <c r="E158" s="735" t="s">
        <v>59</v>
      </c>
      <c r="F158" s="736" t="s">
        <v>538</v>
      </c>
      <c r="G158" s="121"/>
      <c r="H158" s="275">
        <f>H159</f>
        <v>125</v>
      </c>
      <c r="I158" s="275">
        <f>I159</f>
        <v>125</v>
      </c>
    </row>
    <row r="159" spans="1:9" ht="93.75">
      <c r="A159" s="261"/>
      <c r="B159" s="135" t="s">
        <v>69</v>
      </c>
      <c r="C159" s="734" t="s">
        <v>72</v>
      </c>
      <c r="D159" s="735" t="s">
        <v>110</v>
      </c>
      <c r="E159" s="735" t="s">
        <v>59</v>
      </c>
      <c r="F159" s="736" t="s">
        <v>538</v>
      </c>
      <c r="G159" s="121" t="s">
        <v>70</v>
      </c>
      <c r="H159" s="275">
        <f>'прил13(ведом 22-23)'!M477</f>
        <v>125</v>
      </c>
      <c r="I159" s="275">
        <f>'прил13(ведом 22-23)'!N477</f>
        <v>125</v>
      </c>
    </row>
    <row r="160" spans="1:9" ht="56.25">
      <c r="A160" s="261"/>
      <c r="B160" s="135" t="s">
        <v>729</v>
      </c>
      <c r="C160" s="734" t="s">
        <v>72</v>
      </c>
      <c r="D160" s="735" t="s">
        <v>110</v>
      </c>
      <c r="E160" s="735" t="s">
        <v>59</v>
      </c>
      <c r="F160" s="736" t="s">
        <v>583</v>
      </c>
      <c r="G160" s="121"/>
      <c r="H160" s="275">
        <f>H161</f>
        <v>852.9</v>
      </c>
      <c r="I160" s="275">
        <f>I161</f>
        <v>0</v>
      </c>
    </row>
    <row r="161" spans="1:9" ht="93.75">
      <c r="A161" s="261"/>
      <c r="B161" s="135" t="s">
        <v>69</v>
      </c>
      <c r="C161" s="734" t="s">
        <v>72</v>
      </c>
      <c r="D161" s="735" t="s">
        <v>110</v>
      </c>
      <c r="E161" s="735" t="s">
        <v>59</v>
      </c>
      <c r="F161" s="736" t="s">
        <v>583</v>
      </c>
      <c r="G161" s="121" t="s">
        <v>70</v>
      </c>
      <c r="H161" s="275">
        <f>'прил13(ведом 22-23)'!M479</f>
        <v>852.9</v>
      </c>
      <c r="I161" s="275">
        <f>'прил13(ведом 22-23)'!N479</f>
        <v>0</v>
      </c>
    </row>
    <row r="162" spans="1:9" ht="37.5">
      <c r="A162" s="261"/>
      <c r="B162" s="551" t="s">
        <v>428</v>
      </c>
      <c r="C162" s="535" t="s">
        <v>72</v>
      </c>
      <c r="D162" s="536" t="s">
        <v>110</v>
      </c>
      <c r="E162" s="536" t="s">
        <v>84</v>
      </c>
      <c r="F162" s="537" t="s">
        <v>64</v>
      </c>
      <c r="G162" s="152"/>
      <c r="H162" s="275">
        <f>H163</f>
        <v>35.299999999999997</v>
      </c>
      <c r="I162" s="275">
        <f>I163</f>
        <v>35.299999999999997</v>
      </c>
    </row>
    <row r="163" spans="1:9" ht="56.25">
      <c r="A163" s="261"/>
      <c r="B163" s="551" t="s">
        <v>429</v>
      </c>
      <c r="C163" s="535" t="s">
        <v>72</v>
      </c>
      <c r="D163" s="536" t="s">
        <v>110</v>
      </c>
      <c r="E163" s="536" t="s">
        <v>84</v>
      </c>
      <c r="F163" s="537" t="s">
        <v>126</v>
      </c>
      <c r="G163" s="152"/>
      <c r="H163" s="275">
        <f>H164</f>
        <v>35.299999999999997</v>
      </c>
      <c r="I163" s="275">
        <f>I164</f>
        <v>35.299999999999997</v>
      </c>
    </row>
    <row r="164" spans="1:9" ht="37.5">
      <c r="A164" s="261"/>
      <c r="B164" s="554" t="s">
        <v>75</v>
      </c>
      <c r="C164" s="535" t="s">
        <v>72</v>
      </c>
      <c r="D164" s="536" t="s">
        <v>110</v>
      </c>
      <c r="E164" s="536" t="s">
        <v>84</v>
      </c>
      <c r="F164" s="537" t="s">
        <v>126</v>
      </c>
      <c r="G164" s="152" t="s">
        <v>76</v>
      </c>
      <c r="H164" s="275">
        <f>'прил13(ведом 22-23)'!M462</f>
        <v>35.299999999999997</v>
      </c>
      <c r="I164" s="275">
        <f>'прил13(ведом 22-23)'!N462</f>
        <v>35.299999999999997</v>
      </c>
    </row>
    <row r="165" spans="1:9" ht="18.75">
      <c r="A165" s="261"/>
      <c r="B165" s="283"/>
      <c r="C165" s="728"/>
      <c r="D165" s="729"/>
      <c r="E165" s="729"/>
      <c r="F165" s="730"/>
      <c r="G165" s="259"/>
      <c r="H165" s="275"/>
      <c r="I165" s="275"/>
    </row>
    <row r="166" spans="1:9" s="273" customFormat="1" ht="56.25">
      <c r="A166" s="284">
        <v>4</v>
      </c>
      <c r="B166" s="268" t="s">
        <v>243</v>
      </c>
      <c r="C166" s="269" t="s">
        <v>86</v>
      </c>
      <c r="D166" s="269" t="s">
        <v>62</v>
      </c>
      <c r="E166" s="269" t="s">
        <v>63</v>
      </c>
      <c r="F166" s="270" t="s">
        <v>64</v>
      </c>
      <c r="G166" s="271"/>
      <c r="H166" s="272">
        <f>H167+H173</f>
        <v>6151.9</v>
      </c>
      <c r="I166" s="272">
        <f>I167+I173</f>
        <v>6157.2</v>
      </c>
    </row>
    <row r="167" spans="1:9" s="273" customFormat="1" ht="18.75">
      <c r="A167" s="261"/>
      <c r="B167" s="274" t="s">
        <v>244</v>
      </c>
      <c r="C167" s="734" t="s">
        <v>86</v>
      </c>
      <c r="D167" s="735" t="s">
        <v>65</v>
      </c>
      <c r="E167" s="735" t="s">
        <v>63</v>
      </c>
      <c r="F167" s="736" t="s">
        <v>64</v>
      </c>
      <c r="G167" s="259"/>
      <c r="H167" s="275">
        <f t="shared" ref="H167:I168" si="2">H168</f>
        <v>3048.2</v>
      </c>
      <c r="I167" s="275">
        <f t="shared" si="2"/>
        <v>3048.2</v>
      </c>
    </row>
    <row r="168" spans="1:9" s="273" customFormat="1" ht="75">
      <c r="A168" s="261"/>
      <c r="B168" s="274" t="s">
        <v>328</v>
      </c>
      <c r="C168" s="734" t="s">
        <v>86</v>
      </c>
      <c r="D168" s="735" t="s">
        <v>65</v>
      </c>
      <c r="E168" s="735" t="s">
        <v>57</v>
      </c>
      <c r="F168" s="736" t="s">
        <v>64</v>
      </c>
      <c r="G168" s="121"/>
      <c r="H168" s="275">
        <f t="shared" si="2"/>
        <v>3048.2</v>
      </c>
      <c r="I168" s="275">
        <f t="shared" si="2"/>
        <v>3048.2</v>
      </c>
    </row>
    <row r="169" spans="1:9" ht="37.5">
      <c r="A169" s="261"/>
      <c r="B169" s="274" t="s">
        <v>795</v>
      </c>
      <c r="C169" s="734" t="s">
        <v>86</v>
      </c>
      <c r="D169" s="735" t="s">
        <v>65</v>
      </c>
      <c r="E169" s="735" t="s">
        <v>57</v>
      </c>
      <c r="F169" s="736" t="s">
        <v>112</v>
      </c>
      <c r="G169" s="121"/>
      <c r="H169" s="275">
        <f>SUM(H170:H172)</f>
        <v>3048.2</v>
      </c>
      <c r="I169" s="275">
        <f>SUM(I170:I172)</f>
        <v>3048.2</v>
      </c>
    </row>
    <row r="170" spans="1:9" ht="93.75">
      <c r="A170" s="261"/>
      <c r="B170" s="274" t="s">
        <v>69</v>
      </c>
      <c r="C170" s="734" t="s">
        <v>86</v>
      </c>
      <c r="D170" s="735" t="s">
        <v>65</v>
      </c>
      <c r="E170" s="735" t="s">
        <v>57</v>
      </c>
      <c r="F170" s="736" t="s">
        <v>112</v>
      </c>
      <c r="G170" s="121" t="s">
        <v>70</v>
      </c>
      <c r="H170" s="275">
        <f>'прил13(ведом 22-23)'!M515</f>
        <v>2667.4</v>
      </c>
      <c r="I170" s="275">
        <f>'прил13(ведом 22-23)'!N515</f>
        <v>2667.4</v>
      </c>
    </row>
    <row r="171" spans="1:9" ht="37.5">
      <c r="A171" s="261"/>
      <c r="B171" s="135" t="s">
        <v>75</v>
      </c>
      <c r="C171" s="734" t="s">
        <v>86</v>
      </c>
      <c r="D171" s="735" t="s">
        <v>65</v>
      </c>
      <c r="E171" s="735" t="s">
        <v>57</v>
      </c>
      <c r="F171" s="736" t="s">
        <v>112</v>
      </c>
      <c r="G171" s="121" t="s">
        <v>76</v>
      </c>
      <c r="H171" s="275">
        <f>'прил13(ведом 22-23)'!M516</f>
        <v>378.1</v>
      </c>
      <c r="I171" s="275">
        <f>'прил13(ведом 22-23)'!N516</f>
        <v>378.1</v>
      </c>
    </row>
    <row r="172" spans="1:9" ht="18.75">
      <c r="A172" s="261"/>
      <c r="B172" s="135" t="s">
        <v>77</v>
      </c>
      <c r="C172" s="734" t="s">
        <v>86</v>
      </c>
      <c r="D172" s="735" t="s">
        <v>65</v>
      </c>
      <c r="E172" s="735" t="s">
        <v>57</v>
      </c>
      <c r="F172" s="736" t="s">
        <v>112</v>
      </c>
      <c r="G172" s="121" t="s">
        <v>78</v>
      </c>
      <c r="H172" s="275">
        <f>'прил13(ведом 22-23)'!M517</f>
        <v>2.7</v>
      </c>
      <c r="I172" s="275">
        <f>'прил13(ведом 22-23)'!N517</f>
        <v>2.7</v>
      </c>
    </row>
    <row r="173" spans="1:9" s="273" customFormat="1" ht="22.5" customHeight="1">
      <c r="A173" s="261"/>
      <c r="B173" s="274" t="s">
        <v>242</v>
      </c>
      <c r="C173" s="734" t="s">
        <v>86</v>
      </c>
      <c r="D173" s="735" t="s">
        <v>110</v>
      </c>
      <c r="E173" s="735" t="s">
        <v>63</v>
      </c>
      <c r="F173" s="736" t="s">
        <v>64</v>
      </c>
      <c r="G173" s="121"/>
      <c r="H173" s="275">
        <f>H174+H179+H182+H185</f>
        <v>3103.7</v>
      </c>
      <c r="I173" s="275">
        <f>I174+I179+I182+I185</f>
        <v>3109</v>
      </c>
    </row>
    <row r="174" spans="1:9" s="273" customFormat="1" ht="37.5">
      <c r="A174" s="261"/>
      <c r="B174" s="274" t="s">
        <v>322</v>
      </c>
      <c r="C174" s="734" t="s">
        <v>86</v>
      </c>
      <c r="D174" s="735" t="s">
        <v>110</v>
      </c>
      <c r="E174" s="735" t="s">
        <v>57</v>
      </c>
      <c r="F174" s="736" t="s">
        <v>64</v>
      </c>
      <c r="G174" s="121"/>
      <c r="H174" s="275">
        <f>H175</f>
        <v>2981.2999999999997</v>
      </c>
      <c r="I174" s="275">
        <f>I175</f>
        <v>2986.6</v>
      </c>
    </row>
    <row r="175" spans="1:9" s="273" customFormat="1" ht="37.5">
      <c r="A175" s="261"/>
      <c r="B175" s="274" t="s">
        <v>67</v>
      </c>
      <c r="C175" s="734" t="s">
        <v>86</v>
      </c>
      <c r="D175" s="735" t="s">
        <v>110</v>
      </c>
      <c r="E175" s="735" t="s">
        <v>57</v>
      </c>
      <c r="F175" s="736" t="s">
        <v>68</v>
      </c>
      <c r="G175" s="121"/>
      <c r="H175" s="275">
        <f>SUM(H176:H178)</f>
        <v>2981.2999999999997</v>
      </c>
      <c r="I175" s="275">
        <f>SUM(I176:I178)</f>
        <v>2986.6</v>
      </c>
    </row>
    <row r="176" spans="1:9" s="273" customFormat="1" ht="93.75">
      <c r="A176" s="261"/>
      <c r="B176" s="274" t="s">
        <v>69</v>
      </c>
      <c r="C176" s="734" t="s">
        <v>86</v>
      </c>
      <c r="D176" s="735" t="s">
        <v>110</v>
      </c>
      <c r="E176" s="735" t="s">
        <v>57</v>
      </c>
      <c r="F176" s="736" t="s">
        <v>68</v>
      </c>
      <c r="G176" s="121" t="s">
        <v>70</v>
      </c>
      <c r="H176" s="275">
        <f>'прил13(ведом 22-23)'!M523</f>
        <v>2735.5</v>
      </c>
      <c r="I176" s="275">
        <f>'прил13(ведом 22-23)'!N523</f>
        <v>2735.5</v>
      </c>
    </row>
    <row r="177" spans="1:9" ht="37.5">
      <c r="A177" s="261"/>
      <c r="B177" s="274" t="s">
        <v>75</v>
      </c>
      <c r="C177" s="734" t="s">
        <v>86</v>
      </c>
      <c r="D177" s="735" t="s">
        <v>110</v>
      </c>
      <c r="E177" s="735" t="s">
        <v>57</v>
      </c>
      <c r="F177" s="736" t="s">
        <v>68</v>
      </c>
      <c r="G177" s="121" t="s">
        <v>76</v>
      </c>
      <c r="H177" s="275">
        <f>'прил13(ведом 22-23)'!M524</f>
        <v>244.6</v>
      </c>
      <c r="I177" s="275">
        <f>'прил13(ведом 22-23)'!N524</f>
        <v>249.9</v>
      </c>
    </row>
    <row r="178" spans="1:9" ht="18.75">
      <c r="A178" s="261"/>
      <c r="B178" s="274" t="s">
        <v>77</v>
      </c>
      <c r="C178" s="734" t="s">
        <v>86</v>
      </c>
      <c r="D178" s="735" t="s">
        <v>110</v>
      </c>
      <c r="E178" s="735" t="s">
        <v>57</v>
      </c>
      <c r="F178" s="736" t="s">
        <v>68</v>
      </c>
      <c r="G178" s="121" t="s">
        <v>78</v>
      </c>
      <c r="H178" s="275">
        <f>'прил13(ведом 22-23)'!M525</f>
        <v>1.2</v>
      </c>
      <c r="I178" s="275">
        <f>'прил13(ведом 22-23)'!N525</f>
        <v>1.2</v>
      </c>
    </row>
    <row r="179" spans="1:9" ht="37.5">
      <c r="A179" s="261"/>
      <c r="B179" s="612" t="s">
        <v>428</v>
      </c>
      <c r="C179" s="735" t="s">
        <v>86</v>
      </c>
      <c r="D179" s="735" t="s">
        <v>110</v>
      </c>
      <c r="E179" s="735" t="s">
        <v>59</v>
      </c>
      <c r="F179" s="736" t="s">
        <v>64</v>
      </c>
      <c r="G179" s="121"/>
      <c r="H179" s="275">
        <f>H180</f>
        <v>65.099999999999994</v>
      </c>
      <c r="I179" s="275">
        <f>I180</f>
        <v>65.099999999999994</v>
      </c>
    </row>
    <row r="180" spans="1:9" ht="56.25">
      <c r="A180" s="261"/>
      <c r="B180" s="612" t="s">
        <v>429</v>
      </c>
      <c r="C180" s="734" t="s">
        <v>86</v>
      </c>
      <c r="D180" s="735" t="s">
        <v>110</v>
      </c>
      <c r="E180" s="735" t="s">
        <v>59</v>
      </c>
      <c r="F180" s="736" t="s">
        <v>126</v>
      </c>
      <c r="G180" s="121"/>
      <c r="H180" s="275">
        <f>H181</f>
        <v>65.099999999999994</v>
      </c>
      <c r="I180" s="275">
        <f>I181</f>
        <v>65.099999999999994</v>
      </c>
    </row>
    <row r="181" spans="1:9" ht="37.5">
      <c r="A181" s="261"/>
      <c r="B181" s="612" t="s">
        <v>75</v>
      </c>
      <c r="C181" s="734" t="s">
        <v>86</v>
      </c>
      <c r="D181" s="735" t="s">
        <v>110</v>
      </c>
      <c r="E181" s="735" t="s">
        <v>59</v>
      </c>
      <c r="F181" s="736" t="s">
        <v>126</v>
      </c>
      <c r="G181" s="121" t="s">
        <v>76</v>
      </c>
      <c r="H181" s="275">
        <f>'прил13(ведом 22-23)'!M502</f>
        <v>65.099999999999994</v>
      </c>
      <c r="I181" s="275">
        <f>'прил13(ведом 22-23)'!N502</f>
        <v>65.099999999999994</v>
      </c>
    </row>
    <row r="182" spans="1:9" ht="37.5">
      <c r="A182" s="261"/>
      <c r="B182" s="135" t="s">
        <v>799</v>
      </c>
      <c r="C182" s="735" t="s">
        <v>86</v>
      </c>
      <c r="D182" s="735" t="s">
        <v>110</v>
      </c>
      <c r="E182" s="735" t="s">
        <v>84</v>
      </c>
      <c r="F182" s="736" t="s">
        <v>64</v>
      </c>
      <c r="G182" s="121"/>
      <c r="H182" s="275">
        <f>H183</f>
        <v>14.8</v>
      </c>
      <c r="I182" s="275">
        <f>I183</f>
        <v>14.8</v>
      </c>
    </row>
    <row r="183" spans="1:9" ht="18.75">
      <c r="A183" s="261"/>
      <c r="B183" s="135" t="s">
        <v>797</v>
      </c>
      <c r="C183" s="735" t="s">
        <v>86</v>
      </c>
      <c r="D183" s="735" t="s">
        <v>110</v>
      </c>
      <c r="E183" s="735" t="s">
        <v>84</v>
      </c>
      <c r="F183" s="736" t="s">
        <v>798</v>
      </c>
      <c r="G183" s="121"/>
      <c r="H183" s="275">
        <f>H184</f>
        <v>14.8</v>
      </c>
      <c r="I183" s="275">
        <f>I184</f>
        <v>14.8</v>
      </c>
    </row>
    <row r="184" spans="1:9" ht="37.5">
      <c r="A184" s="261"/>
      <c r="B184" s="612" t="s">
        <v>75</v>
      </c>
      <c r="C184" s="735" t="s">
        <v>86</v>
      </c>
      <c r="D184" s="735" t="s">
        <v>110</v>
      </c>
      <c r="E184" s="735" t="s">
        <v>84</v>
      </c>
      <c r="F184" s="736" t="s">
        <v>798</v>
      </c>
      <c r="G184" s="121" t="s">
        <v>76</v>
      </c>
      <c r="H184" s="275">
        <f>'прил13(ведом 22-23)'!M505</f>
        <v>14.8</v>
      </c>
      <c r="I184" s="275">
        <f>'прил13(ведом 22-23)'!N505</f>
        <v>14.8</v>
      </c>
    </row>
    <row r="185" spans="1:9" ht="37.5">
      <c r="A185" s="261"/>
      <c r="B185" s="612" t="s">
        <v>811</v>
      </c>
      <c r="C185" s="735" t="s">
        <v>86</v>
      </c>
      <c r="D185" s="735" t="s">
        <v>110</v>
      </c>
      <c r="E185" s="735" t="s">
        <v>72</v>
      </c>
      <c r="F185" s="730" t="s">
        <v>64</v>
      </c>
      <c r="G185" s="259"/>
      <c r="H185" s="275">
        <f>H186</f>
        <v>42.5</v>
      </c>
      <c r="I185" s="275">
        <f>I186</f>
        <v>42.5</v>
      </c>
    </row>
    <row r="186" spans="1:9" ht="37.5">
      <c r="A186" s="261"/>
      <c r="B186" s="547" t="s">
        <v>148</v>
      </c>
      <c r="C186" s="735" t="s">
        <v>86</v>
      </c>
      <c r="D186" s="735" t="s">
        <v>110</v>
      </c>
      <c r="E186" s="735" t="s">
        <v>72</v>
      </c>
      <c r="F186" s="548" t="s">
        <v>111</v>
      </c>
      <c r="G186" s="259"/>
      <c r="H186" s="275">
        <f>H187</f>
        <v>42.5</v>
      </c>
      <c r="I186" s="275">
        <f>I187</f>
        <v>42.5</v>
      </c>
    </row>
    <row r="187" spans="1:9" ht="37.5">
      <c r="A187" s="261"/>
      <c r="B187" s="612" t="s">
        <v>75</v>
      </c>
      <c r="C187" s="735" t="s">
        <v>86</v>
      </c>
      <c r="D187" s="735" t="s">
        <v>110</v>
      </c>
      <c r="E187" s="735" t="s">
        <v>72</v>
      </c>
      <c r="F187" s="730" t="s">
        <v>111</v>
      </c>
      <c r="G187" s="259" t="s">
        <v>76</v>
      </c>
      <c r="H187" s="275">
        <f>'прил13(ведом 22-23)'!M508</f>
        <v>42.5</v>
      </c>
      <c r="I187" s="275">
        <f>'прил13(ведом 22-23)'!N508</f>
        <v>42.5</v>
      </c>
    </row>
    <row r="188" spans="1:9" ht="18.75">
      <c r="A188" s="261"/>
      <c r="B188" s="274"/>
      <c r="C188" s="735"/>
      <c r="D188" s="735"/>
      <c r="E188" s="735"/>
      <c r="F188" s="736"/>
      <c r="G188" s="121"/>
      <c r="H188" s="275"/>
      <c r="I188" s="275"/>
    </row>
    <row r="189" spans="1:9" s="273" customFormat="1" ht="56.25">
      <c r="A189" s="284">
        <v>5</v>
      </c>
      <c r="B189" s="268" t="s">
        <v>101</v>
      </c>
      <c r="C189" s="285" t="s">
        <v>102</v>
      </c>
      <c r="D189" s="285" t="s">
        <v>62</v>
      </c>
      <c r="E189" s="285" t="s">
        <v>63</v>
      </c>
      <c r="F189" s="286" t="s">
        <v>64</v>
      </c>
      <c r="G189" s="271"/>
      <c r="H189" s="272">
        <f>H208+H190+H198</f>
        <v>21118.100000000002</v>
      </c>
      <c r="I189" s="272">
        <f>I208+I190+I198</f>
        <v>13748.300000000001</v>
      </c>
    </row>
    <row r="190" spans="1:9" ht="56.25">
      <c r="A190" s="261"/>
      <c r="B190" s="287" t="s">
        <v>103</v>
      </c>
      <c r="C190" s="734" t="s">
        <v>102</v>
      </c>
      <c r="D190" s="735" t="s">
        <v>65</v>
      </c>
      <c r="E190" s="735" t="s">
        <v>63</v>
      </c>
      <c r="F190" s="736" t="s">
        <v>64</v>
      </c>
      <c r="G190" s="259"/>
      <c r="H190" s="275">
        <f t="shared" ref="H190:I190" si="3">H191</f>
        <v>3437.6000000000004</v>
      </c>
      <c r="I190" s="275">
        <f t="shared" si="3"/>
        <v>3437.6000000000004</v>
      </c>
    </row>
    <row r="191" spans="1:9" ht="75">
      <c r="A191" s="261"/>
      <c r="B191" s="274" t="s">
        <v>104</v>
      </c>
      <c r="C191" s="734" t="s">
        <v>102</v>
      </c>
      <c r="D191" s="735" t="s">
        <v>65</v>
      </c>
      <c r="E191" s="735" t="s">
        <v>57</v>
      </c>
      <c r="F191" s="736" t="s">
        <v>64</v>
      </c>
      <c r="G191" s="121"/>
      <c r="H191" s="275">
        <f>H196+H192+H194</f>
        <v>3437.6000000000004</v>
      </c>
      <c r="I191" s="275">
        <f>I196+I192+I194</f>
        <v>3437.6000000000004</v>
      </c>
    </row>
    <row r="192" spans="1:9" ht="37.5">
      <c r="A192" s="261"/>
      <c r="B192" s="141" t="s">
        <v>756</v>
      </c>
      <c r="C192" s="734" t="s">
        <v>102</v>
      </c>
      <c r="D192" s="735" t="s">
        <v>65</v>
      </c>
      <c r="E192" s="735" t="s">
        <v>57</v>
      </c>
      <c r="F192" s="736" t="s">
        <v>105</v>
      </c>
      <c r="G192" s="121"/>
      <c r="H192" s="275">
        <f>H193</f>
        <v>298.39999999999998</v>
      </c>
      <c r="I192" s="275">
        <f>I193</f>
        <v>298.39999999999998</v>
      </c>
    </row>
    <row r="193" spans="1:9" ht="37.5">
      <c r="A193" s="261"/>
      <c r="B193" s="135" t="s">
        <v>75</v>
      </c>
      <c r="C193" s="734" t="s">
        <v>102</v>
      </c>
      <c r="D193" s="735" t="s">
        <v>65</v>
      </c>
      <c r="E193" s="735" t="s">
        <v>57</v>
      </c>
      <c r="F193" s="736" t="s">
        <v>105</v>
      </c>
      <c r="G193" s="121" t="s">
        <v>76</v>
      </c>
      <c r="H193" s="275">
        <f>'прил13(ведом 22-23)'!M88</f>
        <v>298.39999999999998</v>
      </c>
      <c r="I193" s="275">
        <f>'прил13(ведом 22-23)'!N88</f>
        <v>298.39999999999998</v>
      </c>
    </row>
    <row r="194" spans="1:9" ht="42" customHeight="1">
      <c r="A194" s="261"/>
      <c r="B194" s="135" t="s">
        <v>106</v>
      </c>
      <c r="C194" s="734" t="s">
        <v>102</v>
      </c>
      <c r="D194" s="735" t="s">
        <v>65</v>
      </c>
      <c r="E194" s="735" t="s">
        <v>57</v>
      </c>
      <c r="F194" s="736" t="s">
        <v>107</v>
      </c>
      <c r="G194" s="121"/>
      <c r="H194" s="275">
        <f>H195</f>
        <v>63.9</v>
      </c>
      <c r="I194" s="275">
        <f>I195</f>
        <v>63.9</v>
      </c>
    </row>
    <row r="195" spans="1:9" ht="37.5">
      <c r="A195" s="261"/>
      <c r="B195" s="135" t="s">
        <v>75</v>
      </c>
      <c r="C195" s="734" t="s">
        <v>102</v>
      </c>
      <c r="D195" s="735" t="s">
        <v>65</v>
      </c>
      <c r="E195" s="735" t="s">
        <v>57</v>
      </c>
      <c r="F195" s="736" t="s">
        <v>107</v>
      </c>
      <c r="G195" s="121" t="s">
        <v>76</v>
      </c>
      <c r="H195" s="275">
        <f>'прил13(ведом 22-23)'!M90</f>
        <v>63.9</v>
      </c>
      <c r="I195" s="275">
        <f>'прил13(ведом 22-23)'!N90</f>
        <v>63.9</v>
      </c>
    </row>
    <row r="196" spans="1:9" ht="93.75">
      <c r="A196" s="261"/>
      <c r="B196" s="274" t="s">
        <v>405</v>
      </c>
      <c r="C196" s="734" t="s">
        <v>102</v>
      </c>
      <c r="D196" s="735" t="s">
        <v>65</v>
      </c>
      <c r="E196" s="735" t="s">
        <v>57</v>
      </c>
      <c r="F196" s="736" t="s">
        <v>393</v>
      </c>
      <c r="G196" s="121"/>
      <c r="H196" s="275">
        <f>H197</f>
        <v>3075.3</v>
      </c>
      <c r="I196" s="275">
        <f>I197</f>
        <v>3075.3</v>
      </c>
    </row>
    <row r="197" spans="1:9" ht="18.75">
      <c r="A197" s="261"/>
      <c r="B197" s="274" t="s">
        <v>144</v>
      </c>
      <c r="C197" s="734" t="s">
        <v>102</v>
      </c>
      <c r="D197" s="735" t="s">
        <v>65</v>
      </c>
      <c r="E197" s="735" t="s">
        <v>57</v>
      </c>
      <c r="F197" s="736" t="s">
        <v>393</v>
      </c>
      <c r="G197" s="121" t="s">
        <v>145</v>
      </c>
      <c r="H197" s="275">
        <f>'прил13(ведом 22-23)'!M92</f>
        <v>3075.3</v>
      </c>
      <c r="I197" s="275">
        <f>'прил13(ведом 22-23)'!N92</f>
        <v>3075.3</v>
      </c>
    </row>
    <row r="198" spans="1:9" ht="37.5">
      <c r="A198" s="261"/>
      <c r="B198" s="298" t="s">
        <v>146</v>
      </c>
      <c r="C198" s="734" t="s">
        <v>102</v>
      </c>
      <c r="D198" s="735" t="s">
        <v>110</v>
      </c>
      <c r="E198" s="735" t="s">
        <v>63</v>
      </c>
      <c r="F198" s="736" t="s">
        <v>64</v>
      </c>
      <c r="G198" s="259"/>
      <c r="H198" s="275">
        <f>H199+H205</f>
        <v>8832.4000000000015</v>
      </c>
      <c r="I198" s="275">
        <f>I199+I205</f>
        <v>1462.2</v>
      </c>
    </row>
    <row r="199" spans="1:9" ht="37.5">
      <c r="A199" s="261"/>
      <c r="B199" s="135" t="s">
        <v>311</v>
      </c>
      <c r="C199" s="734" t="s">
        <v>102</v>
      </c>
      <c r="D199" s="735" t="s">
        <v>110</v>
      </c>
      <c r="E199" s="735" t="s">
        <v>57</v>
      </c>
      <c r="F199" s="736" t="s">
        <v>64</v>
      </c>
      <c r="G199" s="121"/>
      <c r="H199" s="275">
        <f>H202+H200</f>
        <v>8591.7000000000007</v>
      </c>
      <c r="I199" s="275">
        <f>I202+I200</f>
        <v>1221.5</v>
      </c>
    </row>
    <row r="200" spans="1:9" ht="37.5">
      <c r="A200" s="261"/>
      <c r="B200" s="138" t="s">
        <v>148</v>
      </c>
      <c r="C200" s="734" t="s">
        <v>102</v>
      </c>
      <c r="D200" s="735" t="s">
        <v>110</v>
      </c>
      <c r="E200" s="735" t="s">
        <v>57</v>
      </c>
      <c r="F200" s="736" t="s">
        <v>111</v>
      </c>
      <c r="G200" s="121"/>
      <c r="H200" s="275">
        <f>H201</f>
        <v>21.6</v>
      </c>
      <c r="I200" s="275">
        <f>I201</f>
        <v>21.6</v>
      </c>
    </row>
    <row r="201" spans="1:9" ht="37.5">
      <c r="A201" s="261"/>
      <c r="B201" s="135" t="s">
        <v>75</v>
      </c>
      <c r="C201" s="734" t="s">
        <v>102</v>
      </c>
      <c r="D201" s="735" t="s">
        <v>110</v>
      </c>
      <c r="E201" s="735" t="s">
        <v>57</v>
      </c>
      <c r="F201" s="736" t="s">
        <v>111</v>
      </c>
      <c r="G201" s="121" t="s">
        <v>76</v>
      </c>
      <c r="H201" s="275">
        <f>'прил13(ведом 22-23)'!M98</f>
        <v>21.6</v>
      </c>
      <c r="I201" s="275">
        <f>'прил13(ведом 22-23)'!N98</f>
        <v>21.6</v>
      </c>
    </row>
    <row r="202" spans="1:9" ht="18.75">
      <c r="A202" s="261"/>
      <c r="B202" s="135" t="s">
        <v>684</v>
      </c>
      <c r="C202" s="734" t="s">
        <v>102</v>
      </c>
      <c r="D202" s="735" t="s">
        <v>110</v>
      </c>
      <c r="E202" s="735" t="s">
        <v>57</v>
      </c>
      <c r="F202" s="736" t="s">
        <v>685</v>
      </c>
      <c r="G202" s="121"/>
      <c r="H202" s="275">
        <f>H203+H204</f>
        <v>8570.1</v>
      </c>
      <c r="I202" s="275">
        <f>I203+I204</f>
        <v>1199.9000000000001</v>
      </c>
    </row>
    <row r="203" spans="1:9" ht="37.5">
      <c r="A203" s="261"/>
      <c r="B203" s="135" t="s">
        <v>75</v>
      </c>
      <c r="C203" s="734" t="s">
        <v>102</v>
      </c>
      <c r="D203" s="735" t="s">
        <v>110</v>
      </c>
      <c r="E203" s="735" t="s">
        <v>57</v>
      </c>
      <c r="F203" s="736" t="s">
        <v>685</v>
      </c>
      <c r="G203" s="121" t="s">
        <v>76</v>
      </c>
      <c r="H203" s="275">
        <f>'прил13(ведом 22-23)'!M347+'прил13(ведом 22-23)'!M368</f>
        <v>905.2</v>
      </c>
      <c r="I203" s="275">
        <f>'прил13(ведом 22-23)'!N347+'прил13(ведом 22-23)'!N368</f>
        <v>571.6</v>
      </c>
    </row>
    <row r="204" spans="1:9" ht="45" customHeight="1">
      <c r="A204" s="261"/>
      <c r="B204" s="135" t="s">
        <v>97</v>
      </c>
      <c r="C204" s="734" t="s">
        <v>102</v>
      </c>
      <c r="D204" s="735" t="s">
        <v>110</v>
      </c>
      <c r="E204" s="735" t="s">
        <v>57</v>
      </c>
      <c r="F204" s="736" t="s">
        <v>685</v>
      </c>
      <c r="G204" s="121" t="s">
        <v>98</v>
      </c>
      <c r="H204" s="275">
        <f>'прил13(ведом 22-23)'!M308+'прил13(ведом 22-23)'!M348</f>
        <v>7664.9</v>
      </c>
      <c r="I204" s="275">
        <f>'прил13(ведом 22-23)'!N308+'прил13(ведом 22-23)'!N348</f>
        <v>628.29999999999995</v>
      </c>
    </row>
    <row r="205" spans="1:9" ht="54.75" customHeight="1">
      <c r="A205" s="261"/>
      <c r="B205" s="138" t="s">
        <v>147</v>
      </c>
      <c r="C205" s="734" t="s">
        <v>102</v>
      </c>
      <c r="D205" s="735" t="s">
        <v>110</v>
      </c>
      <c r="E205" s="735" t="s">
        <v>59</v>
      </c>
      <c r="F205" s="736" t="s">
        <v>64</v>
      </c>
      <c r="G205" s="121"/>
      <c r="H205" s="275">
        <f>H206</f>
        <v>240.7</v>
      </c>
      <c r="I205" s="275">
        <f>I206</f>
        <v>240.7</v>
      </c>
    </row>
    <row r="206" spans="1:9" ht="36.75" customHeight="1">
      <c r="A206" s="261"/>
      <c r="B206" s="138" t="s">
        <v>148</v>
      </c>
      <c r="C206" s="734" t="s">
        <v>102</v>
      </c>
      <c r="D206" s="735" t="s">
        <v>110</v>
      </c>
      <c r="E206" s="735" t="s">
        <v>59</v>
      </c>
      <c r="F206" s="736" t="s">
        <v>111</v>
      </c>
      <c r="G206" s="121"/>
      <c r="H206" s="275">
        <f>H207</f>
        <v>240.7</v>
      </c>
      <c r="I206" s="275">
        <f>I207</f>
        <v>240.7</v>
      </c>
    </row>
    <row r="207" spans="1:9" ht="32.25" customHeight="1">
      <c r="A207" s="261"/>
      <c r="B207" s="135" t="s">
        <v>75</v>
      </c>
      <c r="C207" s="734" t="s">
        <v>102</v>
      </c>
      <c r="D207" s="735" t="s">
        <v>110</v>
      </c>
      <c r="E207" s="735" t="s">
        <v>59</v>
      </c>
      <c r="F207" s="736" t="s">
        <v>111</v>
      </c>
      <c r="G207" s="121" t="s">
        <v>76</v>
      </c>
      <c r="H207" s="275">
        <f>'прил13(ведом 22-23)'!M101</f>
        <v>240.7</v>
      </c>
      <c r="I207" s="275">
        <f>'прил13(ведом 22-23)'!N101</f>
        <v>240.7</v>
      </c>
    </row>
    <row r="208" spans="1:9" ht="56.25">
      <c r="A208" s="261"/>
      <c r="B208" s="140" t="s">
        <v>453</v>
      </c>
      <c r="C208" s="734" t="s">
        <v>102</v>
      </c>
      <c r="D208" s="735" t="s">
        <v>50</v>
      </c>
      <c r="E208" s="735" t="s">
        <v>63</v>
      </c>
      <c r="F208" s="736" t="s">
        <v>64</v>
      </c>
      <c r="G208" s="121"/>
      <c r="H208" s="275">
        <f>H209</f>
        <v>8848.1</v>
      </c>
      <c r="I208" s="275">
        <f>I209</f>
        <v>8848.5</v>
      </c>
    </row>
    <row r="209" spans="1:9" ht="74.45" customHeight="1">
      <c r="A209" s="261"/>
      <c r="B209" s="288" t="s">
        <v>386</v>
      </c>
      <c r="C209" s="734" t="s">
        <v>102</v>
      </c>
      <c r="D209" s="735" t="s">
        <v>50</v>
      </c>
      <c r="E209" s="735" t="s">
        <v>57</v>
      </c>
      <c r="F209" s="736" t="s">
        <v>64</v>
      </c>
      <c r="G209" s="121"/>
      <c r="H209" s="275">
        <f>H210</f>
        <v>8848.1</v>
      </c>
      <c r="I209" s="275">
        <f>I210</f>
        <v>8848.5</v>
      </c>
    </row>
    <row r="210" spans="1:9" ht="37.5">
      <c r="A210" s="261"/>
      <c r="B210" s="274" t="s">
        <v>795</v>
      </c>
      <c r="C210" s="734" t="s">
        <v>102</v>
      </c>
      <c r="D210" s="735" t="s">
        <v>50</v>
      </c>
      <c r="E210" s="735" t="s">
        <v>57</v>
      </c>
      <c r="F210" s="736" t="s">
        <v>112</v>
      </c>
      <c r="G210" s="121"/>
      <c r="H210" s="275">
        <f>SUM(H211:H213)</f>
        <v>8848.1</v>
      </c>
      <c r="I210" s="275">
        <f>SUM(I211:I213)</f>
        <v>8848.5</v>
      </c>
    </row>
    <row r="211" spans="1:9" s="273" customFormat="1" ht="93.75">
      <c r="A211" s="261"/>
      <c r="B211" s="274" t="s">
        <v>69</v>
      </c>
      <c r="C211" s="734" t="s">
        <v>102</v>
      </c>
      <c r="D211" s="735" t="s">
        <v>50</v>
      </c>
      <c r="E211" s="735" t="s">
        <v>57</v>
      </c>
      <c r="F211" s="736" t="s">
        <v>112</v>
      </c>
      <c r="G211" s="121" t="s">
        <v>70</v>
      </c>
      <c r="H211" s="275">
        <f>'прил13(ведом 22-23)'!M105</f>
        <v>7482.1</v>
      </c>
      <c r="I211" s="275">
        <f>'прил13(ведом 22-23)'!N105</f>
        <v>7482.1</v>
      </c>
    </row>
    <row r="212" spans="1:9" ht="37.5">
      <c r="A212" s="261"/>
      <c r="B212" s="274" t="s">
        <v>75</v>
      </c>
      <c r="C212" s="734" t="s">
        <v>102</v>
      </c>
      <c r="D212" s="735" t="s">
        <v>50</v>
      </c>
      <c r="E212" s="735" t="s">
        <v>57</v>
      </c>
      <c r="F212" s="736" t="s">
        <v>112</v>
      </c>
      <c r="G212" s="121" t="s">
        <v>76</v>
      </c>
      <c r="H212" s="275">
        <f>'прил13(ведом 22-23)'!M106</f>
        <v>1359.7</v>
      </c>
      <c r="I212" s="275">
        <f>'прил13(ведом 22-23)'!N106</f>
        <v>1360.1</v>
      </c>
    </row>
    <row r="213" spans="1:9" ht="18.75">
      <c r="A213" s="261"/>
      <c r="B213" s="135" t="s">
        <v>77</v>
      </c>
      <c r="C213" s="734" t="s">
        <v>102</v>
      </c>
      <c r="D213" s="735" t="s">
        <v>50</v>
      </c>
      <c r="E213" s="735" t="s">
        <v>57</v>
      </c>
      <c r="F213" s="736" t="s">
        <v>112</v>
      </c>
      <c r="G213" s="121" t="s">
        <v>78</v>
      </c>
      <c r="H213" s="275">
        <f>'прил13(ведом 22-23)'!M107</f>
        <v>6.3</v>
      </c>
      <c r="I213" s="275">
        <f>'прил13(ведом 22-23)'!N107</f>
        <v>6.3</v>
      </c>
    </row>
    <row r="214" spans="1:9" ht="18.75">
      <c r="A214" s="299"/>
      <c r="B214" s="276"/>
      <c r="C214" s="146"/>
      <c r="D214" s="729"/>
      <c r="E214" s="729"/>
      <c r="F214" s="730"/>
      <c r="G214" s="259"/>
      <c r="H214" s="275"/>
      <c r="I214" s="275"/>
    </row>
    <row r="215" spans="1:9" s="273" customFormat="1" ht="56.25">
      <c r="A215" s="284">
        <v>6</v>
      </c>
      <c r="B215" s="297" t="s">
        <v>245</v>
      </c>
      <c r="C215" s="269" t="s">
        <v>246</v>
      </c>
      <c r="D215" s="269" t="s">
        <v>62</v>
      </c>
      <c r="E215" s="269" t="s">
        <v>63</v>
      </c>
      <c r="F215" s="270" t="s">
        <v>64</v>
      </c>
      <c r="G215" s="271"/>
      <c r="H215" s="272">
        <f>H216</f>
        <v>33406.9</v>
      </c>
      <c r="I215" s="272">
        <f>I216</f>
        <v>33407.599999999999</v>
      </c>
    </row>
    <row r="216" spans="1:9" ht="27" customHeight="1">
      <c r="A216" s="261"/>
      <c r="B216" s="274" t="s">
        <v>404</v>
      </c>
      <c r="C216" s="143" t="s">
        <v>246</v>
      </c>
      <c r="D216" s="144" t="s">
        <v>65</v>
      </c>
      <c r="E216" s="735" t="s">
        <v>63</v>
      </c>
      <c r="F216" s="736" t="s">
        <v>64</v>
      </c>
      <c r="G216" s="121"/>
      <c r="H216" s="275">
        <f>H217+H222+H225+H228</f>
        <v>33406.9</v>
      </c>
      <c r="I216" s="275">
        <f>I217+I222+I225+I228</f>
        <v>33407.599999999999</v>
      </c>
    </row>
    <row r="217" spans="1:9" ht="53.45" customHeight="1">
      <c r="A217" s="261"/>
      <c r="B217" s="274" t="s">
        <v>355</v>
      </c>
      <c r="C217" s="143" t="s">
        <v>246</v>
      </c>
      <c r="D217" s="144" t="s">
        <v>65</v>
      </c>
      <c r="E217" s="735" t="s">
        <v>57</v>
      </c>
      <c r="F217" s="736" t="s">
        <v>64</v>
      </c>
      <c r="G217" s="121"/>
      <c r="H217" s="275">
        <f>H218</f>
        <v>25025.600000000002</v>
      </c>
      <c r="I217" s="275">
        <f>I218</f>
        <v>25026.3</v>
      </c>
    </row>
    <row r="218" spans="1:9" ht="37.5">
      <c r="A218" s="261"/>
      <c r="B218" s="274" t="s">
        <v>67</v>
      </c>
      <c r="C218" s="143" t="s">
        <v>246</v>
      </c>
      <c r="D218" s="144" t="s">
        <v>65</v>
      </c>
      <c r="E218" s="735" t="s">
        <v>57</v>
      </c>
      <c r="F218" s="736" t="s">
        <v>68</v>
      </c>
      <c r="G218" s="121"/>
      <c r="H218" s="275">
        <f>SUM(H219:H221)</f>
        <v>25025.600000000002</v>
      </c>
      <c r="I218" s="275">
        <f>SUM(I219:I221)</f>
        <v>25026.3</v>
      </c>
    </row>
    <row r="219" spans="1:9" ht="93.75">
      <c r="A219" s="261"/>
      <c r="B219" s="274" t="s">
        <v>69</v>
      </c>
      <c r="C219" s="143" t="s">
        <v>246</v>
      </c>
      <c r="D219" s="144" t="s">
        <v>65</v>
      </c>
      <c r="E219" s="735" t="s">
        <v>57</v>
      </c>
      <c r="F219" s="736" t="s">
        <v>68</v>
      </c>
      <c r="G219" s="121" t="s">
        <v>70</v>
      </c>
      <c r="H219" s="275">
        <f>'прил13(ведом 22-23)'!M184</f>
        <v>24258.5</v>
      </c>
      <c r="I219" s="275">
        <f>'прил13(ведом 22-23)'!N184</f>
        <v>24258.5</v>
      </c>
    </row>
    <row r="220" spans="1:9" ht="37.5">
      <c r="A220" s="261"/>
      <c r="B220" s="135" t="s">
        <v>75</v>
      </c>
      <c r="C220" s="143" t="s">
        <v>246</v>
      </c>
      <c r="D220" s="144" t="s">
        <v>65</v>
      </c>
      <c r="E220" s="735" t="s">
        <v>57</v>
      </c>
      <c r="F220" s="736" t="s">
        <v>68</v>
      </c>
      <c r="G220" s="121" t="s">
        <v>76</v>
      </c>
      <c r="H220" s="275">
        <f>'прил13(ведом 22-23)'!M185</f>
        <v>762.4</v>
      </c>
      <c r="I220" s="275">
        <f>'прил13(ведом 22-23)'!N185</f>
        <v>763.2</v>
      </c>
    </row>
    <row r="221" spans="1:9" ht="18.75">
      <c r="A221" s="261"/>
      <c r="B221" s="135" t="s">
        <v>77</v>
      </c>
      <c r="C221" s="143" t="s">
        <v>246</v>
      </c>
      <c r="D221" s="144" t="s">
        <v>65</v>
      </c>
      <c r="E221" s="735" t="s">
        <v>57</v>
      </c>
      <c r="F221" s="736" t="s">
        <v>68</v>
      </c>
      <c r="G221" s="121" t="s">
        <v>78</v>
      </c>
      <c r="H221" s="275">
        <f>'прил13(ведом 22-23)'!M186</f>
        <v>4.7</v>
      </c>
      <c r="I221" s="275">
        <f>'прил13(ведом 22-23)'!N186</f>
        <v>4.5999999999999996</v>
      </c>
    </row>
    <row r="222" spans="1:9" ht="30" customHeight="1">
      <c r="A222" s="261"/>
      <c r="B222" s="274" t="s">
        <v>356</v>
      </c>
      <c r="C222" s="143" t="s">
        <v>246</v>
      </c>
      <c r="D222" s="144" t="s">
        <v>65</v>
      </c>
      <c r="E222" s="735" t="s">
        <v>59</v>
      </c>
      <c r="F222" s="736" t="s">
        <v>64</v>
      </c>
      <c r="G222" s="121"/>
      <c r="H222" s="275">
        <f>H223</f>
        <v>5500</v>
      </c>
      <c r="I222" s="275">
        <f>I223</f>
        <v>5500</v>
      </c>
    </row>
    <row r="223" spans="1:9" ht="37.5">
      <c r="A223" s="261"/>
      <c r="B223" s="135" t="s">
        <v>298</v>
      </c>
      <c r="C223" s="143" t="s">
        <v>246</v>
      </c>
      <c r="D223" s="144" t="s">
        <v>65</v>
      </c>
      <c r="E223" s="735" t="s">
        <v>59</v>
      </c>
      <c r="F223" s="736" t="s">
        <v>578</v>
      </c>
      <c r="G223" s="121"/>
      <c r="H223" s="275">
        <f>H224</f>
        <v>5500</v>
      </c>
      <c r="I223" s="275">
        <f>I224</f>
        <v>5500</v>
      </c>
    </row>
    <row r="224" spans="1:9" ht="18.75">
      <c r="A224" s="261"/>
      <c r="B224" s="135" t="s">
        <v>144</v>
      </c>
      <c r="C224" s="143" t="s">
        <v>246</v>
      </c>
      <c r="D224" s="144" t="s">
        <v>65</v>
      </c>
      <c r="E224" s="735" t="s">
        <v>59</v>
      </c>
      <c r="F224" s="736" t="s">
        <v>578</v>
      </c>
      <c r="G224" s="121" t="s">
        <v>145</v>
      </c>
      <c r="H224" s="275">
        <f>'прил13(ведом 22-23)'!M202</f>
        <v>5500</v>
      </c>
      <c r="I224" s="275">
        <f>'прил13(ведом 22-23)'!N202</f>
        <v>5500</v>
      </c>
    </row>
    <row r="225" spans="1:9" ht="37.5">
      <c r="A225" s="261"/>
      <c r="B225" s="274" t="s">
        <v>428</v>
      </c>
      <c r="C225" s="143" t="s">
        <v>246</v>
      </c>
      <c r="D225" s="144" t="s">
        <v>65</v>
      </c>
      <c r="E225" s="735" t="s">
        <v>84</v>
      </c>
      <c r="F225" s="736" t="s">
        <v>64</v>
      </c>
      <c r="G225" s="121"/>
      <c r="H225" s="275">
        <f>H226</f>
        <v>2863.3</v>
      </c>
      <c r="I225" s="275">
        <f>I226</f>
        <v>2863.3</v>
      </c>
    </row>
    <row r="226" spans="1:9" ht="56.25">
      <c r="A226" s="261"/>
      <c r="B226" s="274" t="s">
        <v>429</v>
      </c>
      <c r="C226" s="143" t="s">
        <v>246</v>
      </c>
      <c r="D226" s="144" t="s">
        <v>65</v>
      </c>
      <c r="E226" s="735" t="s">
        <v>84</v>
      </c>
      <c r="F226" s="736" t="s">
        <v>126</v>
      </c>
      <c r="G226" s="121"/>
      <c r="H226" s="275">
        <f>H227</f>
        <v>2863.3</v>
      </c>
      <c r="I226" s="275">
        <f>I227</f>
        <v>2863.3</v>
      </c>
    </row>
    <row r="227" spans="1:9" ht="37.5">
      <c r="A227" s="261"/>
      <c r="B227" s="274" t="s">
        <v>75</v>
      </c>
      <c r="C227" s="143" t="s">
        <v>246</v>
      </c>
      <c r="D227" s="144" t="s">
        <v>65</v>
      </c>
      <c r="E227" s="735" t="s">
        <v>84</v>
      </c>
      <c r="F227" s="736" t="s">
        <v>126</v>
      </c>
      <c r="G227" s="121" t="s">
        <v>76</v>
      </c>
      <c r="H227" s="275">
        <f>'прил13(ведом 22-23)'!M192</f>
        <v>2863.3</v>
      </c>
      <c r="I227" s="275">
        <f>'прил13(ведом 22-23)'!N192</f>
        <v>2863.3</v>
      </c>
    </row>
    <row r="228" spans="1:9" ht="37.5">
      <c r="A228" s="261"/>
      <c r="B228" s="135" t="s">
        <v>799</v>
      </c>
      <c r="C228" s="143" t="s">
        <v>246</v>
      </c>
      <c r="D228" s="144" t="s">
        <v>65</v>
      </c>
      <c r="E228" s="735" t="s">
        <v>86</v>
      </c>
      <c r="F228" s="736" t="s">
        <v>64</v>
      </c>
      <c r="G228" s="121"/>
      <c r="H228" s="275">
        <f>H229</f>
        <v>18</v>
      </c>
      <c r="I228" s="275">
        <f>I229</f>
        <v>18</v>
      </c>
    </row>
    <row r="229" spans="1:9" ht="18.75">
      <c r="A229" s="261"/>
      <c r="B229" s="135" t="s">
        <v>797</v>
      </c>
      <c r="C229" s="143" t="s">
        <v>246</v>
      </c>
      <c r="D229" s="144" t="s">
        <v>65</v>
      </c>
      <c r="E229" s="735" t="s">
        <v>86</v>
      </c>
      <c r="F229" s="736" t="s">
        <v>798</v>
      </c>
      <c r="G229" s="121"/>
      <c r="H229" s="275">
        <f>H230</f>
        <v>18</v>
      </c>
      <c r="I229" s="275">
        <f>I230</f>
        <v>18</v>
      </c>
    </row>
    <row r="230" spans="1:9" ht="37.5">
      <c r="A230" s="261"/>
      <c r="B230" s="135" t="s">
        <v>75</v>
      </c>
      <c r="C230" s="143" t="s">
        <v>246</v>
      </c>
      <c r="D230" s="144" t="s">
        <v>65</v>
      </c>
      <c r="E230" s="735" t="s">
        <v>86</v>
      </c>
      <c r="F230" s="736" t="s">
        <v>798</v>
      </c>
      <c r="G230" s="121" t="s">
        <v>76</v>
      </c>
      <c r="H230" s="275">
        <f>'прил13(ведом 22-23)'!M195</f>
        <v>18</v>
      </c>
      <c r="I230" s="275">
        <f>'прил13(ведом 22-23)'!N195</f>
        <v>18</v>
      </c>
    </row>
    <row r="231" spans="1:9" ht="18.75">
      <c r="A231" s="261"/>
      <c r="B231" s="135"/>
      <c r="C231" s="144"/>
      <c r="D231" s="144"/>
      <c r="E231" s="144"/>
      <c r="F231" s="300"/>
      <c r="G231" s="121"/>
      <c r="H231" s="275"/>
      <c r="I231" s="275"/>
    </row>
    <row r="232" spans="1:9" s="273" customFormat="1" ht="56.25">
      <c r="A232" s="267">
        <v>7</v>
      </c>
      <c r="B232" s="301" t="s">
        <v>247</v>
      </c>
      <c r="C232" s="302" t="s">
        <v>248</v>
      </c>
      <c r="D232" s="285" t="s">
        <v>62</v>
      </c>
      <c r="E232" s="285" t="s">
        <v>63</v>
      </c>
      <c r="F232" s="286" t="s">
        <v>64</v>
      </c>
      <c r="G232" s="303"/>
      <c r="H232" s="272">
        <f>H233+H237</f>
        <v>19719.5</v>
      </c>
      <c r="I232" s="272">
        <f>I233+I237</f>
        <v>19723.400000000001</v>
      </c>
    </row>
    <row r="233" spans="1:9" s="273" customFormat="1" ht="37.5">
      <c r="A233" s="267"/>
      <c r="B233" s="332" t="s">
        <v>249</v>
      </c>
      <c r="C233" s="373" t="s">
        <v>248</v>
      </c>
      <c r="D233" s="374" t="s">
        <v>65</v>
      </c>
      <c r="E233" s="374" t="s">
        <v>63</v>
      </c>
      <c r="F233" s="375" t="s">
        <v>64</v>
      </c>
      <c r="G233" s="281"/>
      <c r="H233" s="275">
        <f t="shared" ref="H233:I235" si="4">H234</f>
        <v>506.2</v>
      </c>
      <c r="I233" s="275">
        <f t="shared" si="4"/>
        <v>508.4</v>
      </c>
    </row>
    <row r="234" spans="1:9" s="273" customFormat="1" ht="37.5">
      <c r="A234" s="267"/>
      <c r="B234" s="327" t="s">
        <v>403</v>
      </c>
      <c r="C234" s="278" t="s">
        <v>248</v>
      </c>
      <c r="D234" s="279" t="s">
        <v>65</v>
      </c>
      <c r="E234" s="279" t="s">
        <v>59</v>
      </c>
      <c r="F234" s="280" t="s">
        <v>64</v>
      </c>
      <c r="G234" s="281"/>
      <c r="H234" s="275">
        <f>H235</f>
        <v>506.2</v>
      </c>
      <c r="I234" s="275">
        <f>I235</f>
        <v>508.4</v>
      </c>
    </row>
    <row r="235" spans="1:9" s="273" customFormat="1" ht="37.5">
      <c r="A235" s="267"/>
      <c r="B235" s="327" t="s">
        <v>402</v>
      </c>
      <c r="C235" s="278" t="s">
        <v>248</v>
      </c>
      <c r="D235" s="279" t="s">
        <v>65</v>
      </c>
      <c r="E235" s="279" t="s">
        <v>59</v>
      </c>
      <c r="F235" s="280" t="s">
        <v>401</v>
      </c>
      <c r="G235" s="281"/>
      <c r="H235" s="275">
        <f t="shared" si="4"/>
        <v>506.2</v>
      </c>
      <c r="I235" s="275">
        <f t="shared" si="4"/>
        <v>508.4</v>
      </c>
    </row>
    <row r="236" spans="1:9" s="273" customFormat="1" ht="37.5">
      <c r="A236" s="267"/>
      <c r="B236" s="327" t="s">
        <v>75</v>
      </c>
      <c r="C236" s="278" t="s">
        <v>248</v>
      </c>
      <c r="D236" s="279" t="s">
        <v>65</v>
      </c>
      <c r="E236" s="279" t="s">
        <v>59</v>
      </c>
      <c r="F236" s="280" t="s">
        <v>401</v>
      </c>
      <c r="G236" s="281" t="s">
        <v>76</v>
      </c>
      <c r="H236" s="275">
        <f>'прил13(ведом 22-23)'!M221</f>
        <v>506.2</v>
      </c>
      <c r="I236" s="275">
        <f>'прил13(ведом 22-23)'!N221</f>
        <v>508.4</v>
      </c>
    </row>
    <row r="237" spans="1:9" ht="37.5">
      <c r="A237" s="299"/>
      <c r="B237" s="304" t="s">
        <v>251</v>
      </c>
      <c r="C237" s="151" t="s">
        <v>248</v>
      </c>
      <c r="D237" s="146" t="s">
        <v>110</v>
      </c>
      <c r="E237" s="146" t="s">
        <v>63</v>
      </c>
      <c r="F237" s="147" t="s">
        <v>64</v>
      </c>
      <c r="G237" s="145"/>
      <c r="H237" s="275">
        <f>H238+H249+H252</f>
        <v>19213.3</v>
      </c>
      <c r="I237" s="275">
        <f>I238+I249+I252</f>
        <v>19215</v>
      </c>
    </row>
    <row r="238" spans="1:9" ht="75">
      <c r="A238" s="299"/>
      <c r="B238" s="304" t="s">
        <v>353</v>
      </c>
      <c r="C238" s="151" t="s">
        <v>248</v>
      </c>
      <c r="D238" s="146" t="s">
        <v>110</v>
      </c>
      <c r="E238" s="146" t="s">
        <v>57</v>
      </c>
      <c r="F238" s="147" t="s">
        <v>64</v>
      </c>
      <c r="G238" s="145"/>
      <c r="H238" s="275">
        <f>H239+H243+H247</f>
        <v>18642.899999999998</v>
      </c>
      <c r="I238" s="275">
        <f>I239+I243+I247</f>
        <v>18644.599999999999</v>
      </c>
    </row>
    <row r="239" spans="1:9" ht="37.5">
      <c r="A239" s="299"/>
      <c r="B239" s="304" t="s">
        <v>67</v>
      </c>
      <c r="C239" s="148" t="s">
        <v>248</v>
      </c>
      <c r="D239" s="149" t="s">
        <v>110</v>
      </c>
      <c r="E239" s="149" t="s">
        <v>57</v>
      </c>
      <c r="F239" s="150" t="s">
        <v>68</v>
      </c>
      <c r="G239" s="145"/>
      <c r="H239" s="275">
        <f>SUM(H240:H242)</f>
        <v>13256.9</v>
      </c>
      <c r="I239" s="275">
        <f>SUM(I240:I242)</f>
        <v>13257.3</v>
      </c>
    </row>
    <row r="240" spans="1:9" ht="93.75">
      <c r="A240" s="299"/>
      <c r="B240" s="304" t="s">
        <v>69</v>
      </c>
      <c r="C240" s="151" t="s">
        <v>248</v>
      </c>
      <c r="D240" s="146" t="s">
        <v>110</v>
      </c>
      <c r="E240" s="146" t="s">
        <v>57</v>
      </c>
      <c r="F240" s="147" t="s">
        <v>68</v>
      </c>
      <c r="G240" s="145" t="s">
        <v>70</v>
      </c>
      <c r="H240" s="275">
        <f>'прил13(ведом 22-23)'!M227</f>
        <v>12941.4</v>
      </c>
      <c r="I240" s="275">
        <f>'прил13(ведом 22-23)'!N227</f>
        <v>12941.4</v>
      </c>
    </row>
    <row r="241" spans="1:9" ht="37.5">
      <c r="A241" s="299"/>
      <c r="B241" s="327" t="s">
        <v>75</v>
      </c>
      <c r="C241" s="308" t="s">
        <v>248</v>
      </c>
      <c r="D241" s="279" t="s">
        <v>110</v>
      </c>
      <c r="E241" s="279" t="s">
        <v>57</v>
      </c>
      <c r="F241" s="280" t="s">
        <v>68</v>
      </c>
      <c r="G241" s="281" t="s">
        <v>76</v>
      </c>
      <c r="H241" s="275">
        <f>'прил13(ведом 22-23)'!M228</f>
        <v>314.2</v>
      </c>
      <c r="I241" s="275">
        <f>'прил13(ведом 22-23)'!N228</f>
        <v>314.60000000000002</v>
      </c>
    </row>
    <row r="242" spans="1:9" ht="18.75">
      <c r="A242" s="299"/>
      <c r="B242" s="332" t="s">
        <v>77</v>
      </c>
      <c r="C242" s="308" t="s">
        <v>248</v>
      </c>
      <c r="D242" s="279" t="s">
        <v>110</v>
      </c>
      <c r="E242" s="279" t="s">
        <v>57</v>
      </c>
      <c r="F242" s="280" t="s">
        <v>68</v>
      </c>
      <c r="G242" s="281" t="s">
        <v>78</v>
      </c>
      <c r="H242" s="275">
        <f>'прил13(ведом 22-23)'!M229</f>
        <v>1.3</v>
      </c>
      <c r="I242" s="275">
        <f>'прил13(ведом 22-23)'!N229</f>
        <v>1.3</v>
      </c>
    </row>
    <row r="243" spans="1:9" ht="37.5">
      <c r="A243" s="299"/>
      <c r="B243" s="274" t="s">
        <v>795</v>
      </c>
      <c r="C243" s="151" t="s">
        <v>248</v>
      </c>
      <c r="D243" s="146" t="s">
        <v>110</v>
      </c>
      <c r="E243" s="146" t="s">
        <v>57</v>
      </c>
      <c r="F243" s="147" t="s">
        <v>112</v>
      </c>
      <c r="G243" s="145"/>
      <c r="H243" s="275">
        <f>SUM(H244:H246)</f>
        <v>5351.4999999999991</v>
      </c>
      <c r="I243" s="275">
        <f>SUM(I244:I246)</f>
        <v>5352.8</v>
      </c>
    </row>
    <row r="244" spans="1:9" ht="93.75">
      <c r="A244" s="299"/>
      <c r="B244" s="304" t="s">
        <v>69</v>
      </c>
      <c r="C244" s="151" t="s">
        <v>248</v>
      </c>
      <c r="D244" s="146" t="s">
        <v>110</v>
      </c>
      <c r="E244" s="146" t="s">
        <v>57</v>
      </c>
      <c r="F244" s="147" t="s">
        <v>112</v>
      </c>
      <c r="G244" s="145" t="s">
        <v>70</v>
      </c>
      <c r="H244" s="275">
        <f>'прил13(ведом 22-23)'!M231</f>
        <v>4981.3999999999996</v>
      </c>
      <c r="I244" s="275">
        <f>'прил13(ведом 22-23)'!N231</f>
        <v>4981.3999999999996</v>
      </c>
    </row>
    <row r="245" spans="1:9" ht="37.5">
      <c r="A245" s="299"/>
      <c r="B245" s="135" t="s">
        <v>75</v>
      </c>
      <c r="C245" s="148" t="s">
        <v>248</v>
      </c>
      <c r="D245" s="149" t="s">
        <v>110</v>
      </c>
      <c r="E245" s="149" t="s">
        <v>57</v>
      </c>
      <c r="F245" s="150" t="s">
        <v>112</v>
      </c>
      <c r="G245" s="145" t="s">
        <v>76</v>
      </c>
      <c r="H245" s="275">
        <f>'прил13(ведом 22-23)'!M232</f>
        <v>347.2</v>
      </c>
      <c r="I245" s="275">
        <f>'прил13(ведом 22-23)'!N232</f>
        <v>350.3</v>
      </c>
    </row>
    <row r="246" spans="1:9" ht="18.75">
      <c r="A246" s="299"/>
      <c r="B246" s="142" t="s">
        <v>77</v>
      </c>
      <c r="C246" s="151" t="s">
        <v>248</v>
      </c>
      <c r="D246" s="146" t="s">
        <v>110</v>
      </c>
      <c r="E246" s="146" t="s">
        <v>57</v>
      </c>
      <c r="F246" s="147" t="s">
        <v>112</v>
      </c>
      <c r="G246" s="145" t="s">
        <v>78</v>
      </c>
      <c r="H246" s="275">
        <f>'прил13(ведом 22-23)'!M233</f>
        <v>22.9</v>
      </c>
      <c r="I246" s="275">
        <f>'прил13(ведом 22-23)'!N233</f>
        <v>21.1</v>
      </c>
    </row>
    <row r="247" spans="1:9" ht="56.25">
      <c r="A247" s="299"/>
      <c r="B247" s="327" t="s">
        <v>431</v>
      </c>
      <c r="C247" s="308" t="s">
        <v>248</v>
      </c>
      <c r="D247" s="279" t="s">
        <v>110</v>
      </c>
      <c r="E247" s="279" t="s">
        <v>57</v>
      </c>
      <c r="F247" s="280" t="s">
        <v>430</v>
      </c>
      <c r="G247" s="281"/>
      <c r="H247" s="275">
        <f>H248</f>
        <v>34.5</v>
      </c>
      <c r="I247" s="275">
        <f>I248</f>
        <v>34.5</v>
      </c>
    </row>
    <row r="248" spans="1:9" ht="37.5">
      <c r="A248" s="299"/>
      <c r="B248" s="327" t="s">
        <v>75</v>
      </c>
      <c r="C248" s="308" t="s">
        <v>248</v>
      </c>
      <c r="D248" s="279" t="s">
        <v>110</v>
      </c>
      <c r="E248" s="279" t="s">
        <v>57</v>
      </c>
      <c r="F248" s="415" t="s">
        <v>430</v>
      </c>
      <c r="G248" s="281" t="s">
        <v>76</v>
      </c>
      <c r="H248" s="275">
        <f>'прил13(ведом 22-23)'!M235</f>
        <v>34.5</v>
      </c>
      <c r="I248" s="275">
        <f>'прил13(ведом 22-23)'!N235</f>
        <v>34.5</v>
      </c>
    </row>
    <row r="249" spans="1:9" ht="37.5">
      <c r="A249" s="299"/>
      <c r="B249" s="417" t="s">
        <v>428</v>
      </c>
      <c r="C249" s="308" t="s">
        <v>248</v>
      </c>
      <c r="D249" s="309" t="s">
        <v>110</v>
      </c>
      <c r="E249" s="309" t="s">
        <v>59</v>
      </c>
      <c r="F249" s="310" t="s">
        <v>64</v>
      </c>
      <c r="G249" s="311"/>
      <c r="H249" s="275">
        <f>H250</f>
        <v>549.9</v>
      </c>
      <c r="I249" s="275">
        <f>I250</f>
        <v>549.9</v>
      </c>
    </row>
    <row r="250" spans="1:9" ht="56.25">
      <c r="A250" s="299"/>
      <c r="B250" s="549" t="s">
        <v>429</v>
      </c>
      <c r="C250" s="378" t="s">
        <v>248</v>
      </c>
      <c r="D250" s="309" t="s">
        <v>110</v>
      </c>
      <c r="E250" s="309" t="s">
        <v>59</v>
      </c>
      <c r="F250" s="310" t="s">
        <v>126</v>
      </c>
      <c r="G250" s="313"/>
      <c r="H250" s="275">
        <f>H251</f>
        <v>549.9</v>
      </c>
      <c r="I250" s="275">
        <f>I251</f>
        <v>549.9</v>
      </c>
    </row>
    <row r="251" spans="1:9" ht="37.5">
      <c r="A251" s="299"/>
      <c r="B251" s="550" t="s">
        <v>75</v>
      </c>
      <c r="C251" s="378" t="s">
        <v>248</v>
      </c>
      <c r="D251" s="317" t="s">
        <v>110</v>
      </c>
      <c r="E251" s="317" t="s">
        <v>59</v>
      </c>
      <c r="F251" s="427" t="s">
        <v>126</v>
      </c>
      <c r="G251" s="428" t="s">
        <v>76</v>
      </c>
      <c r="H251" s="275">
        <f>'прил13(ведом 22-23)'!M238</f>
        <v>549.9</v>
      </c>
      <c r="I251" s="275">
        <f>'прил13(ведом 22-23)'!N238</f>
        <v>549.9</v>
      </c>
    </row>
    <row r="252" spans="1:9" ht="27" customHeight="1">
      <c r="A252" s="299"/>
      <c r="B252" s="429" t="s">
        <v>464</v>
      </c>
      <c r="C252" s="378" t="s">
        <v>248</v>
      </c>
      <c r="D252" s="309" t="s">
        <v>110</v>
      </c>
      <c r="E252" s="309" t="s">
        <v>84</v>
      </c>
      <c r="F252" s="310" t="s">
        <v>64</v>
      </c>
      <c r="G252" s="313"/>
      <c r="H252" s="275">
        <f>H253</f>
        <v>20.5</v>
      </c>
      <c r="I252" s="275">
        <f>I253</f>
        <v>20.5</v>
      </c>
    </row>
    <row r="253" spans="1:9" ht="37.5">
      <c r="A253" s="299"/>
      <c r="B253" s="429" t="s">
        <v>402</v>
      </c>
      <c r="C253" s="316" t="s">
        <v>248</v>
      </c>
      <c r="D253" s="317" t="s">
        <v>110</v>
      </c>
      <c r="E253" s="317" t="s">
        <v>84</v>
      </c>
      <c r="F253" s="427" t="s">
        <v>401</v>
      </c>
      <c r="G253" s="313"/>
      <c r="H253" s="275">
        <f>H254</f>
        <v>20.5</v>
      </c>
      <c r="I253" s="275">
        <f>I254</f>
        <v>20.5</v>
      </c>
    </row>
    <row r="254" spans="1:9" ht="18.75">
      <c r="A254" s="299"/>
      <c r="B254" s="332" t="s">
        <v>77</v>
      </c>
      <c r="C254" s="308" t="s">
        <v>248</v>
      </c>
      <c r="D254" s="309" t="s">
        <v>110</v>
      </c>
      <c r="E254" s="309" t="s">
        <v>84</v>
      </c>
      <c r="F254" s="310" t="s">
        <v>401</v>
      </c>
      <c r="G254" s="313" t="s">
        <v>78</v>
      </c>
      <c r="H254" s="275">
        <f>'прил13(ведом 22-23)'!M241</f>
        <v>20.5</v>
      </c>
      <c r="I254" s="275">
        <f>'прил13(ведом 22-23)'!N241</f>
        <v>20.5</v>
      </c>
    </row>
    <row r="255" spans="1:9" ht="18.75">
      <c r="A255" s="299"/>
      <c r="B255" s="142"/>
      <c r="C255" s="291"/>
      <c r="D255" s="146"/>
      <c r="E255" s="146"/>
      <c r="F255" s="147"/>
      <c r="G255" s="145"/>
      <c r="H255" s="275"/>
      <c r="I255" s="275"/>
    </row>
    <row r="256" spans="1:9" s="273" customFormat="1" ht="56.25">
      <c r="A256" s="284">
        <v>8</v>
      </c>
      <c r="B256" s="301" t="s">
        <v>339</v>
      </c>
      <c r="C256" s="285" t="s">
        <v>100</v>
      </c>
      <c r="D256" s="285" t="s">
        <v>62</v>
      </c>
      <c r="E256" s="285" t="s">
        <v>63</v>
      </c>
      <c r="F256" s="286" t="s">
        <v>64</v>
      </c>
      <c r="G256" s="271"/>
      <c r="H256" s="272">
        <f>H257</f>
        <v>108876.49999999999</v>
      </c>
      <c r="I256" s="272">
        <f>I257</f>
        <v>110259.3</v>
      </c>
    </row>
    <row r="257" spans="1:9" ht="23.25" customHeight="1">
      <c r="A257" s="261"/>
      <c r="B257" s="274" t="s">
        <v>404</v>
      </c>
      <c r="C257" s="306" t="s">
        <v>100</v>
      </c>
      <c r="D257" s="146" t="s">
        <v>65</v>
      </c>
      <c r="E257" s="146" t="s">
        <v>63</v>
      </c>
      <c r="F257" s="323" t="s">
        <v>64</v>
      </c>
      <c r="G257" s="259"/>
      <c r="H257" s="275">
        <f>H258+H273+H278+H288</f>
        <v>108876.49999999999</v>
      </c>
      <c r="I257" s="275">
        <f>I258+I273+I278+I288</f>
        <v>110259.3</v>
      </c>
    </row>
    <row r="258" spans="1:9" ht="37.5">
      <c r="A258" s="261"/>
      <c r="B258" s="274" t="s">
        <v>325</v>
      </c>
      <c r="C258" s="734" t="s">
        <v>100</v>
      </c>
      <c r="D258" s="735" t="s">
        <v>65</v>
      </c>
      <c r="E258" s="735" t="s">
        <v>57</v>
      </c>
      <c r="F258" s="736" t="s">
        <v>64</v>
      </c>
      <c r="G258" s="259"/>
      <c r="H258" s="275">
        <f>H259+H262+H265+H268+H271</f>
        <v>60530.1</v>
      </c>
      <c r="I258" s="275">
        <f>I259+I262+I265+I268+I271</f>
        <v>61912.899999999994</v>
      </c>
    </row>
    <row r="259" spans="1:9" ht="132" customHeight="1">
      <c r="A259" s="261"/>
      <c r="B259" s="324" t="s">
        <v>440</v>
      </c>
      <c r="C259" s="734" t="s">
        <v>100</v>
      </c>
      <c r="D259" s="735" t="s">
        <v>65</v>
      </c>
      <c r="E259" s="735" t="s">
        <v>57</v>
      </c>
      <c r="F259" s="736" t="s">
        <v>341</v>
      </c>
      <c r="G259" s="121"/>
      <c r="H259" s="275">
        <f>SUM(H260:H261)</f>
        <v>34301.300000000003</v>
      </c>
      <c r="I259" s="275">
        <f>SUM(I260:I261)</f>
        <v>35673.9</v>
      </c>
    </row>
    <row r="260" spans="1:9" ht="37.5">
      <c r="A260" s="261"/>
      <c r="B260" s="325" t="s">
        <v>75</v>
      </c>
      <c r="C260" s="734" t="s">
        <v>100</v>
      </c>
      <c r="D260" s="735" t="s">
        <v>65</v>
      </c>
      <c r="E260" s="735" t="s">
        <v>57</v>
      </c>
      <c r="F260" s="736" t="s">
        <v>341</v>
      </c>
      <c r="G260" s="121" t="s">
        <v>76</v>
      </c>
      <c r="H260" s="275">
        <f>'прил13(ведом 22-23)'!M541</f>
        <v>171.5</v>
      </c>
      <c r="I260" s="275">
        <f>'прил13(ведом 22-23)'!N541</f>
        <v>178.4</v>
      </c>
    </row>
    <row r="261" spans="1:9" ht="30" customHeight="1">
      <c r="A261" s="261"/>
      <c r="B261" s="274" t="s">
        <v>141</v>
      </c>
      <c r="C261" s="734" t="s">
        <v>100</v>
      </c>
      <c r="D261" s="735" t="s">
        <v>65</v>
      </c>
      <c r="E261" s="735" t="s">
        <v>57</v>
      </c>
      <c r="F261" s="736" t="s">
        <v>341</v>
      </c>
      <c r="G261" s="121" t="s">
        <v>142</v>
      </c>
      <c r="H261" s="275">
        <f>'прил13(ведом 22-23)'!M542</f>
        <v>34129.800000000003</v>
      </c>
      <c r="I261" s="275">
        <f>'прил13(ведом 22-23)'!N542</f>
        <v>35495.5</v>
      </c>
    </row>
    <row r="262" spans="1:9" ht="93.75">
      <c r="A262" s="261"/>
      <c r="B262" s="274" t="s">
        <v>441</v>
      </c>
      <c r="C262" s="734" t="s">
        <v>100</v>
      </c>
      <c r="D262" s="735" t="s">
        <v>65</v>
      </c>
      <c r="E262" s="735" t="s">
        <v>57</v>
      </c>
      <c r="F262" s="736" t="s">
        <v>342</v>
      </c>
      <c r="G262" s="121"/>
      <c r="H262" s="275">
        <f>SUM(H263:H264)</f>
        <v>25619.1</v>
      </c>
      <c r="I262" s="275">
        <f>SUM(I263:I264)</f>
        <v>25619.1</v>
      </c>
    </row>
    <row r="263" spans="1:9" ht="37.5">
      <c r="A263" s="261"/>
      <c r="B263" s="325" t="s">
        <v>75</v>
      </c>
      <c r="C263" s="734" t="s">
        <v>100</v>
      </c>
      <c r="D263" s="735" t="s">
        <v>65</v>
      </c>
      <c r="E263" s="735" t="s">
        <v>57</v>
      </c>
      <c r="F263" s="736" t="s">
        <v>342</v>
      </c>
      <c r="G263" s="121" t="s">
        <v>76</v>
      </c>
      <c r="H263" s="275">
        <f>'прил13(ведом 22-23)'!M544</f>
        <v>128.1</v>
      </c>
      <c r="I263" s="275">
        <f>'прил13(ведом 22-23)'!N544</f>
        <v>128.1</v>
      </c>
    </row>
    <row r="264" spans="1:9" ht="26.25" customHeight="1">
      <c r="A264" s="261"/>
      <c r="B264" s="274" t="s">
        <v>141</v>
      </c>
      <c r="C264" s="734" t="s">
        <v>100</v>
      </c>
      <c r="D264" s="735" t="s">
        <v>65</v>
      </c>
      <c r="E264" s="735" t="s">
        <v>57</v>
      </c>
      <c r="F264" s="736" t="s">
        <v>342</v>
      </c>
      <c r="G264" s="121" t="s">
        <v>142</v>
      </c>
      <c r="H264" s="275">
        <f>'прил13(ведом 22-23)'!M545</f>
        <v>25491</v>
      </c>
      <c r="I264" s="275">
        <f>'прил13(ведом 22-23)'!N545</f>
        <v>25491</v>
      </c>
    </row>
    <row r="265" spans="1:9" ht="93.75">
      <c r="A265" s="261"/>
      <c r="B265" s="274" t="s">
        <v>442</v>
      </c>
      <c r="C265" s="734" t="s">
        <v>100</v>
      </c>
      <c r="D265" s="735" t="s">
        <v>65</v>
      </c>
      <c r="E265" s="735" t="s">
        <v>57</v>
      </c>
      <c r="F265" s="736" t="s">
        <v>343</v>
      </c>
      <c r="G265" s="121"/>
      <c r="H265" s="275">
        <f>SUM(H266:H267)</f>
        <v>252.9</v>
      </c>
      <c r="I265" s="275">
        <f>SUM(I266:I267)</f>
        <v>263.10000000000002</v>
      </c>
    </row>
    <row r="266" spans="1:9" ht="37.5">
      <c r="A266" s="261"/>
      <c r="B266" s="274" t="s">
        <v>75</v>
      </c>
      <c r="C266" s="734" t="s">
        <v>100</v>
      </c>
      <c r="D266" s="735" t="s">
        <v>65</v>
      </c>
      <c r="E266" s="735" t="s">
        <v>57</v>
      </c>
      <c r="F266" s="736" t="s">
        <v>343</v>
      </c>
      <c r="G266" s="121" t="s">
        <v>76</v>
      </c>
      <c r="H266" s="275">
        <f>'прил13(ведом 22-23)'!M547</f>
        <v>1.2</v>
      </c>
      <c r="I266" s="275">
        <f>'прил13(ведом 22-23)'!N547</f>
        <v>1.3</v>
      </c>
    </row>
    <row r="267" spans="1:9" ht="29.25" customHeight="1">
      <c r="A267" s="261"/>
      <c r="B267" s="274" t="s">
        <v>141</v>
      </c>
      <c r="C267" s="734" t="s">
        <v>100</v>
      </c>
      <c r="D267" s="735" t="s">
        <v>65</v>
      </c>
      <c r="E267" s="735" t="s">
        <v>57</v>
      </c>
      <c r="F267" s="736" t="s">
        <v>343</v>
      </c>
      <c r="G267" s="121" t="s">
        <v>142</v>
      </c>
      <c r="H267" s="275">
        <f>'прил13(ведом 22-23)'!M548</f>
        <v>251.70000000000002</v>
      </c>
      <c r="I267" s="275">
        <f>'прил13(ведом 22-23)'!N548</f>
        <v>261.8</v>
      </c>
    </row>
    <row r="268" spans="1:9" ht="112.5">
      <c r="A268" s="261"/>
      <c r="B268" s="274" t="s">
        <v>448</v>
      </c>
      <c r="C268" s="734" t="s">
        <v>100</v>
      </c>
      <c r="D268" s="735" t="s">
        <v>65</v>
      </c>
      <c r="E268" s="735" t="s">
        <v>57</v>
      </c>
      <c r="F268" s="736" t="s">
        <v>344</v>
      </c>
      <c r="G268" s="121"/>
      <c r="H268" s="275">
        <f>SUM(H269:H270)</f>
        <v>346.7</v>
      </c>
      <c r="I268" s="275">
        <f>SUM(I269:I270)</f>
        <v>346.7</v>
      </c>
    </row>
    <row r="269" spans="1:9" ht="37.5">
      <c r="A269" s="261"/>
      <c r="B269" s="274" t="s">
        <v>75</v>
      </c>
      <c r="C269" s="734" t="s">
        <v>100</v>
      </c>
      <c r="D269" s="735" t="s">
        <v>65</v>
      </c>
      <c r="E269" s="735" t="s">
        <v>57</v>
      </c>
      <c r="F269" s="736" t="s">
        <v>344</v>
      </c>
      <c r="G269" s="121" t="s">
        <v>76</v>
      </c>
      <c r="H269" s="275">
        <f>'прил13(ведом 22-23)'!M550</f>
        <v>1.7</v>
      </c>
      <c r="I269" s="275">
        <f>'прил13(ведом 22-23)'!N550</f>
        <v>1.7</v>
      </c>
    </row>
    <row r="270" spans="1:9" ht="25.5" customHeight="1">
      <c r="A270" s="261"/>
      <c r="B270" s="274" t="s">
        <v>141</v>
      </c>
      <c r="C270" s="734" t="s">
        <v>100</v>
      </c>
      <c r="D270" s="735" t="s">
        <v>65</v>
      </c>
      <c r="E270" s="735" t="s">
        <v>57</v>
      </c>
      <c r="F270" s="736" t="s">
        <v>344</v>
      </c>
      <c r="G270" s="121" t="s">
        <v>142</v>
      </c>
      <c r="H270" s="275">
        <f>'прил13(ведом 22-23)'!M551</f>
        <v>345</v>
      </c>
      <c r="I270" s="275">
        <f>'прил13(ведом 22-23)'!N551</f>
        <v>345</v>
      </c>
    </row>
    <row r="271" spans="1:9" ht="135" customHeight="1">
      <c r="A271" s="261"/>
      <c r="B271" s="326" t="s">
        <v>439</v>
      </c>
      <c r="C271" s="734" t="s">
        <v>100</v>
      </c>
      <c r="D271" s="735" t="s">
        <v>65</v>
      </c>
      <c r="E271" s="735" t="s">
        <v>57</v>
      </c>
      <c r="F271" s="736" t="s">
        <v>340</v>
      </c>
      <c r="G271" s="121"/>
      <c r="H271" s="275">
        <f>H272</f>
        <v>10.1</v>
      </c>
      <c r="I271" s="275">
        <f>I272</f>
        <v>10.1</v>
      </c>
    </row>
    <row r="272" spans="1:9" ht="37.5">
      <c r="A272" s="261"/>
      <c r="B272" s="135" t="s">
        <v>141</v>
      </c>
      <c r="C272" s="734" t="s">
        <v>100</v>
      </c>
      <c r="D272" s="735" t="s">
        <v>65</v>
      </c>
      <c r="E272" s="735" t="s">
        <v>57</v>
      </c>
      <c r="F272" s="736" t="s">
        <v>340</v>
      </c>
      <c r="G272" s="121" t="s">
        <v>142</v>
      </c>
      <c r="H272" s="275">
        <f>'прил13(ведом 22-23)'!M534</f>
        <v>10.1</v>
      </c>
      <c r="I272" s="275">
        <f>'прил13(ведом 22-23)'!N534</f>
        <v>10.1</v>
      </c>
    </row>
    <row r="273" spans="1:9" ht="75">
      <c r="A273" s="261"/>
      <c r="B273" s="327" t="s">
        <v>352</v>
      </c>
      <c r="C273" s="328" t="s">
        <v>100</v>
      </c>
      <c r="D273" s="329" t="s">
        <v>65</v>
      </c>
      <c r="E273" s="329" t="s">
        <v>59</v>
      </c>
      <c r="F273" s="330" t="s">
        <v>64</v>
      </c>
      <c r="G273" s="331"/>
      <c r="H273" s="275">
        <f>H276+H274</f>
        <v>40202.699999999997</v>
      </c>
      <c r="I273" s="275">
        <f>I276+I274</f>
        <v>40202.700000000004</v>
      </c>
    </row>
    <row r="274" spans="1:9" ht="94.5" customHeight="1">
      <c r="A274" s="261"/>
      <c r="B274" s="332" t="s">
        <v>590</v>
      </c>
      <c r="C274" s="278" t="s">
        <v>100</v>
      </c>
      <c r="D274" s="279" t="s">
        <v>65</v>
      </c>
      <c r="E274" s="279" t="s">
        <v>59</v>
      </c>
      <c r="F274" s="333" t="s">
        <v>591</v>
      </c>
      <c r="G274" s="281"/>
      <c r="H274" s="275">
        <f>H275</f>
        <v>30934.1</v>
      </c>
      <c r="I274" s="275">
        <f>I275</f>
        <v>30934.100000000002</v>
      </c>
    </row>
    <row r="275" spans="1:9" ht="37.5">
      <c r="A275" s="261"/>
      <c r="B275" s="332" t="s">
        <v>225</v>
      </c>
      <c r="C275" s="278" t="s">
        <v>100</v>
      </c>
      <c r="D275" s="279" t="s">
        <v>65</v>
      </c>
      <c r="E275" s="279" t="s">
        <v>59</v>
      </c>
      <c r="F275" s="333" t="s">
        <v>591</v>
      </c>
      <c r="G275" s="281" t="s">
        <v>226</v>
      </c>
      <c r="H275" s="275">
        <f>'прил13(ведом 22-23)'!M275</f>
        <v>30934.1</v>
      </c>
      <c r="I275" s="275">
        <f>'прил13(ведом 22-23)'!N275</f>
        <v>30934.100000000002</v>
      </c>
    </row>
    <row r="276" spans="1:9" ht="98.25" customHeight="1">
      <c r="A276" s="261"/>
      <c r="B276" s="332" t="s">
        <v>590</v>
      </c>
      <c r="C276" s="278" t="s">
        <v>100</v>
      </c>
      <c r="D276" s="279" t="s">
        <v>65</v>
      </c>
      <c r="E276" s="279" t="s">
        <v>59</v>
      </c>
      <c r="F276" s="333" t="s">
        <v>592</v>
      </c>
      <c r="G276" s="281"/>
      <c r="H276" s="275">
        <f>H277</f>
        <v>9268.6</v>
      </c>
      <c r="I276" s="275">
        <f>I277</f>
        <v>9268.6</v>
      </c>
    </row>
    <row r="277" spans="1:9" ht="37.5">
      <c r="A277" s="261"/>
      <c r="B277" s="332" t="s">
        <v>225</v>
      </c>
      <c r="C277" s="278" t="s">
        <v>100</v>
      </c>
      <c r="D277" s="279" t="s">
        <v>65</v>
      </c>
      <c r="E277" s="279" t="s">
        <v>59</v>
      </c>
      <c r="F277" s="333" t="s">
        <v>592</v>
      </c>
      <c r="G277" s="281" t="s">
        <v>226</v>
      </c>
      <c r="H277" s="275">
        <f>'прил13(ведом 22-23)'!M277</f>
        <v>9268.6</v>
      </c>
      <c r="I277" s="275">
        <f>'прил13(ведом 22-23)'!N277</f>
        <v>9268.6</v>
      </c>
    </row>
    <row r="278" spans="1:9" ht="37.5">
      <c r="A278" s="261"/>
      <c r="B278" s="274" t="s">
        <v>251</v>
      </c>
      <c r="C278" s="734" t="s">
        <v>100</v>
      </c>
      <c r="D278" s="735" t="s">
        <v>65</v>
      </c>
      <c r="E278" s="735" t="s">
        <v>84</v>
      </c>
      <c r="F278" s="736" t="s">
        <v>64</v>
      </c>
      <c r="G278" s="121"/>
      <c r="H278" s="275">
        <f>H279+H282+H285</f>
        <v>7591.7</v>
      </c>
      <c r="I278" s="275">
        <f>I279+I282+I285</f>
        <v>7591.7</v>
      </c>
    </row>
    <row r="279" spans="1:9" ht="75">
      <c r="A279" s="261"/>
      <c r="B279" s="274" t="s">
        <v>253</v>
      </c>
      <c r="C279" s="734" t="s">
        <v>100</v>
      </c>
      <c r="D279" s="735" t="s">
        <v>65</v>
      </c>
      <c r="E279" s="735" t="s">
        <v>84</v>
      </c>
      <c r="F279" s="736" t="s">
        <v>346</v>
      </c>
      <c r="G279" s="121"/>
      <c r="H279" s="275">
        <f>SUM(H280:H281)</f>
        <v>6084</v>
      </c>
      <c r="I279" s="275">
        <f>SUM(I280:I281)</f>
        <v>6084</v>
      </c>
    </row>
    <row r="280" spans="1:9" ht="93.75">
      <c r="A280" s="261"/>
      <c r="B280" s="274" t="s">
        <v>69</v>
      </c>
      <c r="C280" s="734" t="s">
        <v>100</v>
      </c>
      <c r="D280" s="735" t="s">
        <v>65</v>
      </c>
      <c r="E280" s="735" t="s">
        <v>84</v>
      </c>
      <c r="F280" s="736" t="s">
        <v>346</v>
      </c>
      <c r="G280" s="121" t="s">
        <v>70</v>
      </c>
      <c r="H280" s="275">
        <f>'прил13(ведом 22-23)'!M557</f>
        <v>5725.5</v>
      </c>
      <c r="I280" s="275">
        <f>'прил13(ведом 22-23)'!N557</f>
        <v>5725.5</v>
      </c>
    </row>
    <row r="281" spans="1:9" ht="37.5">
      <c r="A281" s="261"/>
      <c r="B281" s="274" t="s">
        <v>75</v>
      </c>
      <c r="C281" s="334" t="s">
        <v>100</v>
      </c>
      <c r="D281" s="335" t="s">
        <v>65</v>
      </c>
      <c r="E281" s="335" t="s">
        <v>84</v>
      </c>
      <c r="F281" s="336" t="s">
        <v>346</v>
      </c>
      <c r="G281" s="121" t="s">
        <v>76</v>
      </c>
      <c r="H281" s="275">
        <f>'прил13(ведом 22-23)'!M558</f>
        <v>358.5</v>
      </c>
      <c r="I281" s="275">
        <f>'прил13(ведом 22-23)'!N558</f>
        <v>358.5</v>
      </c>
    </row>
    <row r="282" spans="1:9" ht="93.75">
      <c r="A282" s="261"/>
      <c r="B282" s="534" t="s">
        <v>789</v>
      </c>
      <c r="C282" s="734" t="s">
        <v>100</v>
      </c>
      <c r="D282" s="735" t="s">
        <v>65</v>
      </c>
      <c r="E282" s="735" t="s">
        <v>84</v>
      </c>
      <c r="F282" s="736" t="s">
        <v>347</v>
      </c>
      <c r="G282" s="121"/>
      <c r="H282" s="275">
        <f>SUM(H283:H284)</f>
        <v>636.69999999999993</v>
      </c>
      <c r="I282" s="275">
        <f>SUM(I283:I284)</f>
        <v>636.69999999999993</v>
      </c>
    </row>
    <row r="283" spans="1:9" ht="93.75">
      <c r="A283" s="261"/>
      <c r="B283" s="274" t="s">
        <v>69</v>
      </c>
      <c r="C283" s="734" t="s">
        <v>100</v>
      </c>
      <c r="D283" s="735" t="s">
        <v>65</v>
      </c>
      <c r="E283" s="735" t="s">
        <v>84</v>
      </c>
      <c r="F283" s="736" t="s">
        <v>347</v>
      </c>
      <c r="G283" s="121" t="s">
        <v>70</v>
      </c>
      <c r="H283" s="275">
        <f>'прил13(ведом 22-23)'!M560</f>
        <v>607.29999999999995</v>
      </c>
      <c r="I283" s="275">
        <f>'прил13(ведом 22-23)'!N560</f>
        <v>607.29999999999995</v>
      </c>
    </row>
    <row r="284" spans="1:9" ht="37.5">
      <c r="A284" s="261"/>
      <c r="B284" s="274" t="s">
        <v>75</v>
      </c>
      <c r="C284" s="734" t="s">
        <v>100</v>
      </c>
      <c r="D284" s="735" t="s">
        <v>65</v>
      </c>
      <c r="E284" s="735" t="s">
        <v>84</v>
      </c>
      <c r="F284" s="736" t="s">
        <v>347</v>
      </c>
      <c r="G284" s="121" t="s">
        <v>76</v>
      </c>
      <c r="H284" s="275">
        <f>'прил13(ведом 22-23)'!M561</f>
        <v>29.4</v>
      </c>
      <c r="I284" s="275">
        <f>'прил13(ведом 22-23)'!N561</f>
        <v>29.4</v>
      </c>
    </row>
    <row r="285" spans="1:9" ht="18.75">
      <c r="A285" s="261"/>
      <c r="B285" s="274" t="s">
        <v>254</v>
      </c>
      <c r="C285" s="734" t="s">
        <v>100</v>
      </c>
      <c r="D285" s="735" t="s">
        <v>65</v>
      </c>
      <c r="E285" s="735" t="s">
        <v>84</v>
      </c>
      <c r="F285" s="736" t="s">
        <v>348</v>
      </c>
      <c r="G285" s="121"/>
      <c r="H285" s="275">
        <f>H286+H287</f>
        <v>871</v>
      </c>
      <c r="I285" s="275">
        <f>I286+I287</f>
        <v>871</v>
      </c>
    </row>
    <row r="286" spans="1:9" ht="93.75">
      <c r="A286" s="261"/>
      <c r="B286" s="274" t="s">
        <v>69</v>
      </c>
      <c r="C286" s="734" t="s">
        <v>100</v>
      </c>
      <c r="D286" s="735" t="s">
        <v>65</v>
      </c>
      <c r="E286" s="735" t="s">
        <v>84</v>
      </c>
      <c r="F286" s="736" t="s">
        <v>348</v>
      </c>
      <c r="G286" s="121" t="s">
        <v>70</v>
      </c>
      <c r="H286" s="275">
        <f>'прил13(ведом 22-23)'!M563</f>
        <v>808.2</v>
      </c>
      <c r="I286" s="275">
        <f>'прил13(ведом 22-23)'!N563</f>
        <v>808.2</v>
      </c>
    </row>
    <row r="287" spans="1:9" ht="37.5">
      <c r="A287" s="261"/>
      <c r="B287" s="274" t="s">
        <v>75</v>
      </c>
      <c r="C287" s="734" t="s">
        <v>100</v>
      </c>
      <c r="D287" s="735" t="s">
        <v>65</v>
      </c>
      <c r="E287" s="735" t="s">
        <v>84</v>
      </c>
      <c r="F287" s="736" t="s">
        <v>348</v>
      </c>
      <c r="G287" s="121" t="s">
        <v>76</v>
      </c>
      <c r="H287" s="275">
        <f>'прил13(ведом 22-23)'!M564</f>
        <v>62.8</v>
      </c>
      <c r="I287" s="275">
        <f>'прил13(ведом 22-23)'!N564</f>
        <v>62.8</v>
      </c>
    </row>
    <row r="288" spans="1:9" ht="77.25" customHeight="1">
      <c r="A288" s="261"/>
      <c r="B288" s="138" t="s">
        <v>753</v>
      </c>
      <c r="C288" s="734" t="s">
        <v>100</v>
      </c>
      <c r="D288" s="735" t="s">
        <v>65</v>
      </c>
      <c r="E288" s="735" t="s">
        <v>72</v>
      </c>
      <c r="F288" s="736" t="s">
        <v>64</v>
      </c>
      <c r="G288" s="121"/>
      <c r="H288" s="275">
        <f>H289</f>
        <v>552</v>
      </c>
      <c r="I288" s="275">
        <f>I289</f>
        <v>552</v>
      </c>
    </row>
    <row r="289" spans="1:9" ht="75">
      <c r="A289" s="261"/>
      <c r="B289" s="138" t="s">
        <v>746</v>
      </c>
      <c r="C289" s="734" t="s">
        <v>100</v>
      </c>
      <c r="D289" s="735" t="s">
        <v>65</v>
      </c>
      <c r="E289" s="735" t="s">
        <v>72</v>
      </c>
      <c r="F289" s="736" t="s">
        <v>433</v>
      </c>
      <c r="G289" s="121"/>
      <c r="H289" s="275">
        <f>H290</f>
        <v>552</v>
      </c>
      <c r="I289" s="275">
        <f>I290</f>
        <v>552</v>
      </c>
    </row>
    <row r="290" spans="1:9" ht="26.25" customHeight="1">
      <c r="A290" s="261"/>
      <c r="B290" s="139" t="s">
        <v>141</v>
      </c>
      <c r="C290" s="734" t="s">
        <v>100</v>
      </c>
      <c r="D290" s="735" t="s">
        <v>65</v>
      </c>
      <c r="E290" s="735" t="s">
        <v>72</v>
      </c>
      <c r="F290" s="736" t="s">
        <v>433</v>
      </c>
      <c r="G290" s="121" t="s">
        <v>142</v>
      </c>
      <c r="H290" s="275">
        <f>'прил13(ведом 22-23)'!M162</f>
        <v>552</v>
      </c>
      <c r="I290" s="275">
        <f>'прил13(ведом 22-23)'!N162</f>
        <v>552</v>
      </c>
    </row>
    <row r="291" spans="1:9" ht="18.75">
      <c r="A291" s="261"/>
      <c r="B291" s="139"/>
      <c r="C291" s="735"/>
      <c r="D291" s="735"/>
      <c r="E291" s="735"/>
      <c r="F291" s="736"/>
      <c r="G291" s="121"/>
      <c r="H291" s="275"/>
      <c r="I291" s="275"/>
    </row>
    <row r="292" spans="1:9" ht="75">
      <c r="A292" s="284">
        <v>9</v>
      </c>
      <c r="B292" s="447" t="s">
        <v>397</v>
      </c>
      <c r="C292" s="448" t="s">
        <v>125</v>
      </c>
      <c r="D292" s="449" t="s">
        <v>62</v>
      </c>
      <c r="E292" s="449" t="s">
        <v>63</v>
      </c>
      <c r="F292" s="450" t="s">
        <v>64</v>
      </c>
      <c r="G292" s="361"/>
      <c r="H292" s="272">
        <f>H293+H297</f>
        <v>12354.9</v>
      </c>
      <c r="I292" s="272">
        <f>I293+I297</f>
        <v>25766.9</v>
      </c>
    </row>
    <row r="293" spans="1:9" ht="37.5">
      <c r="A293" s="261"/>
      <c r="B293" s="327" t="s">
        <v>399</v>
      </c>
      <c r="C293" s="278" t="s">
        <v>125</v>
      </c>
      <c r="D293" s="279" t="s">
        <v>65</v>
      </c>
      <c r="E293" s="279" t="s">
        <v>63</v>
      </c>
      <c r="F293" s="333" t="s">
        <v>64</v>
      </c>
      <c r="G293" s="281"/>
      <c r="H293" s="275">
        <f t="shared" ref="H293:I295" si="5">H294</f>
        <v>12354.9</v>
      </c>
      <c r="I293" s="275">
        <f t="shared" si="5"/>
        <v>0</v>
      </c>
    </row>
    <row r="294" spans="1:9" ht="56.25">
      <c r="A294" s="261"/>
      <c r="B294" s="327" t="s">
        <v>460</v>
      </c>
      <c r="C294" s="278" t="s">
        <v>125</v>
      </c>
      <c r="D294" s="279" t="s">
        <v>65</v>
      </c>
      <c r="E294" s="279" t="s">
        <v>57</v>
      </c>
      <c r="F294" s="333" t="s">
        <v>64</v>
      </c>
      <c r="G294" s="281"/>
      <c r="H294" s="275">
        <f t="shared" si="5"/>
        <v>12354.9</v>
      </c>
      <c r="I294" s="275">
        <f t="shared" si="5"/>
        <v>0</v>
      </c>
    </row>
    <row r="295" spans="1:9" ht="56.25">
      <c r="A295" s="261"/>
      <c r="B295" s="327" t="s">
        <v>1007</v>
      </c>
      <c r="C295" s="278" t="s">
        <v>125</v>
      </c>
      <c r="D295" s="279" t="s">
        <v>65</v>
      </c>
      <c r="E295" s="279" t="s">
        <v>57</v>
      </c>
      <c r="F295" s="333" t="s">
        <v>589</v>
      </c>
      <c r="G295" s="281"/>
      <c r="H295" s="275">
        <f t="shared" si="5"/>
        <v>12354.9</v>
      </c>
      <c r="I295" s="275">
        <f t="shared" si="5"/>
        <v>0</v>
      </c>
    </row>
    <row r="296" spans="1:9" ht="37.5">
      <c r="A296" s="261"/>
      <c r="B296" s="327" t="s">
        <v>225</v>
      </c>
      <c r="C296" s="278" t="s">
        <v>125</v>
      </c>
      <c r="D296" s="279" t="s">
        <v>65</v>
      </c>
      <c r="E296" s="279" t="s">
        <v>57</v>
      </c>
      <c r="F296" s="333" t="s">
        <v>589</v>
      </c>
      <c r="G296" s="281" t="s">
        <v>226</v>
      </c>
      <c r="H296" s="275">
        <f>'прил13(ведом 22-23)'!M255</f>
        <v>12354.9</v>
      </c>
      <c r="I296" s="275">
        <f>'прил13(ведом 22-23)'!N255</f>
        <v>0</v>
      </c>
    </row>
    <row r="297" spans="1:9" ht="37.5">
      <c r="A297" s="261"/>
      <c r="B297" s="575" t="s">
        <v>873</v>
      </c>
      <c r="C297" s="734" t="s">
        <v>125</v>
      </c>
      <c r="D297" s="735" t="s">
        <v>874</v>
      </c>
      <c r="E297" s="735" t="s">
        <v>63</v>
      </c>
      <c r="F297" s="736" t="s">
        <v>64</v>
      </c>
      <c r="G297" s="374"/>
      <c r="H297" s="275">
        <f>H298</f>
        <v>0</v>
      </c>
      <c r="I297" s="275">
        <f>I298</f>
        <v>25766.9</v>
      </c>
    </row>
    <row r="298" spans="1:9" ht="56.25">
      <c r="A298" s="261"/>
      <c r="B298" s="135" t="s">
        <v>819</v>
      </c>
      <c r="C298" s="734" t="s">
        <v>125</v>
      </c>
      <c r="D298" s="735" t="s">
        <v>874</v>
      </c>
      <c r="E298" s="735" t="s">
        <v>816</v>
      </c>
      <c r="F298" s="736" t="s">
        <v>64</v>
      </c>
      <c r="G298" s="374"/>
      <c r="H298" s="275">
        <f>H299+H301</f>
        <v>0</v>
      </c>
      <c r="I298" s="275">
        <f>I299+I301</f>
        <v>25766.9</v>
      </c>
    </row>
    <row r="299" spans="1:9" ht="93.75">
      <c r="A299" s="261"/>
      <c r="B299" s="135" t="s">
        <v>820</v>
      </c>
      <c r="C299" s="734" t="s">
        <v>125</v>
      </c>
      <c r="D299" s="735" t="s">
        <v>874</v>
      </c>
      <c r="E299" s="735" t="s">
        <v>816</v>
      </c>
      <c r="F299" s="736" t="s">
        <v>817</v>
      </c>
      <c r="G299" s="374"/>
      <c r="H299" s="275">
        <f>H300</f>
        <v>0</v>
      </c>
      <c r="I299" s="275">
        <f>I300</f>
        <v>20613.5</v>
      </c>
    </row>
    <row r="300" spans="1:9" ht="37.5">
      <c r="A300" s="261"/>
      <c r="B300" s="135" t="s">
        <v>225</v>
      </c>
      <c r="C300" s="734" t="s">
        <v>125</v>
      </c>
      <c r="D300" s="735" t="s">
        <v>874</v>
      </c>
      <c r="E300" s="735" t="s">
        <v>816</v>
      </c>
      <c r="F300" s="736" t="s">
        <v>817</v>
      </c>
      <c r="G300" s="374" t="s">
        <v>226</v>
      </c>
      <c r="H300" s="275">
        <f>'прил13(ведом 22-23)'!M153</f>
        <v>0</v>
      </c>
      <c r="I300" s="275">
        <f>'прил13(ведом 22-23)'!N153</f>
        <v>20613.5</v>
      </c>
    </row>
    <row r="301" spans="1:9" ht="93.75">
      <c r="A301" s="261"/>
      <c r="B301" s="135" t="s">
        <v>820</v>
      </c>
      <c r="C301" s="734" t="s">
        <v>125</v>
      </c>
      <c r="D301" s="735" t="s">
        <v>874</v>
      </c>
      <c r="E301" s="735" t="s">
        <v>816</v>
      </c>
      <c r="F301" s="736" t="s">
        <v>818</v>
      </c>
      <c r="G301" s="374"/>
      <c r="H301" s="275">
        <f>H302</f>
        <v>0</v>
      </c>
      <c r="I301" s="275">
        <f>I302</f>
        <v>5153.3999999999996</v>
      </c>
    </row>
    <row r="302" spans="1:9" ht="37.5">
      <c r="A302" s="261"/>
      <c r="B302" s="332" t="s">
        <v>225</v>
      </c>
      <c r="C302" s="734" t="s">
        <v>125</v>
      </c>
      <c r="D302" s="735" t="s">
        <v>874</v>
      </c>
      <c r="E302" s="735" t="s">
        <v>816</v>
      </c>
      <c r="F302" s="736" t="s">
        <v>818</v>
      </c>
      <c r="G302" s="812" t="s">
        <v>226</v>
      </c>
      <c r="H302" s="275">
        <f>'прил13(ведом 22-23)'!M155</f>
        <v>0</v>
      </c>
      <c r="I302" s="275">
        <f>'прил13(ведом 22-23)'!N155</f>
        <v>5153.3999999999996</v>
      </c>
    </row>
    <row r="303" spans="1:9" ht="18.75">
      <c r="A303" s="261"/>
      <c r="B303" s="139"/>
      <c r="C303" s="735"/>
      <c r="D303" s="735"/>
      <c r="E303" s="735"/>
      <c r="F303" s="736"/>
      <c r="G303" s="121"/>
      <c r="H303" s="275"/>
      <c r="I303" s="275"/>
    </row>
    <row r="304" spans="1:9" s="273" customFormat="1" ht="56.25">
      <c r="A304" s="284">
        <v>10</v>
      </c>
      <c r="B304" s="297" t="s">
        <v>115</v>
      </c>
      <c r="C304" s="285" t="s">
        <v>88</v>
      </c>
      <c r="D304" s="285" t="s">
        <v>62</v>
      </c>
      <c r="E304" s="285" t="s">
        <v>63</v>
      </c>
      <c r="F304" s="286" t="s">
        <v>64</v>
      </c>
      <c r="G304" s="337"/>
      <c r="H304" s="272">
        <f>H305</f>
        <v>11258.5</v>
      </c>
      <c r="I304" s="272">
        <f>I305</f>
        <v>11258.5</v>
      </c>
    </row>
    <row r="305" spans="1:9" ht="18.75" customHeight="1">
      <c r="A305" s="261"/>
      <c r="B305" s="274" t="s">
        <v>404</v>
      </c>
      <c r="C305" s="734" t="s">
        <v>88</v>
      </c>
      <c r="D305" s="735" t="s">
        <v>65</v>
      </c>
      <c r="E305" s="735" t="s">
        <v>63</v>
      </c>
      <c r="F305" s="736" t="s">
        <v>64</v>
      </c>
      <c r="G305" s="293"/>
      <c r="H305" s="275">
        <f>H306+H309</f>
        <v>11258.5</v>
      </c>
      <c r="I305" s="275">
        <f>I306+I309</f>
        <v>11258.5</v>
      </c>
    </row>
    <row r="306" spans="1:9" ht="37.5">
      <c r="A306" s="261"/>
      <c r="B306" s="274" t="s">
        <v>116</v>
      </c>
      <c r="C306" s="734" t="s">
        <v>88</v>
      </c>
      <c r="D306" s="735" t="s">
        <v>65</v>
      </c>
      <c r="E306" s="735" t="s">
        <v>57</v>
      </c>
      <c r="F306" s="736" t="s">
        <v>64</v>
      </c>
      <c r="G306" s="293"/>
      <c r="H306" s="275">
        <f>H307</f>
        <v>11070.6</v>
      </c>
      <c r="I306" s="275">
        <f>I307</f>
        <v>11070.6</v>
      </c>
    </row>
    <row r="307" spans="1:9" ht="56.25">
      <c r="A307" s="261"/>
      <c r="B307" s="167" t="s">
        <v>582</v>
      </c>
      <c r="C307" s="734" t="s">
        <v>88</v>
      </c>
      <c r="D307" s="735" t="s">
        <v>65</v>
      </c>
      <c r="E307" s="735" t="s">
        <v>57</v>
      </c>
      <c r="F307" s="736" t="s">
        <v>82</v>
      </c>
      <c r="G307" s="121"/>
      <c r="H307" s="275">
        <f>H308</f>
        <v>11070.6</v>
      </c>
      <c r="I307" s="275">
        <f>I308</f>
        <v>11070.6</v>
      </c>
    </row>
    <row r="308" spans="1:9" ht="18.75">
      <c r="A308" s="261"/>
      <c r="B308" s="274" t="s">
        <v>77</v>
      </c>
      <c r="C308" s="734" t="s">
        <v>88</v>
      </c>
      <c r="D308" s="735" t="s">
        <v>65</v>
      </c>
      <c r="E308" s="735" t="s">
        <v>57</v>
      </c>
      <c r="F308" s="736" t="s">
        <v>82</v>
      </c>
      <c r="G308" s="121" t="s">
        <v>78</v>
      </c>
      <c r="H308" s="275">
        <f>'прил13(ведом 22-23)'!M114</f>
        <v>11070.6</v>
      </c>
      <c r="I308" s="275">
        <f>'прил13(ведом 22-23)'!N114</f>
        <v>11070.6</v>
      </c>
    </row>
    <row r="309" spans="1:9" ht="56.25">
      <c r="A309" s="261"/>
      <c r="B309" s="274" t="s">
        <v>117</v>
      </c>
      <c r="C309" s="734" t="s">
        <v>88</v>
      </c>
      <c r="D309" s="735" t="s">
        <v>65</v>
      </c>
      <c r="E309" s="735" t="s">
        <v>59</v>
      </c>
      <c r="F309" s="736" t="s">
        <v>64</v>
      </c>
      <c r="G309" s="121"/>
      <c r="H309" s="275">
        <f>H310</f>
        <v>187.9</v>
      </c>
      <c r="I309" s="275">
        <f>I310</f>
        <v>187.9</v>
      </c>
    </row>
    <row r="310" spans="1:9" ht="18.75">
      <c r="A310" s="261"/>
      <c r="B310" s="135" t="s">
        <v>687</v>
      </c>
      <c r="C310" s="734" t="s">
        <v>88</v>
      </c>
      <c r="D310" s="735" t="s">
        <v>65</v>
      </c>
      <c r="E310" s="735" t="s">
        <v>59</v>
      </c>
      <c r="F310" s="736" t="s">
        <v>118</v>
      </c>
      <c r="G310" s="121"/>
      <c r="H310" s="275">
        <f>H311</f>
        <v>187.9</v>
      </c>
      <c r="I310" s="275">
        <f>I311</f>
        <v>187.9</v>
      </c>
    </row>
    <row r="311" spans="1:9" ht="37.5">
      <c r="A311" s="261"/>
      <c r="B311" s="274" t="s">
        <v>75</v>
      </c>
      <c r="C311" s="734" t="s">
        <v>88</v>
      </c>
      <c r="D311" s="735" t="s">
        <v>65</v>
      </c>
      <c r="E311" s="735" t="s">
        <v>59</v>
      </c>
      <c r="F311" s="736" t="s">
        <v>118</v>
      </c>
      <c r="G311" s="121" t="s">
        <v>76</v>
      </c>
      <c r="H311" s="275">
        <f>'прил13(ведом 22-23)'!M117</f>
        <v>187.9</v>
      </c>
      <c r="I311" s="275">
        <f>'прил13(ведом 22-23)'!N117</f>
        <v>187.9</v>
      </c>
    </row>
    <row r="312" spans="1:9" ht="18.75">
      <c r="A312" s="261"/>
      <c r="B312" s="283"/>
      <c r="C312" s="729"/>
      <c r="D312" s="729"/>
      <c r="E312" s="729"/>
      <c r="F312" s="730"/>
      <c r="G312" s="259"/>
      <c r="H312" s="275"/>
      <c r="I312" s="275"/>
    </row>
    <row r="313" spans="1:9" s="273" customFormat="1" ht="56.25">
      <c r="A313" s="284">
        <v>11</v>
      </c>
      <c r="B313" s="297" t="s">
        <v>120</v>
      </c>
      <c r="C313" s="285" t="s">
        <v>121</v>
      </c>
      <c r="D313" s="285" t="s">
        <v>62</v>
      </c>
      <c r="E313" s="285" t="s">
        <v>63</v>
      </c>
      <c r="F313" s="286" t="s">
        <v>64</v>
      </c>
      <c r="G313" s="271"/>
      <c r="H313" s="272">
        <f t="shared" ref="H313:I316" si="6">H314</f>
        <v>5907.9</v>
      </c>
      <c r="I313" s="272">
        <f t="shared" si="6"/>
        <v>6835.1</v>
      </c>
    </row>
    <row r="314" spans="1:9" s="273" customFormat="1" ht="19.5" customHeight="1">
      <c r="A314" s="261"/>
      <c r="B314" s="274" t="s">
        <v>404</v>
      </c>
      <c r="C314" s="734" t="s">
        <v>121</v>
      </c>
      <c r="D314" s="735" t="s">
        <v>65</v>
      </c>
      <c r="E314" s="735" t="s">
        <v>63</v>
      </c>
      <c r="F314" s="736" t="s">
        <v>64</v>
      </c>
      <c r="G314" s="121"/>
      <c r="H314" s="275">
        <f t="shared" si="6"/>
        <v>5907.9</v>
      </c>
      <c r="I314" s="275">
        <f t="shared" si="6"/>
        <v>6835.1</v>
      </c>
    </row>
    <row r="315" spans="1:9" s="273" customFormat="1" ht="75">
      <c r="A315" s="261"/>
      <c r="B315" s="274" t="s">
        <v>122</v>
      </c>
      <c r="C315" s="734" t="s">
        <v>121</v>
      </c>
      <c r="D315" s="735" t="s">
        <v>65</v>
      </c>
      <c r="E315" s="735" t="s">
        <v>57</v>
      </c>
      <c r="F315" s="736" t="s">
        <v>64</v>
      </c>
      <c r="G315" s="121"/>
      <c r="H315" s="275">
        <f t="shared" si="6"/>
        <v>5907.9</v>
      </c>
      <c r="I315" s="275">
        <f t="shared" si="6"/>
        <v>6835.1</v>
      </c>
    </row>
    <row r="316" spans="1:9" s="273" customFormat="1" ht="75">
      <c r="A316" s="261"/>
      <c r="B316" s="287" t="s">
        <v>123</v>
      </c>
      <c r="C316" s="734" t="s">
        <v>121</v>
      </c>
      <c r="D316" s="735" t="s">
        <v>65</v>
      </c>
      <c r="E316" s="735" t="s">
        <v>57</v>
      </c>
      <c r="F316" s="736" t="s">
        <v>124</v>
      </c>
      <c r="G316" s="121"/>
      <c r="H316" s="275">
        <f t="shared" si="6"/>
        <v>5907.9</v>
      </c>
      <c r="I316" s="275">
        <f t="shared" si="6"/>
        <v>6835.1</v>
      </c>
    </row>
    <row r="317" spans="1:9" ht="37.5">
      <c r="A317" s="261"/>
      <c r="B317" s="274" t="s">
        <v>75</v>
      </c>
      <c r="C317" s="734" t="s">
        <v>121</v>
      </c>
      <c r="D317" s="735" t="s">
        <v>65</v>
      </c>
      <c r="E317" s="735" t="s">
        <v>57</v>
      </c>
      <c r="F317" s="736" t="s">
        <v>124</v>
      </c>
      <c r="G317" s="121" t="s">
        <v>76</v>
      </c>
      <c r="H317" s="275">
        <f>'прил13(ведом 22-23)'!M123</f>
        <v>5907.9</v>
      </c>
      <c r="I317" s="275">
        <f>'прил13(ведом 22-23)'!N123</f>
        <v>6835.1</v>
      </c>
    </row>
    <row r="318" spans="1:9" ht="18.75">
      <c r="A318" s="261"/>
      <c r="B318" s="274"/>
      <c r="C318" s="735"/>
      <c r="D318" s="735"/>
      <c r="E318" s="735"/>
      <c r="F318" s="736"/>
      <c r="G318" s="121"/>
      <c r="H318" s="275"/>
      <c r="I318" s="275"/>
    </row>
    <row r="319" spans="1:9" ht="75">
      <c r="A319" s="284">
        <v>12</v>
      </c>
      <c r="B319" s="129" t="s">
        <v>128</v>
      </c>
      <c r="C319" s="132" t="s">
        <v>92</v>
      </c>
      <c r="D319" s="133" t="s">
        <v>62</v>
      </c>
      <c r="E319" s="133" t="s">
        <v>63</v>
      </c>
      <c r="F319" s="134" t="s">
        <v>64</v>
      </c>
      <c r="G319" s="131"/>
      <c r="H319" s="272">
        <f>H324+H320</f>
        <v>1025.0999999999999</v>
      </c>
      <c r="I319" s="272">
        <f>I324+I320</f>
        <v>1025.0999999999999</v>
      </c>
    </row>
    <row r="320" spans="1:9" ht="37.5">
      <c r="A320" s="284"/>
      <c r="B320" s="140" t="s">
        <v>129</v>
      </c>
      <c r="C320" s="734" t="s">
        <v>92</v>
      </c>
      <c r="D320" s="735" t="s">
        <v>65</v>
      </c>
      <c r="E320" s="735" t="s">
        <v>63</v>
      </c>
      <c r="F320" s="736" t="s">
        <v>64</v>
      </c>
      <c r="G320" s="121"/>
      <c r="H320" s="553">
        <f t="shared" ref="H320:H321" si="7">H321</f>
        <v>310</v>
      </c>
      <c r="I320" s="553">
        <f t="shared" ref="I320:I321" si="8">I321</f>
        <v>310</v>
      </c>
    </row>
    <row r="321" spans="1:9" ht="37.5">
      <c r="A321" s="284"/>
      <c r="B321" s="135" t="s">
        <v>130</v>
      </c>
      <c r="C321" s="734" t="s">
        <v>92</v>
      </c>
      <c r="D321" s="735" t="s">
        <v>65</v>
      </c>
      <c r="E321" s="735" t="s">
        <v>57</v>
      </c>
      <c r="F321" s="736" t="s">
        <v>64</v>
      </c>
      <c r="G321" s="121"/>
      <c r="H321" s="553">
        <f t="shared" si="7"/>
        <v>310</v>
      </c>
      <c r="I321" s="553">
        <f t="shared" si="8"/>
        <v>310</v>
      </c>
    </row>
    <row r="322" spans="1:9" ht="37.5">
      <c r="A322" s="284"/>
      <c r="B322" s="140" t="s">
        <v>131</v>
      </c>
      <c r="C322" s="734" t="s">
        <v>92</v>
      </c>
      <c r="D322" s="735" t="s">
        <v>65</v>
      </c>
      <c r="E322" s="735" t="s">
        <v>57</v>
      </c>
      <c r="F322" s="736" t="s">
        <v>132</v>
      </c>
      <c r="G322" s="121"/>
      <c r="H322" s="553">
        <f>H323</f>
        <v>310</v>
      </c>
      <c r="I322" s="553">
        <f>I323</f>
        <v>310</v>
      </c>
    </row>
    <row r="323" spans="1:9" ht="37.5">
      <c r="A323" s="284"/>
      <c r="B323" s="135" t="s">
        <v>75</v>
      </c>
      <c r="C323" s="734" t="s">
        <v>92</v>
      </c>
      <c r="D323" s="735" t="s">
        <v>65</v>
      </c>
      <c r="E323" s="735" t="s">
        <v>57</v>
      </c>
      <c r="F323" s="736" t="s">
        <v>132</v>
      </c>
      <c r="G323" s="121" t="s">
        <v>76</v>
      </c>
      <c r="H323" s="553">
        <f>'прил13(ведом 22-23)'!M129</f>
        <v>310</v>
      </c>
      <c r="I323" s="553">
        <f>'прил13(ведом 22-23)'!N129</f>
        <v>310</v>
      </c>
    </row>
    <row r="324" spans="1:9" ht="37.5">
      <c r="A324" s="261"/>
      <c r="B324" s="140" t="s">
        <v>133</v>
      </c>
      <c r="C324" s="734" t="s">
        <v>92</v>
      </c>
      <c r="D324" s="735" t="s">
        <v>110</v>
      </c>
      <c r="E324" s="735" t="s">
        <v>63</v>
      </c>
      <c r="F324" s="736" t="s">
        <v>64</v>
      </c>
      <c r="G324" s="121"/>
      <c r="H324" s="275">
        <f t="shared" ref="H324:I326" si="9">H325</f>
        <v>715.1</v>
      </c>
      <c r="I324" s="275">
        <f t="shared" si="9"/>
        <v>715.1</v>
      </c>
    </row>
    <row r="325" spans="1:9" ht="37.5">
      <c r="A325" s="261"/>
      <c r="B325" s="140" t="s">
        <v>134</v>
      </c>
      <c r="C325" s="734" t="s">
        <v>92</v>
      </c>
      <c r="D325" s="735" t="s">
        <v>110</v>
      </c>
      <c r="E325" s="735" t="s">
        <v>57</v>
      </c>
      <c r="F325" s="736" t="s">
        <v>64</v>
      </c>
      <c r="G325" s="121"/>
      <c r="H325" s="275">
        <f t="shared" si="9"/>
        <v>715.1</v>
      </c>
      <c r="I325" s="275">
        <f t="shared" si="9"/>
        <v>715.1</v>
      </c>
    </row>
    <row r="326" spans="1:9" ht="75">
      <c r="A326" s="261"/>
      <c r="B326" s="140" t="s">
        <v>135</v>
      </c>
      <c r="C326" s="734" t="s">
        <v>92</v>
      </c>
      <c r="D326" s="735" t="s">
        <v>110</v>
      </c>
      <c r="E326" s="735" t="s">
        <v>57</v>
      </c>
      <c r="F326" s="736" t="s">
        <v>136</v>
      </c>
      <c r="G326" s="121"/>
      <c r="H326" s="275">
        <f t="shared" si="9"/>
        <v>715.1</v>
      </c>
      <c r="I326" s="275">
        <f t="shared" si="9"/>
        <v>715.1</v>
      </c>
    </row>
    <row r="327" spans="1:9" ht="37.5">
      <c r="A327" s="261"/>
      <c r="B327" s="135" t="s">
        <v>75</v>
      </c>
      <c r="C327" s="734" t="s">
        <v>92</v>
      </c>
      <c r="D327" s="735" t="s">
        <v>110</v>
      </c>
      <c r="E327" s="735" t="s">
        <v>57</v>
      </c>
      <c r="F327" s="736" t="s">
        <v>136</v>
      </c>
      <c r="G327" s="121" t="s">
        <v>76</v>
      </c>
      <c r="H327" s="275">
        <f>'прил13(ведом 22-23)'!M133</f>
        <v>715.1</v>
      </c>
      <c r="I327" s="275">
        <f>'прил13(ведом 22-23)'!N133</f>
        <v>715.1</v>
      </c>
    </row>
    <row r="328" spans="1:9" ht="18.75">
      <c r="A328" s="261"/>
      <c r="B328" s="135"/>
      <c r="C328" s="735"/>
      <c r="D328" s="735"/>
      <c r="E328" s="735"/>
      <c r="F328" s="736"/>
      <c r="G328" s="121"/>
      <c r="H328" s="275"/>
      <c r="I328" s="275"/>
    </row>
    <row r="329" spans="1:9" ht="75">
      <c r="A329" s="284">
        <v>13</v>
      </c>
      <c r="B329" s="129" t="s">
        <v>137</v>
      </c>
      <c r="C329" s="132" t="s">
        <v>109</v>
      </c>
      <c r="D329" s="133" t="s">
        <v>62</v>
      </c>
      <c r="E329" s="133" t="s">
        <v>63</v>
      </c>
      <c r="F329" s="134" t="s">
        <v>64</v>
      </c>
      <c r="G329" s="131"/>
      <c r="H329" s="272">
        <f t="shared" ref="H329:I334" si="10">H330</f>
        <v>891.2</v>
      </c>
      <c r="I329" s="272">
        <f t="shared" si="10"/>
        <v>891.2</v>
      </c>
    </row>
    <row r="330" spans="1:9" ht="30" customHeight="1">
      <c r="A330" s="261"/>
      <c r="B330" s="135" t="s">
        <v>404</v>
      </c>
      <c r="C330" s="734" t="s">
        <v>109</v>
      </c>
      <c r="D330" s="735" t="s">
        <v>65</v>
      </c>
      <c r="E330" s="735" t="s">
        <v>63</v>
      </c>
      <c r="F330" s="736" t="s">
        <v>64</v>
      </c>
      <c r="G330" s="121"/>
      <c r="H330" s="275">
        <f t="shared" si="10"/>
        <v>891.2</v>
      </c>
      <c r="I330" s="275">
        <f t="shared" si="10"/>
        <v>891.2</v>
      </c>
    </row>
    <row r="331" spans="1:9" ht="56.25">
      <c r="A331" s="261"/>
      <c r="B331" s="140" t="s">
        <v>360</v>
      </c>
      <c r="C331" s="734" t="s">
        <v>109</v>
      </c>
      <c r="D331" s="735" t="s">
        <v>65</v>
      </c>
      <c r="E331" s="735" t="s">
        <v>57</v>
      </c>
      <c r="F331" s="736" t="s">
        <v>64</v>
      </c>
      <c r="G331" s="121"/>
      <c r="H331" s="275">
        <f>H334+H332</f>
        <v>891.2</v>
      </c>
      <c r="I331" s="275">
        <f>I334+I332</f>
        <v>891.2</v>
      </c>
    </row>
    <row r="332" spans="1:9" ht="56.25">
      <c r="A332" s="261"/>
      <c r="B332" s="140" t="s">
        <v>138</v>
      </c>
      <c r="C332" s="734" t="s">
        <v>109</v>
      </c>
      <c r="D332" s="735" t="s">
        <v>65</v>
      </c>
      <c r="E332" s="735" t="s">
        <v>57</v>
      </c>
      <c r="F332" s="736" t="s">
        <v>139</v>
      </c>
      <c r="G332" s="121"/>
      <c r="H332" s="275">
        <f>H333</f>
        <v>112.2</v>
      </c>
      <c r="I332" s="275">
        <f>I333</f>
        <v>112.2</v>
      </c>
    </row>
    <row r="333" spans="1:9" ht="37.5">
      <c r="A333" s="261"/>
      <c r="B333" s="135" t="s">
        <v>75</v>
      </c>
      <c r="C333" s="734" t="s">
        <v>109</v>
      </c>
      <c r="D333" s="735" t="s">
        <v>65</v>
      </c>
      <c r="E333" s="735" t="s">
        <v>57</v>
      </c>
      <c r="F333" s="736" t="s">
        <v>139</v>
      </c>
      <c r="G333" s="121" t="s">
        <v>76</v>
      </c>
      <c r="H333" s="275">
        <f>'прил13(ведом 22-23)'!M138</f>
        <v>112.2</v>
      </c>
      <c r="I333" s="275">
        <f>'прил13(ведом 22-23)'!N138</f>
        <v>112.2</v>
      </c>
    </row>
    <row r="334" spans="1:9" ht="56.25">
      <c r="A334" s="261"/>
      <c r="B334" s="135" t="s">
        <v>497</v>
      </c>
      <c r="C334" s="734" t="s">
        <v>109</v>
      </c>
      <c r="D334" s="735" t="s">
        <v>65</v>
      </c>
      <c r="E334" s="735" t="s">
        <v>57</v>
      </c>
      <c r="F334" s="736" t="s">
        <v>496</v>
      </c>
      <c r="G334" s="121"/>
      <c r="H334" s="275">
        <f t="shared" si="10"/>
        <v>779</v>
      </c>
      <c r="I334" s="275">
        <f t="shared" si="10"/>
        <v>779</v>
      </c>
    </row>
    <row r="335" spans="1:9" ht="37.5">
      <c r="A335" s="261"/>
      <c r="B335" s="135" t="s">
        <v>75</v>
      </c>
      <c r="C335" s="734" t="s">
        <v>109</v>
      </c>
      <c r="D335" s="735" t="s">
        <v>65</v>
      </c>
      <c r="E335" s="735" t="s">
        <v>57</v>
      </c>
      <c r="F335" s="736" t="s">
        <v>496</v>
      </c>
      <c r="G335" s="121" t="s">
        <v>76</v>
      </c>
      <c r="H335" s="275">
        <f>'прил13(ведом 22-23)'!M140</f>
        <v>779</v>
      </c>
      <c r="I335" s="275">
        <f>'прил13(ведом 22-23)'!N140</f>
        <v>779</v>
      </c>
    </row>
    <row r="336" spans="1:9" ht="18.75">
      <c r="A336" s="261"/>
      <c r="B336" s="135"/>
      <c r="C336" s="735"/>
      <c r="D336" s="735"/>
      <c r="E336" s="735"/>
      <c r="F336" s="736"/>
      <c r="G336" s="121"/>
      <c r="H336" s="275"/>
      <c r="I336" s="275"/>
    </row>
    <row r="337" spans="1:9" ht="75">
      <c r="A337" s="284">
        <v>14</v>
      </c>
      <c r="B337" s="297" t="s">
        <v>93</v>
      </c>
      <c r="C337" s="285" t="s">
        <v>94</v>
      </c>
      <c r="D337" s="285" t="s">
        <v>62</v>
      </c>
      <c r="E337" s="285" t="s">
        <v>63</v>
      </c>
      <c r="F337" s="286" t="s">
        <v>64</v>
      </c>
      <c r="G337" s="271"/>
      <c r="H337" s="652">
        <f t="shared" ref="H337:I340" si="11">H338</f>
        <v>1220.5999999999999</v>
      </c>
      <c r="I337" s="652">
        <f t="shared" si="11"/>
        <v>1220.5999999999999</v>
      </c>
    </row>
    <row r="338" spans="1:9" ht="26.25" customHeight="1">
      <c r="A338" s="261"/>
      <c r="B338" s="274" t="s">
        <v>404</v>
      </c>
      <c r="C338" s="734" t="s">
        <v>94</v>
      </c>
      <c r="D338" s="735" t="s">
        <v>65</v>
      </c>
      <c r="E338" s="735" t="s">
        <v>63</v>
      </c>
      <c r="F338" s="736" t="s">
        <v>64</v>
      </c>
      <c r="G338" s="121"/>
      <c r="H338" s="275">
        <f t="shared" si="11"/>
        <v>1220.5999999999999</v>
      </c>
      <c r="I338" s="275">
        <f t="shared" si="11"/>
        <v>1220.5999999999999</v>
      </c>
    </row>
    <row r="339" spans="1:9" ht="37.5">
      <c r="A339" s="261"/>
      <c r="B339" s="288" t="s">
        <v>306</v>
      </c>
      <c r="C339" s="734" t="s">
        <v>94</v>
      </c>
      <c r="D339" s="735" t="s">
        <v>65</v>
      </c>
      <c r="E339" s="735" t="s">
        <v>57</v>
      </c>
      <c r="F339" s="736" t="s">
        <v>64</v>
      </c>
      <c r="G339" s="121"/>
      <c r="H339" s="275">
        <f t="shared" si="11"/>
        <v>1220.5999999999999</v>
      </c>
      <c r="I339" s="275">
        <f t="shared" si="11"/>
        <v>1220.5999999999999</v>
      </c>
    </row>
    <row r="340" spans="1:9" ht="37.5">
      <c r="A340" s="261"/>
      <c r="B340" s="288" t="s">
        <v>95</v>
      </c>
      <c r="C340" s="734" t="s">
        <v>94</v>
      </c>
      <c r="D340" s="735" t="s">
        <v>65</v>
      </c>
      <c r="E340" s="735" t="s">
        <v>57</v>
      </c>
      <c r="F340" s="736" t="s">
        <v>96</v>
      </c>
      <c r="G340" s="121"/>
      <c r="H340" s="275">
        <f t="shared" si="11"/>
        <v>1220.5999999999999</v>
      </c>
      <c r="I340" s="275">
        <f t="shared" si="11"/>
        <v>1220.5999999999999</v>
      </c>
    </row>
    <row r="341" spans="1:9" ht="41.25" customHeight="1">
      <c r="A341" s="261"/>
      <c r="B341" s="276" t="s">
        <v>97</v>
      </c>
      <c r="C341" s="734" t="s">
        <v>94</v>
      </c>
      <c r="D341" s="735" t="s">
        <v>65</v>
      </c>
      <c r="E341" s="735" t="s">
        <v>57</v>
      </c>
      <c r="F341" s="736" t="s">
        <v>96</v>
      </c>
      <c r="G341" s="121" t="s">
        <v>98</v>
      </c>
      <c r="H341" s="275">
        <f>'прил13(ведом 22-23)'!M64+'прил13(ведом 22-23)'!M168</f>
        <v>1220.5999999999999</v>
      </c>
      <c r="I341" s="275">
        <f>'прил13(ведом 22-23)'!N64+'прил13(ведом 22-23)'!N168</f>
        <v>1220.5999999999999</v>
      </c>
    </row>
    <row r="342" spans="1:9" ht="18.75">
      <c r="A342" s="261"/>
      <c r="B342" s="283"/>
      <c r="C342" s="729"/>
      <c r="D342" s="729"/>
      <c r="E342" s="729"/>
      <c r="F342" s="730"/>
      <c r="G342" s="259"/>
      <c r="H342" s="275"/>
      <c r="I342" s="275"/>
    </row>
    <row r="343" spans="1:9" s="273" customFormat="1" ht="56.25">
      <c r="A343" s="284">
        <v>15</v>
      </c>
      <c r="B343" s="297" t="s">
        <v>60</v>
      </c>
      <c r="C343" s="285" t="s">
        <v>61</v>
      </c>
      <c r="D343" s="285" t="s">
        <v>62</v>
      </c>
      <c r="E343" s="285" t="s">
        <v>63</v>
      </c>
      <c r="F343" s="286" t="s">
        <v>64</v>
      </c>
      <c r="G343" s="271"/>
      <c r="H343" s="272">
        <f>H344</f>
        <v>87929.099999999977</v>
      </c>
      <c r="I343" s="272">
        <f>I344</f>
        <v>87904.699999999983</v>
      </c>
    </row>
    <row r="344" spans="1:9" s="273" customFormat="1" ht="24.75" customHeight="1">
      <c r="A344" s="261"/>
      <c r="B344" s="274" t="s">
        <v>404</v>
      </c>
      <c r="C344" s="734" t="s">
        <v>61</v>
      </c>
      <c r="D344" s="735" t="s">
        <v>65</v>
      </c>
      <c r="E344" s="735" t="s">
        <v>63</v>
      </c>
      <c r="F344" s="736" t="s">
        <v>64</v>
      </c>
      <c r="G344" s="121"/>
      <c r="H344" s="275">
        <f>H345+H348+H378+H386+H367+H383+H373+H390+H393</f>
        <v>87929.099999999977</v>
      </c>
      <c r="I344" s="275">
        <f>I345+I348+I378+I386+I367+I383+I373+I390+I393</f>
        <v>87904.699999999983</v>
      </c>
    </row>
    <row r="345" spans="1:9" s="273" customFormat="1" ht="37.5">
      <c r="A345" s="261"/>
      <c r="B345" s="274" t="s">
        <v>66</v>
      </c>
      <c r="C345" s="734" t="s">
        <v>61</v>
      </c>
      <c r="D345" s="735" t="s">
        <v>65</v>
      </c>
      <c r="E345" s="735" t="s">
        <v>57</v>
      </c>
      <c r="F345" s="736" t="s">
        <v>64</v>
      </c>
      <c r="G345" s="121"/>
      <c r="H345" s="275">
        <f>H346</f>
        <v>2128.5</v>
      </c>
      <c r="I345" s="275">
        <f>I346</f>
        <v>2128.5</v>
      </c>
    </row>
    <row r="346" spans="1:9" s="273" customFormat="1" ht="37.5">
      <c r="A346" s="261"/>
      <c r="B346" s="274" t="s">
        <v>67</v>
      </c>
      <c r="C346" s="734" t="s">
        <v>61</v>
      </c>
      <c r="D346" s="735" t="s">
        <v>65</v>
      </c>
      <c r="E346" s="735" t="s">
        <v>57</v>
      </c>
      <c r="F346" s="736" t="s">
        <v>68</v>
      </c>
      <c r="G346" s="121"/>
      <c r="H346" s="275">
        <f>H347</f>
        <v>2128.5</v>
      </c>
      <c r="I346" s="275">
        <f>I347</f>
        <v>2128.5</v>
      </c>
    </row>
    <row r="347" spans="1:9" s="273" customFormat="1" ht="93.75">
      <c r="A347" s="261"/>
      <c r="B347" s="274" t="s">
        <v>69</v>
      </c>
      <c r="C347" s="734" t="s">
        <v>61</v>
      </c>
      <c r="D347" s="735" t="s">
        <v>65</v>
      </c>
      <c r="E347" s="735" t="s">
        <v>57</v>
      </c>
      <c r="F347" s="736" t="s">
        <v>68</v>
      </c>
      <c r="G347" s="121" t="s">
        <v>70</v>
      </c>
      <c r="H347" s="275">
        <f>'прил13(ведом 22-23)'!M24</f>
        <v>2128.5</v>
      </c>
      <c r="I347" s="275">
        <f>'прил13(ведом 22-23)'!N24</f>
        <v>2128.5</v>
      </c>
    </row>
    <row r="348" spans="1:9" s="273" customFormat="1" ht="37.5">
      <c r="A348" s="261"/>
      <c r="B348" s="274" t="s">
        <v>74</v>
      </c>
      <c r="C348" s="734" t="s">
        <v>61</v>
      </c>
      <c r="D348" s="735" t="s">
        <v>65</v>
      </c>
      <c r="E348" s="735" t="s">
        <v>59</v>
      </c>
      <c r="F348" s="736" t="s">
        <v>64</v>
      </c>
      <c r="G348" s="121"/>
      <c r="H348" s="275">
        <f>H349+H355+H357+H359+H362+H365+H353</f>
        <v>72061.099999999991</v>
      </c>
      <c r="I348" s="275">
        <f>I349+I355+I357+I359+I362+I365+I353</f>
        <v>72042.7</v>
      </c>
    </row>
    <row r="349" spans="1:9" s="273" customFormat="1" ht="37.5">
      <c r="A349" s="261"/>
      <c r="B349" s="274" t="s">
        <v>67</v>
      </c>
      <c r="C349" s="734" t="s">
        <v>61</v>
      </c>
      <c r="D349" s="735" t="s">
        <v>65</v>
      </c>
      <c r="E349" s="735" t="s">
        <v>59</v>
      </c>
      <c r="F349" s="736" t="s">
        <v>68</v>
      </c>
      <c r="G349" s="121"/>
      <c r="H349" s="275">
        <f>SUM(H350:H352)</f>
        <v>67115.899999999994</v>
      </c>
      <c r="I349" s="275">
        <f>SUM(I350:I352)</f>
        <v>67190.2</v>
      </c>
    </row>
    <row r="350" spans="1:9" s="273" customFormat="1" ht="93.75">
      <c r="A350" s="261"/>
      <c r="B350" s="274" t="s">
        <v>69</v>
      </c>
      <c r="C350" s="734" t="s">
        <v>61</v>
      </c>
      <c r="D350" s="735" t="s">
        <v>65</v>
      </c>
      <c r="E350" s="735" t="s">
        <v>59</v>
      </c>
      <c r="F350" s="736" t="s">
        <v>68</v>
      </c>
      <c r="G350" s="121" t="s">
        <v>70</v>
      </c>
      <c r="H350" s="275">
        <f>'прил13(ведом 22-23)'!M30</f>
        <v>61571.199999999997</v>
      </c>
      <c r="I350" s="275">
        <f>'прил13(ведом 22-23)'!N30</f>
        <v>61571.199999999997</v>
      </c>
    </row>
    <row r="351" spans="1:9" ht="37.5">
      <c r="A351" s="261"/>
      <c r="B351" s="274" t="s">
        <v>75</v>
      </c>
      <c r="C351" s="734" t="s">
        <v>61</v>
      </c>
      <c r="D351" s="735" t="s">
        <v>65</v>
      </c>
      <c r="E351" s="735" t="s">
        <v>59</v>
      </c>
      <c r="F351" s="736" t="s">
        <v>68</v>
      </c>
      <c r="G351" s="121" t="s">
        <v>76</v>
      </c>
      <c r="H351" s="275">
        <f>'прил13(ведом 22-23)'!M31</f>
        <v>5452.8</v>
      </c>
      <c r="I351" s="275">
        <f>'прил13(ведом 22-23)'!N31</f>
        <v>5527.1</v>
      </c>
    </row>
    <row r="352" spans="1:9" ht="18.75">
      <c r="A352" s="261"/>
      <c r="B352" s="135" t="s">
        <v>77</v>
      </c>
      <c r="C352" s="734" t="s">
        <v>61</v>
      </c>
      <c r="D352" s="735" t="s">
        <v>65</v>
      </c>
      <c r="E352" s="735" t="s">
        <v>59</v>
      </c>
      <c r="F352" s="736" t="s">
        <v>68</v>
      </c>
      <c r="G352" s="121" t="s">
        <v>78</v>
      </c>
      <c r="H352" s="275">
        <f>'прил13(ведом 22-23)'!M32</f>
        <v>91.9</v>
      </c>
      <c r="I352" s="275">
        <f>'прил13(ведом 22-23)'!N32</f>
        <v>91.9</v>
      </c>
    </row>
    <row r="353" spans="1:9" s="273" customFormat="1" ht="75">
      <c r="A353" s="261"/>
      <c r="B353" s="135" t="s">
        <v>490</v>
      </c>
      <c r="C353" s="734" t="s">
        <v>61</v>
      </c>
      <c r="D353" s="735" t="s">
        <v>65</v>
      </c>
      <c r="E353" s="735" t="s">
        <v>59</v>
      </c>
      <c r="F353" s="736" t="s">
        <v>489</v>
      </c>
      <c r="G353" s="121"/>
      <c r="H353" s="275">
        <f>H354</f>
        <v>98.4</v>
      </c>
      <c r="I353" s="275">
        <f>I354</f>
        <v>5.7</v>
      </c>
    </row>
    <row r="354" spans="1:9" s="273" customFormat="1" ht="37.5">
      <c r="A354" s="261"/>
      <c r="B354" s="135" t="s">
        <v>75</v>
      </c>
      <c r="C354" s="734" t="s">
        <v>61</v>
      </c>
      <c r="D354" s="735" t="s">
        <v>65</v>
      </c>
      <c r="E354" s="735" t="s">
        <v>59</v>
      </c>
      <c r="F354" s="736" t="s">
        <v>489</v>
      </c>
      <c r="G354" s="121" t="s">
        <v>76</v>
      </c>
      <c r="H354" s="275">
        <f>'прил13(ведом 22-23)'!M53</f>
        <v>98.4</v>
      </c>
      <c r="I354" s="275">
        <f>'прил13(ведом 22-23)'!N53</f>
        <v>5.7</v>
      </c>
    </row>
    <row r="355" spans="1:9" ht="93.75">
      <c r="A355" s="261"/>
      <c r="B355" s="274" t="s">
        <v>747</v>
      </c>
      <c r="C355" s="734" t="s">
        <v>61</v>
      </c>
      <c r="D355" s="735" t="s">
        <v>65</v>
      </c>
      <c r="E355" s="735" t="s">
        <v>59</v>
      </c>
      <c r="F355" s="736" t="s">
        <v>305</v>
      </c>
      <c r="G355" s="121"/>
      <c r="H355" s="275">
        <f>H356</f>
        <v>66</v>
      </c>
      <c r="I355" s="275">
        <f>I356</f>
        <v>66</v>
      </c>
    </row>
    <row r="356" spans="1:9" ht="37.5">
      <c r="A356" s="261"/>
      <c r="B356" s="274" t="s">
        <v>75</v>
      </c>
      <c r="C356" s="734" t="s">
        <v>61</v>
      </c>
      <c r="D356" s="735" t="s">
        <v>65</v>
      </c>
      <c r="E356" s="735" t="s">
        <v>59</v>
      </c>
      <c r="F356" s="736" t="s">
        <v>305</v>
      </c>
      <c r="G356" s="121" t="s">
        <v>76</v>
      </c>
      <c r="H356" s="275">
        <f>'прил13(ведом 22-23)'!M34</f>
        <v>66</v>
      </c>
      <c r="I356" s="275">
        <f>'прил13(ведом 22-23)'!N34</f>
        <v>66</v>
      </c>
    </row>
    <row r="357" spans="1:9" ht="177" customHeight="1">
      <c r="A357" s="261"/>
      <c r="B357" s="167" t="s">
        <v>757</v>
      </c>
      <c r="C357" s="734" t="s">
        <v>61</v>
      </c>
      <c r="D357" s="735" t="s">
        <v>65</v>
      </c>
      <c r="E357" s="735" t="s">
        <v>59</v>
      </c>
      <c r="F357" s="736" t="s">
        <v>79</v>
      </c>
      <c r="G357" s="121"/>
      <c r="H357" s="275">
        <f>H358</f>
        <v>636.5</v>
      </c>
      <c r="I357" s="275">
        <f>I358</f>
        <v>636.5</v>
      </c>
    </row>
    <row r="358" spans="1:9" ht="93.75">
      <c r="A358" s="261"/>
      <c r="B358" s="135" t="s">
        <v>69</v>
      </c>
      <c r="C358" s="734" t="s">
        <v>61</v>
      </c>
      <c r="D358" s="735" t="s">
        <v>65</v>
      </c>
      <c r="E358" s="735" t="s">
        <v>59</v>
      </c>
      <c r="F358" s="736" t="s">
        <v>79</v>
      </c>
      <c r="G358" s="121" t="s">
        <v>70</v>
      </c>
      <c r="H358" s="275">
        <f>'прил13(ведом 22-23)'!M36</f>
        <v>636.5</v>
      </c>
      <c r="I358" s="275">
        <f>'прил13(ведом 22-23)'!N36</f>
        <v>636.5</v>
      </c>
    </row>
    <row r="359" spans="1:9" ht="75">
      <c r="A359" s="261"/>
      <c r="B359" s="274" t="s">
        <v>80</v>
      </c>
      <c r="C359" s="734" t="s">
        <v>61</v>
      </c>
      <c r="D359" s="735" t="s">
        <v>65</v>
      </c>
      <c r="E359" s="735" t="s">
        <v>59</v>
      </c>
      <c r="F359" s="736" t="s">
        <v>81</v>
      </c>
      <c r="G359" s="121"/>
      <c r="H359" s="275">
        <f>SUM(H360:H361)</f>
        <v>3441.6000000000004</v>
      </c>
      <c r="I359" s="275">
        <f>SUM(I360:I361)</f>
        <v>3441.6000000000004</v>
      </c>
    </row>
    <row r="360" spans="1:9" ht="93.75">
      <c r="A360" s="261"/>
      <c r="B360" s="274" t="s">
        <v>69</v>
      </c>
      <c r="C360" s="734" t="s">
        <v>61</v>
      </c>
      <c r="D360" s="735" t="s">
        <v>65</v>
      </c>
      <c r="E360" s="735" t="s">
        <v>59</v>
      </c>
      <c r="F360" s="736" t="s">
        <v>81</v>
      </c>
      <c r="G360" s="121" t="s">
        <v>70</v>
      </c>
      <c r="H360" s="275">
        <f>'прил13(ведом 22-23)'!M38</f>
        <v>3372.8</v>
      </c>
      <c r="I360" s="275">
        <f>'прил13(ведом 22-23)'!N38</f>
        <v>3372.8</v>
      </c>
    </row>
    <row r="361" spans="1:9" ht="37.5">
      <c r="A361" s="261"/>
      <c r="B361" s="274" t="s">
        <v>75</v>
      </c>
      <c r="C361" s="735" t="s">
        <v>61</v>
      </c>
      <c r="D361" s="735" t="s">
        <v>65</v>
      </c>
      <c r="E361" s="735" t="s">
        <v>59</v>
      </c>
      <c r="F361" s="736" t="s">
        <v>81</v>
      </c>
      <c r="G361" s="121" t="s">
        <v>76</v>
      </c>
      <c r="H361" s="275">
        <f>'прил13(ведом 22-23)'!M39</f>
        <v>68.8</v>
      </c>
      <c r="I361" s="275">
        <f>'прил13(ведом 22-23)'!N39</f>
        <v>68.8</v>
      </c>
    </row>
    <row r="362" spans="1:9" ht="56.25">
      <c r="A362" s="261"/>
      <c r="B362" s="135" t="s">
        <v>582</v>
      </c>
      <c r="C362" s="734" t="s">
        <v>61</v>
      </c>
      <c r="D362" s="735" t="s">
        <v>65</v>
      </c>
      <c r="E362" s="735" t="s">
        <v>59</v>
      </c>
      <c r="F362" s="736" t="s">
        <v>82</v>
      </c>
      <c r="G362" s="121"/>
      <c r="H362" s="275">
        <f>H363+H364</f>
        <v>636.70000000000005</v>
      </c>
      <c r="I362" s="275">
        <f>I363+I364</f>
        <v>636.70000000000005</v>
      </c>
    </row>
    <row r="363" spans="1:9" ht="93.75">
      <c r="A363" s="261"/>
      <c r="B363" s="135" t="s">
        <v>69</v>
      </c>
      <c r="C363" s="734" t="s">
        <v>61</v>
      </c>
      <c r="D363" s="735" t="s">
        <v>65</v>
      </c>
      <c r="E363" s="735" t="s">
        <v>59</v>
      </c>
      <c r="F363" s="736" t="s">
        <v>82</v>
      </c>
      <c r="G363" s="121" t="s">
        <v>70</v>
      </c>
      <c r="H363" s="275">
        <f>'прил13(ведом 22-23)'!M41</f>
        <v>632.5</v>
      </c>
      <c r="I363" s="275">
        <f>'прил13(ведом 22-23)'!N41</f>
        <v>632.5</v>
      </c>
    </row>
    <row r="364" spans="1:9" ht="37.5">
      <c r="A364" s="261"/>
      <c r="B364" s="274" t="s">
        <v>75</v>
      </c>
      <c r="C364" s="734" t="s">
        <v>61</v>
      </c>
      <c r="D364" s="735" t="s">
        <v>65</v>
      </c>
      <c r="E364" s="735" t="s">
        <v>59</v>
      </c>
      <c r="F364" s="736" t="s">
        <v>82</v>
      </c>
      <c r="G364" s="121" t="s">
        <v>76</v>
      </c>
      <c r="H364" s="275">
        <f>'прил13(ведом 22-23)'!M42</f>
        <v>4.2</v>
      </c>
      <c r="I364" s="275">
        <f>'прил13(ведом 22-23)'!N42</f>
        <v>4.2</v>
      </c>
    </row>
    <row r="365" spans="1:9" ht="147" customHeight="1">
      <c r="A365" s="261"/>
      <c r="B365" s="135" t="s">
        <v>466</v>
      </c>
      <c r="C365" s="734" t="s">
        <v>61</v>
      </c>
      <c r="D365" s="735" t="s">
        <v>65</v>
      </c>
      <c r="E365" s="735" t="s">
        <v>59</v>
      </c>
      <c r="F365" s="736" t="s">
        <v>465</v>
      </c>
      <c r="G365" s="121"/>
      <c r="H365" s="275">
        <f>H366</f>
        <v>66</v>
      </c>
      <c r="I365" s="275">
        <f>I366</f>
        <v>66</v>
      </c>
    </row>
    <row r="366" spans="1:9" ht="37.5">
      <c r="A366" s="261"/>
      <c r="B366" s="135" t="s">
        <v>75</v>
      </c>
      <c r="C366" s="734" t="s">
        <v>61</v>
      </c>
      <c r="D366" s="735" t="s">
        <v>65</v>
      </c>
      <c r="E366" s="735" t="s">
        <v>59</v>
      </c>
      <c r="F366" s="736" t="s">
        <v>465</v>
      </c>
      <c r="G366" s="121" t="s">
        <v>76</v>
      </c>
      <c r="H366" s="275">
        <f>'прил13(ведом 22-23)'!M44</f>
        <v>66</v>
      </c>
      <c r="I366" s="275">
        <f>'прил13(ведом 22-23)'!N44</f>
        <v>66</v>
      </c>
    </row>
    <row r="367" spans="1:9" ht="18.75">
      <c r="A367" s="261"/>
      <c r="B367" s="135" t="s">
        <v>83</v>
      </c>
      <c r="C367" s="734" t="s">
        <v>61</v>
      </c>
      <c r="D367" s="735" t="s">
        <v>65</v>
      </c>
      <c r="E367" s="735" t="s">
        <v>84</v>
      </c>
      <c r="F367" s="736" t="s">
        <v>64</v>
      </c>
      <c r="G367" s="121"/>
      <c r="H367" s="275">
        <f>H368+H370</f>
        <v>1177.3</v>
      </c>
      <c r="I367" s="275">
        <f>I368+I370</f>
        <v>1177.3</v>
      </c>
    </row>
    <row r="368" spans="1:9" ht="37.5">
      <c r="A368" s="261"/>
      <c r="B368" s="135" t="s">
        <v>67</v>
      </c>
      <c r="C368" s="734" t="s">
        <v>61</v>
      </c>
      <c r="D368" s="735" t="s">
        <v>65</v>
      </c>
      <c r="E368" s="735" t="s">
        <v>84</v>
      </c>
      <c r="F368" s="736" t="s">
        <v>68</v>
      </c>
      <c r="G368" s="121"/>
      <c r="H368" s="275">
        <f>H369</f>
        <v>113.2</v>
      </c>
      <c r="I368" s="275">
        <f>I369</f>
        <v>113.2</v>
      </c>
    </row>
    <row r="369" spans="1:9" ht="37.5">
      <c r="A369" s="261"/>
      <c r="B369" s="135" t="s">
        <v>75</v>
      </c>
      <c r="C369" s="734" t="s">
        <v>61</v>
      </c>
      <c r="D369" s="735" t="s">
        <v>65</v>
      </c>
      <c r="E369" s="735" t="s">
        <v>84</v>
      </c>
      <c r="F369" s="736" t="s">
        <v>68</v>
      </c>
      <c r="G369" s="121" t="s">
        <v>76</v>
      </c>
      <c r="H369" s="275">
        <f>'прил13(ведом 22-23)'!M47</f>
        <v>113.2</v>
      </c>
      <c r="I369" s="275">
        <f>'прил13(ведом 22-23)'!N47</f>
        <v>113.2</v>
      </c>
    </row>
    <row r="370" spans="1:9" ht="56.25">
      <c r="A370" s="261"/>
      <c r="B370" s="139" t="s">
        <v>478</v>
      </c>
      <c r="C370" s="734" t="s">
        <v>61</v>
      </c>
      <c r="D370" s="735" t="s">
        <v>65</v>
      </c>
      <c r="E370" s="735" t="s">
        <v>84</v>
      </c>
      <c r="F370" s="736" t="s">
        <v>477</v>
      </c>
      <c r="G370" s="121"/>
      <c r="H370" s="275">
        <f>H371+H372</f>
        <v>1064.0999999999999</v>
      </c>
      <c r="I370" s="275">
        <f>I371+I372</f>
        <v>1064.0999999999999</v>
      </c>
    </row>
    <row r="371" spans="1:9" ht="37.5">
      <c r="A371" s="261"/>
      <c r="B371" s="135" t="s">
        <v>75</v>
      </c>
      <c r="C371" s="734" t="s">
        <v>61</v>
      </c>
      <c r="D371" s="735" t="s">
        <v>65</v>
      </c>
      <c r="E371" s="735" t="s">
        <v>84</v>
      </c>
      <c r="F371" s="736" t="s">
        <v>477</v>
      </c>
      <c r="G371" s="121" t="s">
        <v>76</v>
      </c>
      <c r="H371" s="275">
        <f>'прил13(ведом 22-23)'!M69</f>
        <v>833.3</v>
      </c>
      <c r="I371" s="275">
        <f>'прил13(ведом 22-23)'!N69</f>
        <v>833.3</v>
      </c>
    </row>
    <row r="372" spans="1:9" ht="18.75">
      <c r="A372" s="261"/>
      <c r="B372" s="135" t="s">
        <v>77</v>
      </c>
      <c r="C372" s="734" t="s">
        <v>61</v>
      </c>
      <c r="D372" s="735" t="s">
        <v>65</v>
      </c>
      <c r="E372" s="735" t="s">
        <v>84</v>
      </c>
      <c r="F372" s="736" t="s">
        <v>477</v>
      </c>
      <c r="G372" s="121" t="s">
        <v>78</v>
      </c>
      <c r="H372" s="275">
        <f>'прил13(ведом 22-23)'!M70</f>
        <v>230.8</v>
      </c>
      <c r="I372" s="275">
        <f>'прил13(ведом 22-23)'!N70</f>
        <v>230.8</v>
      </c>
    </row>
    <row r="373" spans="1:9" ht="18.75">
      <c r="A373" s="261"/>
      <c r="B373" s="135" t="s">
        <v>85</v>
      </c>
      <c r="C373" s="734" t="s">
        <v>61</v>
      </c>
      <c r="D373" s="735" t="s">
        <v>65</v>
      </c>
      <c r="E373" s="735" t="s">
        <v>72</v>
      </c>
      <c r="F373" s="736" t="s">
        <v>64</v>
      </c>
      <c r="G373" s="121"/>
      <c r="H373" s="275">
        <f>H374+H376</f>
        <v>2450.2000000000003</v>
      </c>
      <c r="I373" s="275">
        <f>I374+I376</f>
        <v>2450.2000000000003</v>
      </c>
    </row>
    <row r="374" spans="1:9" ht="56.25">
      <c r="A374" s="261"/>
      <c r="B374" s="140" t="s">
        <v>429</v>
      </c>
      <c r="C374" s="734" t="s">
        <v>61</v>
      </c>
      <c r="D374" s="735" t="s">
        <v>65</v>
      </c>
      <c r="E374" s="735" t="s">
        <v>72</v>
      </c>
      <c r="F374" s="736" t="s">
        <v>126</v>
      </c>
      <c r="G374" s="121"/>
      <c r="H374" s="275">
        <f>H375</f>
        <v>475.3</v>
      </c>
      <c r="I374" s="275">
        <f>I375</f>
        <v>475.3</v>
      </c>
    </row>
    <row r="375" spans="1:9" ht="37.5">
      <c r="A375" s="261"/>
      <c r="B375" s="135" t="s">
        <v>75</v>
      </c>
      <c r="C375" s="734" t="s">
        <v>61</v>
      </c>
      <c r="D375" s="735" t="s">
        <v>65</v>
      </c>
      <c r="E375" s="735" t="s">
        <v>72</v>
      </c>
      <c r="F375" s="736" t="s">
        <v>126</v>
      </c>
      <c r="G375" s="121" t="s">
        <v>76</v>
      </c>
      <c r="H375" s="275">
        <f>'прил13(ведом 22-23)'!M73</f>
        <v>475.3</v>
      </c>
      <c r="I375" s="275">
        <f>'прил13(ведом 22-23)'!N73</f>
        <v>475.3</v>
      </c>
    </row>
    <row r="376" spans="1:9" ht="56.25">
      <c r="A376" s="261"/>
      <c r="B376" s="135" t="s">
        <v>431</v>
      </c>
      <c r="C376" s="734" t="s">
        <v>61</v>
      </c>
      <c r="D376" s="735" t="s">
        <v>65</v>
      </c>
      <c r="E376" s="735" t="s">
        <v>72</v>
      </c>
      <c r="F376" s="736" t="s">
        <v>430</v>
      </c>
      <c r="G376" s="121"/>
      <c r="H376" s="275">
        <f>'прил13(ведом 22-23)'!M74</f>
        <v>1974.9</v>
      </c>
      <c r="I376" s="275">
        <f>'прил13(ведом 22-23)'!N74</f>
        <v>1974.9</v>
      </c>
    </row>
    <row r="377" spans="1:9" ht="37.5">
      <c r="A377" s="261"/>
      <c r="B377" s="135" t="s">
        <v>75</v>
      </c>
      <c r="C377" s="734" t="s">
        <v>61</v>
      </c>
      <c r="D377" s="735" t="s">
        <v>65</v>
      </c>
      <c r="E377" s="735" t="s">
        <v>72</v>
      </c>
      <c r="F377" s="736" t="s">
        <v>430</v>
      </c>
      <c r="G377" s="121" t="s">
        <v>76</v>
      </c>
      <c r="H377" s="275">
        <f>'прил13(ведом 22-23)'!M75</f>
        <v>1974.9</v>
      </c>
      <c r="I377" s="275">
        <f>'прил13(ведом 22-23)'!N75</f>
        <v>1974.9</v>
      </c>
    </row>
    <row r="378" spans="1:9" ht="75">
      <c r="A378" s="299"/>
      <c r="B378" s="304" t="s">
        <v>351</v>
      </c>
      <c r="C378" s="151" t="s">
        <v>61</v>
      </c>
      <c r="D378" s="146" t="s">
        <v>65</v>
      </c>
      <c r="E378" s="146" t="s">
        <v>102</v>
      </c>
      <c r="F378" s="147" t="s">
        <v>64</v>
      </c>
      <c r="G378" s="145"/>
      <c r="H378" s="275">
        <f>H379</f>
        <v>5183.0000000000009</v>
      </c>
      <c r="I378" s="275">
        <f>I379</f>
        <v>5186.4000000000005</v>
      </c>
    </row>
    <row r="379" spans="1:9" ht="37.5">
      <c r="A379" s="299"/>
      <c r="B379" s="274" t="s">
        <v>795</v>
      </c>
      <c r="C379" s="151" t="s">
        <v>61</v>
      </c>
      <c r="D379" s="146" t="s">
        <v>65</v>
      </c>
      <c r="E379" s="146" t="s">
        <v>102</v>
      </c>
      <c r="F379" s="147" t="s">
        <v>112</v>
      </c>
      <c r="G379" s="145"/>
      <c r="H379" s="275">
        <f>SUM(H380:H382)</f>
        <v>5183.0000000000009</v>
      </c>
      <c r="I379" s="275">
        <f>SUM(I380:I382)</f>
        <v>5186.4000000000005</v>
      </c>
    </row>
    <row r="380" spans="1:9" ht="93.75">
      <c r="A380" s="299"/>
      <c r="B380" s="304" t="s">
        <v>69</v>
      </c>
      <c r="C380" s="151" t="s">
        <v>61</v>
      </c>
      <c r="D380" s="146" t="s">
        <v>65</v>
      </c>
      <c r="E380" s="146" t="s">
        <v>102</v>
      </c>
      <c r="F380" s="147" t="s">
        <v>112</v>
      </c>
      <c r="G380" s="145" t="s">
        <v>70</v>
      </c>
      <c r="H380" s="275">
        <f>'прил13(ведом 22-23)'!M246</f>
        <v>4729.8</v>
      </c>
      <c r="I380" s="275">
        <f>'прил13(ведом 22-23)'!N246</f>
        <v>4729.8</v>
      </c>
    </row>
    <row r="381" spans="1:9" ht="37.5">
      <c r="A381" s="299"/>
      <c r="B381" s="135" t="s">
        <v>75</v>
      </c>
      <c r="C381" s="151" t="s">
        <v>61</v>
      </c>
      <c r="D381" s="146" t="s">
        <v>65</v>
      </c>
      <c r="E381" s="146" t="s">
        <v>102</v>
      </c>
      <c r="F381" s="147" t="s">
        <v>112</v>
      </c>
      <c r="G381" s="145" t="s">
        <v>76</v>
      </c>
      <c r="H381" s="275">
        <f>'прил13(ведом 22-23)'!M247</f>
        <v>453.1</v>
      </c>
      <c r="I381" s="275">
        <f>'прил13(ведом 22-23)'!N247</f>
        <v>456.5</v>
      </c>
    </row>
    <row r="382" spans="1:9" ht="18.75">
      <c r="A382" s="299"/>
      <c r="B382" s="135" t="s">
        <v>77</v>
      </c>
      <c r="C382" s="308" t="s">
        <v>61</v>
      </c>
      <c r="D382" s="279" t="s">
        <v>65</v>
      </c>
      <c r="E382" s="279" t="s">
        <v>102</v>
      </c>
      <c r="F382" s="280" t="s">
        <v>112</v>
      </c>
      <c r="G382" s="281" t="s">
        <v>78</v>
      </c>
      <c r="H382" s="275">
        <f>'прил13(ведом 22-23)'!M248</f>
        <v>0.1</v>
      </c>
      <c r="I382" s="275">
        <f>'прил13(ведом 22-23)'!N248</f>
        <v>0.1</v>
      </c>
    </row>
    <row r="383" spans="1:9" ht="45" customHeight="1">
      <c r="A383" s="299"/>
      <c r="B383" s="139" t="s">
        <v>472</v>
      </c>
      <c r="C383" s="734" t="s">
        <v>61</v>
      </c>
      <c r="D383" s="735" t="s">
        <v>65</v>
      </c>
      <c r="E383" s="735" t="s">
        <v>100</v>
      </c>
      <c r="F383" s="736" t="s">
        <v>64</v>
      </c>
      <c r="G383" s="121"/>
      <c r="H383" s="275">
        <f>H384</f>
        <v>9.4</v>
      </c>
      <c r="I383" s="275">
        <f>I384</f>
        <v>0</v>
      </c>
    </row>
    <row r="384" spans="1:9" ht="18.75">
      <c r="A384" s="299"/>
      <c r="B384" s="139" t="s">
        <v>473</v>
      </c>
      <c r="C384" s="734" t="s">
        <v>61</v>
      </c>
      <c r="D384" s="735" t="s">
        <v>65</v>
      </c>
      <c r="E384" s="735" t="s">
        <v>100</v>
      </c>
      <c r="F384" s="736" t="s">
        <v>474</v>
      </c>
      <c r="G384" s="121"/>
      <c r="H384" s="275">
        <f>H385</f>
        <v>9.4</v>
      </c>
      <c r="I384" s="275">
        <f>I385</f>
        <v>0</v>
      </c>
    </row>
    <row r="385" spans="1:9" ht="37.5">
      <c r="A385" s="299"/>
      <c r="B385" s="139" t="s">
        <v>475</v>
      </c>
      <c r="C385" s="734" t="s">
        <v>61</v>
      </c>
      <c r="D385" s="735" t="s">
        <v>65</v>
      </c>
      <c r="E385" s="735" t="s">
        <v>100</v>
      </c>
      <c r="F385" s="736" t="s">
        <v>474</v>
      </c>
      <c r="G385" s="121" t="s">
        <v>476</v>
      </c>
      <c r="H385" s="275">
        <f>'прил13(ведом 22-23)'!M175</f>
        <v>9.4</v>
      </c>
      <c r="I385" s="275">
        <f>'прил13(ведом 22-23)'!N175</f>
        <v>0</v>
      </c>
    </row>
    <row r="386" spans="1:9" ht="37.5">
      <c r="A386" s="299"/>
      <c r="B386" s="135" t="s">
        <v>396</v>
      </c>
      <c r="C386" s="734" t="s">
        <v>61</v>
      </c>
      <c r="D386" s="735" t="s">
        <v>65</v>
      </c>
      <c r="E386" s="735" t="s">
        <v>109</v>
      </c>
      <c r="F386" s="736" t="s">
        <v>64</v>
      </c>
      <c r="G386" s="121"/>
      <c r="H386" s="275">
        <f>H387</f>
        <v>4734.2</v>
      </c>
      <c r="I386" s="275">
        <f>I387</f>
        <v>4734.2</v>
      </c>
    </row>
    <row r="387" spans="1:9" ht="37.5">
      <c r="A387" s="299"/>
      <c r="B387" s="274" t="s">
        <v>795</v>
      </c>
      <c r="C387" s="734" t="s">
        <v>61</v>
      </c>
      <c r="D387" s="735" t="s">
        <v>65</v>
      </c>
      <c r="E387" s="735" t="s">
        <v>109</v>
      </c>
      <c r="F387" s="736" t="s">
        <v>112</v>
      </c>
      <c r="G387" s="121"/>
      <c r="H387" s="275">
        <f>SUM(H388:H389)</f>
        <v>4734.2</v>
      </c>
      <c r="I387" s="275">
        <f>SUM(I388:I389)</f>
        <v>4734.2</v>
      </c>
    </row>
    <row r="388" spans="1:9" ht="93.75">
      <c r="A388" s="299"/>
      <c r="B388" s="135" t="s">
        <v>69</v>
      </c>
      <c r="C388" s="734" t="s">
        <v>61</v>
      </c>
      <c r="D388" s="735" t="s">
        <v>65</v>
      </c>
      <c r="E388" s="735" t="s">
        <v>109</v>
      </c>
      <c r="F388" s="736" t="s">
        <v>112</v>
      </c>
      <c r="G388" s="121" t="s">
        <v>70</v>
      </c>
      <c r="H388" s="275">
        <f>'прил13(ведом 22-23)'!M145</f>
        <v>4490.2</v>
      </c>
      <c r="I388" s="275">
        <f>'прил13(ведом 22-23)'!N145</f>
        <v>4490.2</v>
      </c>
    </row>
    <row r="389" spans="1:9" ht="37.5">
      <c r="A389" s="299"/>
      <c r="B389" s="135" t="s">
        <v>75</v>
      </c>
      <c r="C389" s="734" t="s">
        <v>61</v>
      </c>
      <c r="D389" s="735" t="s">
        <v>65</v>
      </c>
      <c r="E389" s="735" t="s">
        <v>109</v>
      </c>
      <c r="F389" s="736" t="s">
        <v>112</v>
      </c>
      <c r="G389" s="121" t="s">
        <v>76</v>
      </c>
      <c r="H389" s="275">
        <f>'прил13(ведом 22-23)'!M146</f>
        <v>244</v>
      </c>
      <c r="I389" s="275">
        <f>'прил13(ведом 22-23)'!N146</f>
        <v>244</v>
      </c>
    </row>
    <row r="390" spans="1:9" ht="37.5">
      <c r="A390" s="299"/>
      <c r="B390" s="135" t="s">
        <v>811</v>
      </c>
      <c r="C390" s="734" t="s">
        <v>61</v>
      </c>
      <c r="D390" s="735" t="s">
        <v>65</v>
      </c>
      <c r="E390" s="735" t="s">
        <v>585</v>
      </c>
      <c r="F390" s="736" t="s">
        <v>64</v>
      </c>
      <c r="G390" s="121"/>
      <c r="H390" s="275">
        <f>H391</f>
        <v>148</v>
      </c>
      <c r="I390" s="275">
        <f>I391</f>
        <v>148</v>
      </c>
    </row>
    <row r="391" spans="1:9" ht="37.5">
      <c r="A391" s="299"/>
      <c r="B391" s="140" t="s">
        <v>812</v>
      </c>
      <c r="C391" s="734" t="s">
        <v>61</v>
      </c>
      <c r="D391" s="735" t="s">
        <v>65</v>
      </c>
      <c r="E391" s="735" t="s">
        <v>585</v>
      </c>
      <c r="F391" s="736" t="s">
        <v>111</v>
      </c>
      <c r="G391" s="121"/>
      <c r="H391" s="275">
        <f>H392</f>
        <v>148</v>
      </c>
      <c r="I391" s="275">
        <f>I392</f>
        <v>148</v>
      </c>
    </row>
    <row r="392" spans="1:9" ht="37.5">
      <c r="A392" s="299"/>
      <c r="B392" s="135" t="s">
        <v>75</v>
      </c>
      <c r="C392" s="734" t="s">
        <v>61</v>
      </c>
      <c r="D392" s="735" t="s">
        <v>65</v>
      </c>
      <c r="E392" s="735" t="s">
        <v>585</v>
      </c>
      <c r="F392" s="736" t="s">
        <v>111</v>
      </c>
      <c r="G392" s="121" t="s">
        <v>76</v>
      </c>
      <c r="H392" s="275">
        <f>'прил13(ведом 22-23)'!M78</f>
        <v>148</v>
      </c>
      <c r="I392" s="275">
        <f>'прил13(ведом 22-23)'!N78</f>
        <v>148</v>
      </c>
    </row>
    <row r="393" spans="1:9" ht="37.5">
      <c r="A393" s="299"/>
      <c r="B393" s="135" t="s">
        <v>799</v>
      </c>
      <c r="C393" s="734" t="s">
        <v>61</v>
      </c>
      <c r="D393" s="735" t="s">
        <v>65</v>
      </c>
      <c r="E393" s="735" t="s">
        <v>61</v>
      </c>
      <c r="F393" s="736" t="s">
        <v>64</v>
      </c>
      <c r="G393" s="121"/>
      <c r="H393" s="275">
        <f>H394</f>
        <v>37.4</v>
      </c>
      <c r="I393" s="275">
        <f>I394</f>
        <v>37.4</v>
      </c>
    </row>
    <row r="394" spans="1:9" ht="18.75">
      <c r="A394" s="299"/>
      <c r="B394" s="140" t="s">
        <v>797</v>
      </c>
      <c r="C394" s="734" t="s">
        <v>61</v>
      </c>
      <c r="D394" s="735" t="s">
        <v>65</v>
      </c>
      <c r="E394" s="735" t="s">
        <v>61</v>
      </c>
      <c r="F394" s="736" t="s">
        <v>798</v>
      </c>
      <c r="G394" s="121"/>
      <c r="H394" s="275">
        <f>H395</f>
        <v>37.4</v>
      </c>
      <c r="I394" s="275">
        <f>I395</f>
        <v>37.4</v>
      </c>
    </row>
    <row r="395" spans="1:9" ht="37.5">
      <c r="A395" s="299"/>
      <c r="B395" s="135" t="s">
        <v>75</v>
      </c>
      <c r="C395" s="734" t="s">
        <v>61</v>
      </c>
      <c r="D395" s="735" t="s">
        <v>65</v>
      </c>
      <c r="E395" s="735" t="s">
        <v>61</v>
      </c>
      <c r="F395" s="736" t="s">
        <v>798</v>
      </c>
      <c r="G395" s="121" t="s">
        <v>76</v>
      </c>
      <c r="H395" s="275">
        <f>'прил13(ведом 22-23)'!M81</f>
        <v>37.4</v>
      </c>
      <c r="I395" s="275">
        <f>'прил13(ведом 22-23)'!N81</f>
        <v>37.4</v>
      </c>
    </row>
    <row r="396" spans="1:9" ht="18.75">
      <c r="A396" s="299"/>
      <c r="B396" s="304"/>
      <c r="C396" s="291"/>
      <c r="D396" s="146"/>
      <c r="E396" s="146"/>
      <c r="F396" s="147"/>
      <c r="G396" s="145"/>
      <c r="H396" s="275"/>
      <c r="I396" s="275"/>
    </row>
    <row r="397" spans="1:9" ht="37.5">
      <c r="A397" s="284">
        <v>16</v>
      </c>
      <c r="B397" s="338" t="s">
        <v>152</v>
      </c>
      <c r="C397" s="285" t="s">
        <v>153</v>
      </c>
      <c r="D397" s="285" t="s">
        <v>62</v>
      </c>
      <c r="E397" s="285" t="s">
        <v>63</v>
      </c>
      <c r="F397" s="285" t="s">
        <v>64</v>
      </c>
      <c r="G397" s="271"/>
      <c r="H397" s="272">
        <f>H398</f>
        <v>4306.6000000000004</v>
      </c>
      <c r="I397" s="272">
        <f>I398</f>
        <v>4306.7</v>
      </c>
    </row>
    <row r="398" spans="1:9" ht="37.5">
      <c r="A398" s="261"/>
      <c r="B398" s="138" t="s">
        <v>154</v>
      </c>
      <c r="C398" s="734" t="s">
        <v>153</v>
      </c>
      <c r="D398" s="735" t="s">
        <v>65</v>
      </c>
      <c r="E398" s="735" t="s">
        <v>63</v>
      </c>
      <c r="F398" s="736" t="s">
        <v>64</v>
      </c>
      <c r="G398" s="121"/>
      <c r="H398" s="275">
        <f>H399</f>
        <v>4306.6000000000004</v>
      </c>
      <c r="I398" s="275">
        <f>I399</f>
        <v>4306.7</v>
      </c>
    </row>
    <row r="399" spans="1:9" ht="37.5">
      <c r="A399" s="261"/>
      <c r="B399" s="274" t="s">
        <v>67</v>
      </c>
      <c r="C399" s="734" t="s">
        <v>153</v>
      </c>
      <c r="D399" s="735" t="s">
        <v>65</v>
      </c>
      <c r="E399" s="735" t="s">
        <v>63</v>
      </c>
      <c r="F399" s="736" t="s">
        <v>68</v>
      </c>
      <c r="G399" s="121"/>
      <c r="H399" s="275">
        <f>H400+H401+H402</f>
        <v>4306.6000000000004</v>
      </c>
      <c r="I399" s="275">
        <f>I400+I401+I402</f>
        <v>4306.7</v>
      </c>
    </row>
    <row r="400" spans="1:9" ht="93.75">
      <c r="A400" s="261"/>
      <c r="B400" s="288" t="s">
        <v>69</v>
      </c>
      <c r="C400" s="734" t="s">
        <v>153</v>
      </c>
      <c r="D400" s="735" t="s">
        <v>65</v>
      </c>
      <c r="E400" s="735" t="s">
        <v>63</v>
      </c>
      <c r="F400" s="736" t="s">
        <v>68</v>
      </c>
      <c r="G400" s="121" t="s">
        <v>70</v>
      </c>
      <c r="H400" s="275">
        <f>'прил13(ведом 22-23)'!M210</f>
        <v>4101.3</v>
      </c>
      <c r="I400" s="275">
        <f>'прил13(ведом 22-23)'!N210</f>
        <v>4101.3</v>
      </c>
    </row>
    <row r="401" spans="1:9" ht="37.5">
      <c r="A401" s="261"/>
      <c r="B401" s="135" t="s">
        <v>75</v>
      </c>
      <c r="C401" s="734" t="s">
        <v>153</v>
      </c>
      <c r="D401" s="735" t="s">
        <v>65</v>
      </c>
      <c r="E401" s="735" t="s">
        <v>63</v>
      </c>
      <c r="F401" s="736" t="s">
        <v>68</v>
      </c>
      <c r="G401" s="121" t="s">
        <v>76</v>
      </c>
      <c r="H401" s="275">
        <f>'прил13(ведом 22-23)'!M211</f>
        <v>195.3</v>
      </c>
      <c r="I401" s="275">
        <f>'прил13(ведом 22-23)'!N211</f>
        <v>195.4</v>
      </c>
    </row>
    <row r="402" spans="1:9" ht="18.75">
      <c r="A402" s="261"/>
      <c r="B402" s="135" t="s">
        <v>77</v>
      </c>
      <c r="C402" s="734" t="s">
        <v>153</v>
      </c>
      <c r="D402" s="735" t="s">
        <v>65</v>
      </c>
      <c r="E402" s="735" t="s">
        <v>63</v>
      </c>
      <c r="F402" s="736" t="s">
        <v>68</v>
      </c>
      <c r="G402" s="121" t="s">
        <v>78</v>
      </c>
      <c r="H402" s="275">
        <f>'прил13(ведом 22-23)'!M212</f>
        <v>10</v>
      </c>
      <c r="I402" s="275">
        <f>'прил13(ведом 22-23)'!N212</f>
        <v>10</v>
      </c>
    </row>
    <row r="403" spans="1:9" ht="18.75">
      <c r="A403" s="261"/>
      <c r="B403" s="283"/>
      <c r="C403" s="729"/>
      <c r="D403" s="729"/>
      <c r="E403" s="729"/>
      <c r="F403" s="729"/>
      <c r="G403" s="259"/>
      <c r="H403" s="275"/>
      <c r="I403" s="275"/>
    </row>
    <row r="404" spans="1:9" s="273" customFormat="1" ht="56.25">
      <c r="A404" s="284">
        <v>17</v>
      </c>
      <c r="B404" s="338" t="s">
        <v>755</v>
      </c>
      <c r="C404" s="285" t="s">
        <v>89</v>
      </c>
      <c r="D404" s="285" t="s">
        <v>62</v>
      </c>
      <c r="E404" s="285" t="s">
        <v>63</v>
      </c>
      <c r="F404" s="285" t="s">
        <v>64</v>
      </c>
      <c r="G404" s="271"/>
      <c r="H404" s="272">
        <f t="shared" ref="H404:I406" si="12">H405</f>
        <v>5000</v>
      </c>
      <c r="I404" s="272">
        <f t="shared" si="12"/>
        <v>5000</v>
      </c>
    </row>
    <row r="405" spans="1:9" ht="18.75">
      <c r="A405" s="261"/>
      <c r="B405" s="288" t="s">
        <v>751</v>
      </c>
      <c r="C405" s="734" t="s">
        <v>89</v>
      </c>
      <c r="D405" s="735" t="s">
        <v>65</v>
      </c>
      <c r="E405" s="735" t="s">
        <v>63</v>
      </c>
      <c r="F405" s="736" t="s">
        <v>64</v>
      </c>
      <c r="G405" s="121"/>
      <c r="H405" s="275">
        <f>H406</f>
        <v>5000</v>
      </c>
      <c r="I405" s="275">
        <f>I406</f>
        <v>5000</v>
      </c>
    </row>
    <row r="406" spans="1:9" ht="37.5">
      <c r="A406" s="261"/>
      <c r="B406" s="274" t="s">
        <v>749</v>
      </c>
      <c r="C406" s="734" t="s">
        <v>89</v>
      </c>
      <c r="D406" s="735" t="s">
        <v>65</v>
      </c>
      <c r="E406" s="735" t="s">
        <v>63</v>
      </c>
      <c r="F406" s="736" t="s">
        <v>90</v>
      </c>
      <c r="G406" s="121"/>
      <c r="H406" s="275">
        <f t="shared" si="12"/>
        <v>5000</v>
      </c>
      <c r="I406" s="275">
        <f t="shared" si="12"/>
        <v>5000</v>
      </c>
    </row>
    <row r="407" spans="1:9" ht="18.75">
      <c r="A407" s="261"/>
      <c r="B407" s="274" t="s">
        <v>77</v>
      </c>
      <c r="C407" s="734" t="s">
        <v>89</v>
      </c>
      <c r="D407" s="735" t="s">
        <v>65</v>
      </c>
      <c r="E407" s="735" t="s">
        <v>63</v>
      </c>
      <c r="F407" s="736" t="s">
        <v>90</v>
      </c>
      <c r="G407" s="121" t="s">
        <v>78</v>
      </c>
      <c r="H407" s="275">
        <f>'прил13(ведом 22-23)'!M58</f>
        <v>5000</v>
      </c>
      <c r="I407" s="275">
        <f>'прил13(ведом 22-23)'!N58</f>
        <v>5000</v>
      </c>
    </row>
    <row r="408" spans="1:9" ht="18.75">
      <c r="A408" s="261"/>
      <c r="B408" s="274"/>
      <c r="C408" s="734"/>
      <c r="D408" s="735"/>
      <c r="E408" s="735"/>
      <c r="F408" s="736"/>
      <c r="G408" s="121"/>
      <c r="H408" s="275"/>
      <c r="I408" s="275"/>
    </row>
    <row r="409" spans="1:9" s="273" customFormat="1" ht="18.75">
      <c r="A409" s="350">
        <v>18</v>
      </c>
      <c r="B409" s="392" t="s">
        <v>445</v>
      </c>
      <c r="C409" s="132"/>
      <c r="D409" s="133"/>
      <c r="E409" s="133"/>
      <c r="F409" s="134"/>
      <c r="G409" s="131"/>
      <c r="H409" s="272">
        <f>H410</f>
        <v>27047.8</v>
      </c>
      <c r="I409" s="272">
        <f>I410</f>
        <v>60960.7</v>
      </c>
    </row>
    <row r="410" spans="1:9" ht="18.75">
      <c r="A410" s="122"/>
      <c r="B410" s="393" t="s">
        <v>445</v>
      </c>
      <c r="C410" s="734"/>
      <c r="D410" s="735"/>
      <c r="E410" s="735"/>
      <c r="F410" s="736"/>
      <c r="G410" s="121"/>
      <c r="H410" s="443">
        <f>'прил13(ведом 22-23)'!M566</f>
        <v>27047.8</v>
      </c>
      <c r="I410" s="443">
        <f>'прил13(ведом 22-23)'!N566</f>
        <v>60960.7</v>
      </c>
    </row>
    <row r="411" spans="1:9" ht="18.75">
      <c r="A411" s="437"/>
      <c r="B411" s="486"/>
      <c r="C411" s="341"/>
      <c r="D411" s="341"/>
      <c r="E411" s="341"/>
      <c r="F411" s="341"/>
      <c r="G411" s="341"/>
      <c r="H411" s="487"/>
      <c r="I411" s="487"/>
    </row>
    <row r="412" spans="1:9" ht="18.75">
      <c r="A412" s="437"/>
      <c r="B412" s="486"/>
      <c r="C412" s="341"/>
      <c r="D412" s="341"/>
      <c r="E412" s="341"/>
      <c r="F412" s="341"/>
      <c r="G412" s="341"/>
      <c r="H412" s="487"/>
      <c r="I412" s="487"/>
    </row>
    <row r="413" spans="1:9" ht="18.75">
      <c r="A413" s="252"/>
      <c r="B413" s="253"/>
      <c r="C413" s="254"/>
      <c r="D413" s="254"/>
      <c r="E413" s="254"/>
      <c r="F413" s="254"/>
      <c r="G413" s="343"/>
    </row>
    <row r="414" spans="1:9" ht="18.75">
      <c r="A414" s="344" t="s">
        <v>467</v>
      </c>
      <c r="B414" s="253"/>
      <c r="C414" s="254"/>
      <c r="D414" s="254"/>
      <c r="E414" s="254"/>
      <c r="F414" s="254"/>
      <c r="G414" s="343"/>
    </row>
    <row r="415" spans="1:9" ht="18.75">
      <c r="A415" s="344" t="s">
        <v>468</v>
      </c>
      <c r="B415" s="253"/>
      <c r="C415" s="254"/>
      <c r="D415" s="254"/>
      <c r="E415" s="254"/>
      <c r="F415" s="254"/>
      <c r="G415" s="343"/>
    </row>
    <row r="416" spans="1:9" ht="18.75">
      <c r="A416" s="345" t="s">
        <v>469</v>
      </c>
      <c r="B416" s="253"/>
      <c r="C416" s="250"/>
      <c r="D416" s="254"/>
      <c r="E416" s="254"/>
      <c r="F416" s="254"/>
      <c r="G416" s="250"/>
      <c r="H416" s="250"/>
      <c r="I416" s="346" t="s">
        <v>494</v>
      </c>
    </row>
    <row r="417" spans="1:9">
      <c r="A417" s="252"/>
      <c r="B417" s="253"/>
      <c r="C417" s="254"/>
      <c r="D417" s="254"/>
      <c r="E417" s="254"/>
      <c r="F417" s="254"/>
    </row>
    <row r="418" spans="1:9">
      <c r="A418" s="252"/>
      <c r="B418" s="253"/>
      <c r="C418" s="254"/>
      <c r="D418" s="254"/>
      <c r="E418" s="254"/>
      <c r="F418" s="254"/>
    </row>
    <row r="419" spans="1:9">
      <c r="A419" s="252"/>
      <c r="B419" s="253"/>
      <c r="C419" s="254"/>
      <c r="D419" s="254"/>
      <c r="E419" s="254"/>
      <c r="F419" s="254"/>
    </row>
    <row r="420" spans="1:9" ht="18.75">
      <c r="A420" s="252"/>
      <c r="B420" s="253"/>
      <c r="C420" s="254"/>
      <c r="D420" s="254"/>
      <c r="E420" s="254"/>
      <c r="F420" s="254"/>
      <c r="G420" s="343"/>
    </row>
    <row r="421" spans="1:9">
      <c r="B421" s="246" t="s">
        <v>259</v>
      </c>
      <c r="H421" s="251">
        <f>H343+H313+H304+H256+H232+H215+H189+H166+H139+H99+H15+H292+H337+H319+H329</f>
        <v>1535512.9</v>
      </c>
      <c r="I421" s="251">
        <f>I343+I313+I304+I256+I232+I215+I189+I166+I139+I99+I15+I292+I337+I319+I329</f>
        <v>1441867.0999999999</v>
      </c>
    </row>
    <row r="423" spans="1:9">
      <c r="H423" s="251">
        <f>(H421/H14)*100</f>
        <v>97.687183899047952</v>
      </c>
      <c r="I423" s="251">
        <f>(I421/I14)*100</f>
        <v>95.353098550426552</v>
      </c>
    </row>
    <row r="424" spans="1:9">
      <c r="H424" s="251"/>
      <c r="I424" s="251"/>
    </row>
    <row r="425" spans="1:9">
      <c r="B425" s="246" t="s">
        <v>260</v>
      </c>
      <c r="H425" s="251">
        <f>H404+H397</f>
        <v>9306.6</v>
      </c>
      <c r="I425" s="251">
        <f>I404+I397</f>
        <v>9306.7000000000007</v>
      </c>
    </row>
    <row r="426" spans="1:9">
      <c r="H426" s="251">
        <f>(H425/H430)*100</f>
        <v>0.59207288045244022</v>
      </c>
      <c r="I426" s="251">
        <f>(I425/I430)*100</f>
        <v>0.61546773782358666</v>
      </c>
    </row>
    <row r="427" spans="1:9">
      <c r="H427" s="251"/>
      <c r="I427" s="251"/>
    </row>
    <row r="428" spans="1:9">
      <c r="B428" s="246" t="s">
        <v>447</v>
      </c>
      <c r="H428" s="251">
        <f>H409</f>
        <v>27047.8</v>
      </c>
      <c r="I428" s="251">
        <f>I409</f>
        <v>60960.7</v>
      </c>
    </row>
    <row r="429" spans="1:9">
      <c r="H429" s="251">
        <f>(H428/H430)*100</f>
        <v>1.7207432204995927</v>
      </c>
      <c r="I429" s="251">
        <f>(I428/I430)*100</f>
        <v>4.0314337117498482</v>
      </c>
    </row>
    <row r="430" spans="1:9">
      <c r="B430" s="246" t="s">
        <v>224</v>
      </c>
      <c r="H430" s="251">
        <f>H425+H421+H428</f>
        <v>1571867.3</v>
      </c>
      <c r="I430" s="251">
        <f>I425+I421+I428</f>
        <v>1512134.4999999998</v>
      </c>
    </row>
  </sheetData>
  <autoFilter ref="A4:L430"/>
  <mergeCells count="7">
    <mergeCell ref="A8:I8"/>
    <mergeCell ref="C13:F13"/>
    <mergeCell ref="H11:I11"/>
    <mergeCell ref="A11:A12"/>
    <mergeCell ref="B11:B12"/>
    <mergeCell ref="C11:F12"/>
    <mergeCell ref="G11:G12"/>
  </mergeCells>
  <printOptions horizontalCentered="1"/>
  <pageMargins left="1.1811023622047245" right="0.39370078740157483" top="0.78740157480314965" bottom="0.78740157480314965" header="0" footer="0"/>
  <pageSetup paperSize="9" scale="70" fitToHeight="0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autoPageBreaks="0" fitToPage="1"/>
  </sheetPr>
  <dimension ref="A1:Y875"/>
  <sheetViews>
    <sheetView zoomScale="80" zoomScaleNormal="80" workbookViewId="0">
      <selection activeCell="M2" sqref="M2"/>
    </sheetView>
  </sheetViews>
  <sheetFormatPr defaultColWidth="8.85546875" defaultRowHeight="15"/>
  <cols>
    <col min="1" max="1" width="4.7109375" style="112" customWidth="1"/>
    <col min="2" max="2" width="54.42578125" style="112" customWidth="1"/>
    <col min="3" max="3" width="10" style="112" customWidth="1"/>
    <col min="4" max="4" width="3.7109375" style="112" customWidth="1"/>
    <col min="5" max="5" width="4" style="112" customWidth="1"/>
    <col min="6" max="6" width="3.28515625" style="112" customWidth="1"/>
    <col min="7" max="7" width="2.42578125" style="112" customWidth="1"/>
    <col min="8" max="8" width="2.7109375" style="112" customWidth="1"/>
    <col min="9" max="9" width="7.7109375" style="112" customWidth="1"/>
    <col min="10" max="10" width="5" style="112" customWidth="1"/>
    <col min="11" max="11" width="17" style="112" hidden="1" customWidth="1"/>
    <col min="12" max="12" width="14.85546875" style="112" customWidth="1"/>
    <col min="13" max="13" width="21.28515625" style="154" customWidth="1"/>
    <col min="14" max="14" width="10.140625" style="112" customWidth="1"/>
    <col min="15" max="16384" width="8.85546875" style="112"/>
  </cols>
  <sheetData>
    <row r="1" spans="1:14" s="165" customFormat="1" ht="18.75">
      <c r="K1" s="661"/>
      <c r="L1" s="660"/>
      <c r="M1" s="704" t="s">
        <v>470</v>
      </c>
    </row>
    <row r="2" spans="1:14" s="165" customFormat="1" ht="18.75" customHeight="1">
      <c r="K2" s="661"/>
      <c r="L2" s="660"/>
      <c r="M2" s="704" t="s">
        <v>1036</v>
      </c>
    </row>
    <row r="4" spans="1:14" ht="18.75">
      <c r="M4" s="404" t="s">
        <v>570</v>
      </c>
    </row>
    <row r="5" spans="1:14" ht="18.75" customHeight="1">
      <c r="M5" s="705" t="s">
        <v>914</v>
      </c>
    </row>
    <row r="6" spans="1:14" ht="15" customHeight="1"/>
    <row r="7" spans="1:14" ht="15" customHeight="1"/>
    <row r="8" spans="1:14" ht="18.75" customHeight="1">
      <c r="A8" s="856" t="s">
        <v>770</v>
      </c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</row>
    <row r="9" spans="1:14" ht="18.75" customHeight="1">
      <c r="A9" s="727"/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</row>
    <row r="10" spans="1:14" ht="18.75" customHeight="1">
      <c r="A10" s="113"/>
      <c r="B10" s="114"/>
      <c r="C10" s="115"/>
      <c r="D10" s="115"/>
      <c r="E10" s="115"/>
      <c r="F10" s="115"/>
      <c r="G10" s="113"/>
      <c r="H10" s="116"/>
      <c r="I10" s="117"/>
      <c r="J10" s="118"/>
      <c r="K10" s="118"/>
      <c r="L10" s="118"/>
      <c r="M10" s="155" t="s">
        <v>42</v>
      </c>
    </row>
    <row r="11" spans="1:14" ht="31.15" customHeight="1">
      <c r="A11" s="869" t="s">
        <v>43</v>
      </c>
      <c r="B11" s="871" t="s">
        <v>44</v>
      </c>
      <c r="C11" s="873" t="s">
        <v>45</v>
      </c>
      <c r="D11" s="873" t="s">
        <v>46</v>
      </c>
      <c r="E11" s="873" t="s">
        <v>47</v>
      </c>
      <c r="F11" s="875" t="s">
        <v>48</v>
      </c>
      <c r="G11" s="876"/>
      <c r="H11" s="876"/>
      <c r="I11" s="877"/>
      <c r="J11" s="873" t="s">
        <v>49</v>
      </c>
      <c r="K11" s="881" t="s">
        <v>915</v>
      </c>
      <c r="L11" s="883" t="s">
        <v>553</v>
      </c>
      <c r="M11" s="884"/>
    </row>
    <row r="12" spans="1:14" ht="37.9" customHeight="1">
      <c r="A12" s="870"/>
      <c r="B12" s="872"/>
      <c r="C12" s="874"/>
      <c r="D12" s="874"/>
      <c r="E12" s="874"/>
      <c r="F12" s="878"/>
      <c r="G12" s="879"/>
      <c r="H12" s="879"/>
      <c r="I12" s="880"/>
      <c r="J12" s="874"/>
      <c r="K12" s="882"/>
      <c r="L12" s="645" t="s">
        <v>916</v>
      </c>
      <c r="M12" s="706" t="s">
        <v>917</v>
      </c>
    </row>
    <row r="13" spans="1:14" ht="18.75" customHeight="1">
      <c r="A13" s="119">
        <v>1</v>
      </c>
      <c r="B13" s="120">
        <v>2</v>
      </c>
      <c r="C13" s="121" t="s">
        <v>50</v>
      </c>
      <c r="D13" s="121" t="s">
        <v>51</v>
      </c>
      <c r="E13" s="121" t="s">
        <v>52</v>
      </c>
      <c r="F13" s="866" t="s">
        <v>53</v>
      </c>
      <c r="G13" s="867"/>
      <c r="H13" s="867"/>
      <c r="I13" s="868"/>
      <c r="J13" s="121" t="s">
        <v>54</v>
      </c>
      <c r="K13" s="646"/>
      <c r="L13" s="121" t="s">
        <v>874</v>
      </c>
      <c r="M13" s="156">
        <v>9</v>
      </c>
    </row>
    <row r="14" spans="1:14" ht="18.75" customHeight="1">
      <c r="A14" s="122">
        <v>1</v>
      </c>
      <c r="B14" s="123" t="s">
        <v>224</v>
      </c>
      <c r="C14" s="124"/>
      <c r="D14" s="125"/>
      <c r="E14" s="125"/>
      <c r="F14" s="126"/>
      <c r="G14" s="127"/>
      <c r="H14" s="127"/>
      <c r="I14" s="128"/>
      <c r="J14" s="125"/>
      <c r="K14" s="663" t="e">
        <f>K15+K248+K284+K296+K556+K636+K685+K719+K398</f>
        <v>#REF!</v>
      </c>
      <c r="L14" s="347">
        <f>L15+L248+L284+L296+L556+L636+L685+L719+L398</f>
        <v>42213.884939999989</v>
      </c>
      <c r="M14" s="663">
        <f>M15+M248+M284+M296+M556+M636+M685+M719+M398</f>
        <v>1681843.9749400001</v>
      </c>
      <c r="N14" s="529"/>
    </row>
    <row r="15" spans="1:14" s="355" customFormat="1" ht="37.5" customHeight="1">
      <c r="A15" s="350">
        <v>1</v>
      </c>
      <c r="B15" s="129" t="s">
        <v>1</v>
      </c>
      <c r="C15" s="130" t="s">
        <v>3</v>
      </c>
      <c r="D15" s="131"/>
      <c r="E15" s="131"/>
      <c r="F15" s="132"/>
      <c r="G15" s="133"/>
      <c r="H15" s="133"/>
      <c r="I15" s="134"/>
      <c r="J15" s="131"/>
      <c r="K15" s="160">
        <f>K16+K89+K126+K169+K176+K205+K212+K198</f>
        <v>143985.71400000004</v>
      </c>
      <c r="L15" s="160">
        <f t="shared" ref="L15:M15" si="0">L16+L89+L126+L169+L176+L205+L212+L198</f>
        <v>14786.699999999999</v>
      </c>
      <c r="M15" s="160">
        <f t="shared" si="0"/>
        <v>158772.41399999999</v>
      </c>
    </row>
    <row r="16" spans="1:14" s="356" customFormat="1" ht="18.75" customHeight="1">
      <c r="A16" s="122"/>
      <c r="B16" s="135" t="s">
        <v>56</v>
      </c>
      <c r="C16" s="136" t="s">
        <v>3</v>
      </c>
      <c r="D16" s="121" t="s">
        <v>57</v>
      </c>
      <c r="E16" s="121"/>
      <c r="F16" s="734"/>
      <c r="G16" s="735"/>
      <c r="H16" s="735"/>
      <c r="I16" s="736"/>
      <c r="J16" s="121"/>
      <c r="K16" s="137">
        <f>K17+K23+K52+K57+K46</f>
        <v>89559.752999999997</v>
      </c>
      <c r="L16" s="137">
        <f>L17+L23+L52+L57+L46</f>
        <v>1374.4560000000004</v>
      </c>
      <c r="M16" s="137">
        <f>M17+M23+M52+M57+M46</f>
        <v>90934.208999999988</v>
      </c>
    </row>
    <row r="17" spans="1:15" s="351" customFormat="1" ht="56.25" customHeight="1">
      <c r="A17" s="122"/>
      <c r="B17" s="135" t="s">
        <v>58</v>
      </c>
      <c r="C17" s="136" t="s">
        <v>3</v>
      </c>
      <c r="D17" s="121" t="s">
        <v>57</v>
      </c>
      <c r="E17" s="121" t="s">
        <v>59</v>
      </c>
      <c r="F17" s="734"/>
      <c r="G17" s="735"/>
      <c r="H17" s="735"/>
      <c r="I17" s="736"/>
      <c r="J17" s="121"/>
      <c r="K17" s="137">
        <f t="shared" ref="K17:M21" si="1">K18</f>
        <v>2067.1</v>
      </c>
      <c r="L17" s="137">
        <f t="shared" si="1"/>
        <v>0</v>
      </c>
      <c r="M17" s="137">
        <f t="shared" si="1"/>
        <v>2067.1</v>
      </c>
      <c r="O17" s="351" t="s">
        <v>745</v>
      </c>
    </row>
    <row r="18" spans="1:15" s="351" customFormat="1" ht="59.25" customHeight="1">
      <c r="A18" s="122"/>
      <c r="B18" s="135" t="s">
        <v>60</v>
      </c>
      <c r="C18" s="136" t="s">
        <v>3</v>
      </c>
      <c r="D18" s="121" t="s">
        <v>57</v>
      </c>
      <c r="E18" s="121" t="s">
        <v>59</v>
      </c>
      <c r="F18" s="734" t="s">
        <v>61</v>
      </c>
      <c r="G18" s="735" t="s">
        <v>62</v>
      </c>
      <c r="H18" s="735" t="s">
        <v>63</v>
      </c>
      <c r="I18" s="736" t="s">
        <v>64</v>
      </c>
      <c r="J18" s="121"/>
      <c r="K18" s="137">
        <f t="shared" si="1"/>
        <v>2067.1</v>
      </c>
      <c r="L18" s="137">
        <f t="shared" si="1"/>
        <v>0</v>
      </c>
      <c r="M18" s="137">
        <f t="shared" si="1"/>
        <v>2067.1</v>
      </c>
    </row>
    <row r="19" spans="1:15" s="351" customFormat="1" ht="37.5" customHeight="1">
      <c r="A19" s="122"/>
      <c r="B19" s="135" t="s">
        <v>404</v>
      </c>
      <c r="C19" s="136" t="s">
        <v>3</v>
      </c>
      <c r="D19" s="121" t="s">
        <v>57</v>
      </c>
      <c r="E19" s="121" t="s">
        <v>59</v>
      </c>
      <c r="F19" s="734" t="s">
        <v>61</v>
      </c>
      <c r="G19" s="735" t="s">
        <v>65</v>
      </c>
      <c r="H19" s="735" t="s">
        <v>63</v>
      </c>
      <c r="I19" s="736" t="s">
        <v>64</v>
      </c>
      <c r="J19" s="121"/>
      <c r="K19" s="137">
        <f t="shared" si="1"/>
        <v>2067.1</v>
      </c>
      <c r="L19" s="137">
        <f t="shared" si="1"/>
        <v>0</v>
      </c>
      <c r="M19" s="137">
        <f t="shared" si="1"/>
        <v>2067.1</v>
      </c>
    </row>
    <row r="20" spans="1:15" s="351" customFormat="1" ht="56.25" customHeight="1">
      <c r="A20" s="122"/>
      <c r="B20" s="135" t="s">
        <v>66</v>
      </c>
      <c r="C20" s="136" t="s">
        <v>3</v>
      </c>
      <c r="D20" s="121" t="s">
        <v>57</v>
      </c>
      <c r="E20" s="121" t="s">
        <v>59</v>
      </c>
      <c r="F20" s="734" t="s">
        <v>61</v>
      </c>
      <c r="G20" s="735" t="s">
        <v>65</v>
      </c>
      <c r="H20" s="735" t="s">
        <v>57</v>
      </c>
      <c r="I20" s="736" t="s">
        <v>64</v>
      </c>
      <c r="J20" s="121"/>
      <c r="K20" s="137">
        <f t="shared" si="1"/>
        <v>2067.1</v>
      </c>
      <c r="L20" s="137">
        <f t="shared" si="1"/>
        <v>0</v>
      </c>
      <c r="M20" s="137">
        <f t="shared" si="1"/>
        <v>2067.1</v>
      </c>
    </row>
    <row r="21" spans="1:15" s="351" customFormat="1" ht="37.5" customHeight="1">
      <c r="A21" s="122"/>
      <c r="B21" s="135" t="s">
        <v>67</v>
      </c>
      <c r="C21" s="136" t="s">
        <v>3</v>
      </c>
      <c r="D21" s="121" t="s">
        <v>57</v>
      </c>
      <c r="E21" s="121" t="s">
        <v>59</v>
      </c>
      <c r="F21" s="734" t="s">
        <v>61</v>
      </c>
      <c r="G21" s="735" t="s">
        <v>65</v>
      </c>
      <c r="H21" s="735" t="s">
        <v>57</v>
      </c>
      <c r="I21" s="736" t="s">
        <v>68</v>
      </c>
      <c r="J21" s="121"/>
      <c r="K21" s="137">
        <f>K22</f>
        <v>2067.1</v>
      </c>
      <c r="L21" s="137">
        <f t="shared" si="1"/>
        <v>0</v>
      </c>
      <c r="M21" s="137">
        <f>M22</f>
        <v>2067.1</v>
      </c>
    </row>
    <row r="22" spans="1:15" s="351" customFormat="1" ht="112.5" customHeight="1">
      <c r="A22" s="122"/>
      <c r="B22" s="135" t="s">
        <v>69</v>
      </c>
      <c r="C22" s="136" t="s">
        <v>3</v>
      </c>
      <c r="D22" s="121" t="s">
        <v>57</v>
      </c>
      <c r="E22" s="121" t="s">
        <v>59</v>
      </c>
      <c r="F22" s="734" t="s">
        <v>61</v>
      </c>
      <c r="G22" s="735" t="s">
        <v>65</v>
      </c>
      <c r="H22" s="735" t="s">
        <v>57</v>
      </c>
      <c r="I22" s="736" t="s">
        <v>68</v>
      </c>
      <c r="J22" s="121" t="s">
        <v>70</v>
      </c>
      <c r="K22" s="137">
        <v>2067.1</v>
      </c>
      <c r="L22" s="137">
        <f>M22-K22</f>
        <v>0</v>
      </c>
      <c r="M22" s="137">
        <v>2067.1</v>
      </c>
    </row>
    <row r="23" spans="1:15" s="356" customFormat="1" ht="75.75" customHeight="1">
      <c r="A23" s="122"/>
      <c r="B23" s="135" t="s">
        <v>71</v>
      </c>
      <c r="C23" s="136" t="s">
        <v>3</v>
      </c>
      <c r="D23" s="121" t="s">
        <v>57</v>
      </c>
      <c r="E23" s="121" t="s">
        <v>72</v>
      </c>
      <c r="F23" s="734"/>
      <c r="G23" s="735"/>
      <c r="H23" s="735"/>
      <c r="I23" s="736"/>
      <c r="J23" s="121"/>
      <c r="K23" s="137">
        <f t="shared" ref="K23:M24" si="2">K24</f>
        <v>73164.330999999991</v>
      </c>
      <c r="L23" s="137">
        <f t="shared" si="2"/>
        <v>0</v>
      </c>
      <c r="M23" s="137">
        <f t="shared" si="2"/>
        <v>73164.330999999991</v>
      </c>
    </row>
    <row r="24" spans="1:15" s="356" customFormat="1" ht="60" customHeight="1">
      <c r="A24" s="122"/>
      <c r="B24" s="135" t="s">
        <v>73</v>
      </c>
      <c r="C24" s="136" t="s">
        <v>3</v>
      </c>
      <c r="D24" s="121" t="s">
        <v>57</v>
      </c>
      <c r="E24" s="121" t="s">
        <v>72</v>
      </c>
      <c r="F24" s="734" t="s">
        <v>61</v>
      </c>
      <c r="G24" s="735" t="s">
        <v>62</v>
      </c>
      <c r="H24" s="735" t="s">
        <v>63</v>
      </c>
      <c r="I24" s="736" t="s">
        <v>64</v>
      </c>
      <c r="J24" s="121"/>
      <c r="K24" s="137">
        <f t="shared" si="2"/>
        <v>73164.330999999991</v>
      </c>
      <c r="L24" s="137">
        <f t="shared" si="2"/>
        <v>0</v>
      </c>
      <c r="M24" s="137">
        <f t="shared" si="2"/>
        <v>73164.330999999991</v>
      </c>
    </row>
    <row r="25" spans="1:15" s="118" customFormat="1" ht="37.5" customHeight="1">
      <c r="A25" s="122"/>
      <c r="B25" s="135" t="s">
        <v>404</v>
      </c>
      <c r="C25" s="136" t="s">
        <v>3</v>
      </c>
      <c r="D25" s="121" t="s">
        <v>57</v>
      </c>
      <c r="E25" s="121" t="s">
        <v>72</v>
      </c>
      <c r="F25" s="734" t="s">
        <v>61</v>
      </c>
      <c r="G25" s="735" t="s">
        <v>65</v>
      </c>
      <c r="H25" s="735" t="s">
        <v>63</v>
      </c>
      <c r="I25" s="736" t="s">
        <v>64</v>
      </c>
      <c r="J25" s="121"/>
      <c r="K25" s="137">
        <f>K26+K43</f>
        <v>73164.330999999991</v>
      </c>
      <c r="L25" s="137">
        <f>L26+L43</f>
        <v>0</v>
      </c>
      <c r="M25" s="137">
        <f>M26+M43</f>
        <v>73164.330999999991</v>
      </c>
    </row>
    <row r="26" spans="1:15" s="118" customFormat="1" ht="37.5" customHeight="1">
      <c r="A26" s="122"/>
      <c r="B26" s="135" t="s">
        <v>74</v>
      </c>
      <c r="C26" s="136" t="s">
        <v>3</v>
      </c>
      <c r="D26" s="121" t="s">
        <v>57</v>
      </c>
      <c r="E26" s="121" t="s">
        <v>72</v>
      </c>
      <c r="F26" s="734" t="s">
        <v>61</v>
      </c>
      <c r="G26" s="735" t="s">
        <v>65</v>
      </c>
      <c r="H26" s="735" t="s">
        <v>59</v>
      </c>
      <c r="I26" s="736" t="s">
        <v>64</v>
      </c>
      <c r="J26" s="121"/>
      <c r="K26" s="137">
        <f>K27+K33+K35+K38+K31+K41</f>
        <v>73034.930999999997</v>
      </c>
      <c r="L26" s="137">
        <f>L27+L33+L35+L38+L31+L41</f>
        <v>0</v>
      </c>
      <c r="M26" s="137">
        <f>M27+M33+M35+M38+M31+M41</f>
        <v>73034.930999999997</v>
      </c>
    </row>
    <row r="27" spans="1:15" s="351" customFormat="1" ht="37.5" customHeight="1">
      <c r="A27" s="122"/>
      <c r="B27" s="135" t="s">
        <v>67</v>
      </c>
      <c r="C27" s="136" t="s">
        <v>3</v>
      </c>
      <c r="D27" s="121" t="s">
        <v>57</v>
      </c>
      <c r="E27" s="121" t="s">
        <v>72</v>
      </c>
      <c r="F27" s="734" t="s">
        <v>61</v>
      </c>
      <c r="G27" s="735" t="s">
        <v>65</v>
      </c>
      <c r="H27" s="735" t="s">
        <v>59</v>
      </c>
      <c r="I27" s="736" t="s">
        <v>68</v>
      </c>
      <c r="J27" s="121"/>
      <c r="K27" s="137">
        <f>K28+K29+K30</f>
        <v>68188.130999999994</v>
      </c>
      <c r="L27" s="137">
        <f>L28+L29+L30</f>
        <v>0</v>
      </c>
      <c r="M27" s="137">
        <f>M28+M29+M30</f>
        <v>68188.130999999994</v>
      </c>
    </row>
    <row r="28" spans="1:15" s="351" customFormat="1" ht="112.5" customHeight="1">
      <c r="A28" s="122"/>
      <c r="B28" s="135" t="s">
        <v>69</v>
      </c>
      <c r="C28" s="136" t="s">
        <v>3</v>
      </c>
      <c r="D28" s="121" t="s">
        <v>57</v>
      </c>
      <c r="E28" s="121" t="s">
        <v>72</v>
      </c>
      <c r="F28" s="734" t="s">
        <v>61</v>
      </c>
      <c r="G28" s="735" t="s">
        <v>65</v>
      </c>
      <c r="H28" s="735" t="s">
        <v>59</v>
      </c>
      <c r="I28" s="736" t="s">
        <v>68</v>
      </c>
      <c r="J28" s="121" t="s">
        <v>70</v>
      </c>
      <c r="K28" s="137">
        <f>59795.8+30</f>
        <v>59825.8</v>
      </c>
      <c r="L28" s="137">
        <f>M28-K28</f>
        <v>0</v>
      </c>
      <c r="M28" s="137">
        <f>59795.8+30</f>
        <v>59825.8</v>
      </c>
      <c r="N28" s="356"/>
    </row>
    <row r="29" spans="1:15" s="118" customFormat="1" ht="56.25" customHeight="1">
      <c r="A29" s="122"/>
      <c r="B29" s="135" t="s">
        <v>75</v>
      </c>
      <c r="C29" s="136" t="s">
        <v>3</v>
      </c>
      <c r="D29" s="121" t="s">
        <v>57</v>
      </c>
      <c r="E29" s="121" t="s">
        <v>72</v>
      </c>
      <c r="F29" s="734" t="s">
        <v>61</v>
      </c>
      <c r="G29" s="735" t="s">
        <v>65</v>
      </c>
      <c r="H29" s="735" t="s">
        <v>59</v>
      </c>
      <c r="I29" s="736" t="s">
        <v>68</v>
      </c>
      <c r="J29" s="121" t="s">
        <v>76</v>
      </c>
      <c r="K29" s="137">
        <f>5981.4+45.331+56.7-50+48.8+50+204.4+180-46.2-200+2000</f>
        <v>8270.4310000000005</v>
      </c>
      <c r="L29" s="137">
        <f>M29-K29</f>
        <v>0</v>
      </c>
      <c r="M29" s="137">
        <f>5981.4+45.331+56.7-50+48.8+50+204.4+180-46.2-200+2000</f>
        <v>8270.4310000000005</v>
      </c>
    </row>
    <row r="30" spans="1:15" s="351" customFormat="1" ht="18.75" customHeight="1">
      <c r="A30" s="122"/>
      <c r="B30" s="135" t="s">
        <v>77</v>
      </c>
      <c r="C30" s="136" t="s">
        <v>3</v>
      </c>
      <c r="D30" s="121" t="s">
        <v>57</v>
      </c>
      <c r="E30" s="121" t="s">
        <v>72</v>
      </c>
      <c r="F30" s="734" t="s">
        <v>61</v>
      </c>
      <c r="G30" s="735" t="s">
        <v>65</v>
      </c>
      <c r="H30" s="735" t="s">
        <v>59</v>
      </c>
      <c r="I30" s="736" t="s">
        <v>68</v>
      </c>
      <c r="J30" s="121" t="s">
        <v>78</v>
      </c>
      <c r="K30" s="137">
        <v>91.9</v>
      </c>
      <c r="L30" s="137">
        <f>M30-K30</f>
        <v>0</v>
      </c>
      <c r="M30" s="137">
        <v>91.9</v>
      </c>
      <c r="N30" s="118"/>
    </row>
    <row r="31" spans="1:15" s="356" customFormat="1" ht="97.5" customHeight="1">
      <c r="A31" s="122"/>
      <c r="B31" s="135" t="s">
        <v>747</v>
      </c>
      <c r="C31" s="136" t="s">
        <v>3</v>
      </c>
      <c r="D31" s="121" t="s">
        <v>57</v>
      </c>
      <c r="E31" s="121" t="s">
        <v>72</v>
      </c>
      <c r="F31" s="734" t="s">
        <v>61</v>
      </c>
      <c r="G31" s="735" t="s">
        <v>65</v>
      </c>
      <c r="H31" s="735" t="s">
        <v>59</v>
      </c>
      <c r="I31" s="736" t="s">
        <v>305</v>
      </c>
      <c r="J31" s="121"/>
      <c r="K31" s="137">
        <f>K32</f>
        <v>66</v>
      </c>
      <c r="L31" s="137">
        <f>L32</f>
        <v>0</v>
      </c>
      <c r="M31" s="137">
        <f>M32</f>
        <v>66</v>
      </c>
    </row>
    <row r="32" spans="1:15" s="356" customFormat="1" ht="56.25" customHeight="1">
      <c r="A32" s="122"/>
      <c r="B32" s="135" t="s">
        <v>75</v>
      </c>
      <c r="C32" s="136" t="s">
        <v>3</v>
      </c>
      <c r="D32" s="121" t="s">
        <v>57</v>
      </c>
      <c r="E32" s="121" t="s">
        <v>72</v>
      </c>
      <c r="F32" s="734" t="s">
        <v>61</v>
      </c>
      <c r="G32" s="735" t="s">
        <v>65</v>
      </c>
      <c r="H32" s="735" t="s">
        <v>59</v>
      </c>
      <c r="I32" s="736" t="s">
        <v>305</v>
      </c>
      <c r="J32" s="121" t="s">
        <v>76</v>
      </c>
      <c r="K32" s="137">
        <v>66</v>
      </c>
      <c r="L32" s="137">
        <f>M32-K32</f>
        <v>0</v>
      </c>
      <c r="M32" s="137">
        <v>66</v>
      </c>
    </row>
    <row r="33" spans="1:13" s="356" customFormat="1" ht="200.45" customHeight="1">
      <c r="A33" s="122"/>
      <c r="B33" s="167" t="s">
        <v>757</v>
      </c>
      <c r="C33" s="136" t="s">
        <v>3</v>
      </c>
      <c r="D33" s="121" t="s">
        <v>57</v>
      </c>
      <c r="E33" s="121" t="s">
        <v>72</v>
      </c>
      <c r="F33" s="734" t="s">
        <v>61</v>
      </c>
      <c r="G33" s="735" t="s">
        <v>65</v>
      </c>
      <c r="H33" s="735" t="s">
        <v>59</v>
      </c>
      <c r="I33" s="736" t="s">
        <v>79</v>
      </c>
      <c r="J33" s="121"/>
      <c r="K33" s="137">
        <f>K34</f>
        <v>636.5</v>
      </c>
      <c r="L33" s="137">
        <f>L34</f>
        <v>0</v>
      </c>
      <c r="M33" s="137">
        <f>M34</f>
        <v>636.5</v>
      </c>
    </row>
    <row r="34" spans="1:13" s="356" customFormat="1" ht="104.45" customHeight="1">
      <c r="A34" s="122"/>
      <c r="B34" s="135" t="s">
        <v>69</v>
      </c>
      <c r="C34" s="136" t="s">
        <v>3</v>
      </c>
      <c r="D34" s="121" t="s">
        <v>57</v>
      </c>
      <c r="E34" s="121" t="s">
        <v>72</v>
      </c>
      <c r="F34" s="734" t="s">
        <v>61</v>
      </c>
      <c r="G34" s="735" t="s">
        <v>65</v>
      </c>
      <c r="H34" s="735" t="s">
        <v>59</v>
      </c>
      <c r="I34" s="736" t="s">
        <v>79</v>
      </c>
      <c r="J34" s="121" t="s">
        <v>70</v>
      </c>
      <c r="K34" s="137">
        <v>636.5</v>
      </c>
      <c r="L34" s="137">
        <f>M34-K34</f>
        <v>0</v>
      </c>
      <c r="M34" s="137">
        <v>636.5</v>
      </c>
    </row>
    <row r="35" spans="1:13" s="356" customFormat="1" ht="78.75" customHeight="1">
      <c r="A35" s="122"/>
      <c r="B35" s="135" t="s">
        <v>80</v>
      </c>
      <c r="C35" s="136" t="s">
        <v>3</v>
      </c>
      <c r="D35" s="121" t="s">
        <v>57</v>
      </c>
      <c r="E35" s="121" t="s">
        <v>72</v>
      </c>
      <c r="F35" s="734" t="s">
        <v>61</v>
      </c>
      <c r="G35" s="735" t="s">
        <v>65</v>
      </c>
      <c r="H35" s="735" t="s">
        <v>59</v>
      </c>
      <c r="I35" s="736" t="s">
        <v>81</v>
      </c>
      <c r="J35" s="121"/>
      <c r="K35" s="137">
        <f>SUM(K36:K37)</f>
        <v>3441.6</v>
      </c>
      <c r="L35" s="137">
        <f>SUM(L36:L37)</f>
        <v>0</v>
      </c>
      <c r="M35" s="137">
        <f>SUM(M36:M37)</f>
        <v>3441.6</v>
      </c>
    </row>
    <row r="36" spans="1:13" s="356" customFormat="1" ht="112.5" customHeight="1">
      <c r="A36" s="122"/>
      <c r="B36" s="135" t="s">
        <v>69</v>
      </c>
      <c r="C36" s="136" t="s">
        <v>3</v>
      </c>
      <c r="D36" s="121" t="s">
        <v>57</v>
      </c>
      <c r="E36" s="121" t="s">
        <v>72</v>
      </c>
      <c r="F36" s="734" t="s">
        <v>61</v>
      </c>
      <c r="G36" s="735" t="s">
        <v>65</v>
      </c>
      <c r="H36" s="735" t="s">
        <v>59</v>
      </c>
      <c r="I36" s="736" t="s">
        <v>81</v>
      </c>
      <c r="J36" s="121" t="s">
        <v>70</v>
      </c>
      <c r="K36" s="137">
        <v>3251.6</v>
      </c>
      <c r="L36" s="137">
        <f>M36-K36</f>
        <v>0</v>
      </c>
      <c r="M36" s="137">
        <v>3251.6</v>
      </c>
    </row>
    <row r="37" spans="1:13" s="118" customFormat="1" ht="56.25" customHeight="1">
      <c r="A37" s="122"/>
      <c r="B37" s="135" t="s">
        <v>75</v>
      </c>
      <c r="C37" s="136" t="s">
        <v>3</v>
      </c>
      <c r="D37" s="121" t="s">
        <v>57</v>
      </c>
      <c r="E37" s="121" t="s">
        <v>72</v>
      </c>
      <c r="F37" s="734" t="s">
        <v>61</v>
      </c>
      <c r="G37" s="735" t="s">
        <v>65</v>
      </c>
      <c r="H37" s="735" t="s">
        <v>59</v>
      </c>
      <c r="I37" s="736" t="s">
        <v>81</v>
      </c>
      <c r="J37" s="121" t="s">
        <v>76</v>
      </c>
      <c r="K37" s="137">
        <v>190</v>
      </c>
      <c r="L37" s="137">
        <f>M37-K37</f>
        <v>0</v>
      </c>
      <c r="M37" s="137">
        <v>190</v>
      </c>
    </row>
    <row r="38" spans="1:13" s="356" customFormat="1" ht="75" customHeight="1">
      <c r="A38" s="122"/>
      <c r="B38" s="135" t="s">
        <v>582</v>
      </c>
      <c r="C38" s="136" t="s">
        <v>3</v>
      </c>
      <c r="D38" s="121" t="s">
        <v>57</v>
      </c>
      <c r="E38" s="121" t="s">
        <v>72</v>
      </c>
      <c r="F38" s="734" t="s">
        <v>61</v>
      </c>
      <c r="G38" s="735" t="s">
        <v>65</v>
      </c>
      <c r="H38" s="735" t="s">
        <v>59</v>
      </c>
      <c r="I38" s="736" t="s">
        <v>82</v>
      </c>
      <c r="J38" s="121"/>
      <c r="K38" s="137">
        <f>K39+K40</f>
        <v>636.70000000000005</v>
      </c>
      <c r="L38" s="137">
        <f>L39+L40</f>
        <v>0</v>
      </c>
      <c r="M38" s="137">
        <f>M39+M40</f>
        <v>636.70000000000005</v>
      </c>
    </row>
    <row r="39" spans="1:13" s="356" customFormat="1" ht="112.5" customHeight="1">
      <c r="A39" s="122"/>
      <c r="B39" s="135" t="s">
        <v>69</v>
      </c>
      <c r="C39" s="136" t="s">
        <v>3</v>
      </c>
      <c r="D39" s="121" t="s">
        <v>57</v>
      </c>
      <c r="E39" s="121" t="s">
        <v>72</v>
      </c>
      <c r="F39" s="734" t="s">
        <v>61</v>
      </c>
      <c r="G39" s="735" t="s">
        <v>65</v>
      </c>
      <c r="H39" s="735" t="s">
        <v>59</v>
      </c>
      <c r="I39" s="736" t="s">
        <v>82</v>
      </c>
      <c r="J39" s="121" t="s">
        <v>70</v>
      </c>
      <c r="K39" s="137">
        <v>632.5</v>
      </c>
      <c r="L39" s="137">
        <f>M39-K39</f>
        <v>0</v>
      </c>
      <c r="M39" s="137">
        <v>632.5</v>
      </c>
    </row>
    <row r="40" spans="1:13" s="356" customFormat="1" ht="56.25" customHeight="1">
      <c r="A40" s="122"/>
      <c r="B40" s="135" t="s">
        <v>75</v>
      </c>
      <c r="C40" s="136" t="s">
        <v>3</v>
      </c>
      <c r="D40" s="121" t="s">
        <v>57</v>
      </c>
      <c r="E40" s="121" t="s">
        <v>72</v>
      </c>
      <c r="F40" s="734" t="s">
        <v>61</v>
      </c>
      <c r="G40" s="735" t="s">
        <v>65</v>
      </c>
      <c r="H40" s="735" t="s">
        <v>59</v>
      </c>
      <c r="I40" s="736" t="s">
        <v>82</v>
      </c>
      <c r="J40" s="121" t="s">
        <v>76</v>
      </c>
      <c r="K40" s="137">
        <v>4.2</v>
      </c>
      <c r="L40" s="137">
        <f>M40-K40</f>
        <v>0</v>
      </c>
      <c r="M40" s="137">
        <v>4.2</v>
      </c>
    </row>
    <row r="41" spans="1:13" s="356" customFormat="1" ht="177.6" customHeight="1">
      <c r="A41" s="122"/>
      <c r="B41" s="167" t="s">
        <v>466</v>
      </c>
      <c r="C41" s="136" t="s">
        <v>3</v>
      </c>
      <c r="D41" s="121" t="s">
        <v>57</v>
      </c>
      <c r="E41" s="121" t="s">
        <v>72</v>
      </c>
      <c r="F41" s="734" t="s">
        <v>61</v>
      </c>
      <c r="G41" s="735" t="s">
        <v>65</v>
      </c>
      <c r="H41" s="735" t="s">
        <v>59</v>
      </c>
      <c r="I41" s="736" t="s">
        <v>465</v>
      </c>
      <c r="J41" s="121"/>
      <c r="K41" s="137">
        <f>K42</f>
        <v>66</v>
      </c>
      <c r="L41" s="137">
        <f>L42</f>
        <v>0</v>
      </c>
      <c r="M41" s="137">
        <f>M42</f>
        <v>66</v>
      </c>
    </row>
    <row r="42" spans="1:13" s="356" customFormat="1" ht="56.25" customHeight="1">
      <c r="A42" s="122"/>
      <c r="B42" s="135" t="s">
        <v>75</v>
      </c>
      <c r="C42" s="136" t="s">
        <v>3</v>
      </c>
      <c r="D42" s="121" t="s">
        <v>57</v>
      </c>
      <c r="E42" s="121" t="s">
        <v>72</v>
      </c>
      <c r="F42" s="734" t="s">
        <v>61</v>
      </c>
      <c r="G42" s="735" t="s">
        <v>65</v>
      </c>
      <c r="H42" s="735" t="s">
        <v>59</v>
      </c>
      <c r="I42" s="736" t="s">
        <v>465</v>
      </c>
      <c r="J42" s="121" t="s">
        <v>76</v>
      </c>
      <c r="K42" s="137">
        <v>66</v>
      </c>
      <c r="L42" s="137">
        <f>M42-K42</f>
        <v>0</v>
      </c>
      <c r="M42" s="137">
        <v>66</v>
      </c>
    </row>
    <row r="43" spans="1:13" s="118" customFormat="1" ht="18.75" customHeight="1">
      <c r="A43" s="122"/>
      <c r="B43" s="135" t="s">
        <v>83</v>
      </c>
      <c r="C43" s="136" t="s">
        <v>3</v>
      </c>
      <c r="D43" s="121" t="s">
        <v>57</v>
      </c>
      <c r="E43" s="121" t="s">
        <v>72</v>
      </c>
      <c r="F43" s="734" t="s">
        <v>61</v>
      </c>
      <c r="G43" s="735" t="s">
        <v>65</v>
      </c>
      <c r="H43" s="735" t="s">
        <v>84</v>
      </c>
      <c r="I43" s="736" t="s">
        <v>64</v>
      </c>
      <c r="J43" s="121"/>
      <c r="K43" s="137">
        <f t="shared" ref="K43:M44" si="3">K44</f>
        <v>129.4</v>
      </c>
      <c r="L43" s="137">
        <f t="shared" si="3"/>
        <v>0</v>
      </c>
      <c r="M43" s="137">
        <f t="shared" si="3"/>
        <v>129.4</v>
      </c>
    </row>
    <row r="44" spans="1:13" s="351" customFormat="1" ht="37.5" customHeight="1">
      <c r="A44" s="122"/>
      <c r="B44" s="135" t="s">
        <v>67</v>
      </c>
      <c r="C44" s="136" t="s">
        <v>3</v>
      </c>
      <c r="D44" s="121" t="s">
        <v>57</v>
      </c>
      <c r="E44" s="121" t="s">
        <v>72</v>
      </c>
      <c r="F44" s="734" t="s">
        <v>61</v>
      </c>
      <c r="G44" s="735" t="s">
        <v>65</v>
      </c>
      <c r="H44" s="735" t="s">
        <v>84</v>
      </c>
      <c r="I44" s="736" t="s">
        <v>68</v>
      </c>
      <c r="J44" s="121"/>
      <c r="K44" s="137">
        <f>K45</f>
        <v>129.4</v>
      </c>
      <c r="L44" s="137">
        <f t="shared" si="3"/>
        <v>0</v>
      </c>
      <c r="M44" s="137">
        <f>M45</f>
        <v>129.4</v>
      </c>
    </row>
    <row r="45" spans="1:13" s="118" customFormat="1" ht="56.25" customHeight="1">
      <c r="A45" s="122"/>
      <c r="B45" s="135" t="s">
        <v>75</v>
      </c>
      <c r="C45" s="136" t="s">
        <v>3</v>
      </c>
      <c r="D45" s="121" t="s">
        <v>57</v>
      </c>
      <c r="E45" s="121" t="s">
        <v>72</v>
      </c>
      <c r="F45" s="734" t="s">
        <v>61</v>
      </c>
      <c r="G45" s="735" t="s">
        <v>65</v>
      </c>
      <c r="H45" s="735" t="s">
        <v>84</v>
      </c>
      <c r="I45" s="736" t="s">
        <v>68</v>
      </c>
      <c r="J45" s="121" t="s">
        <v>76</v>
      </c>
      <c r="K45" s="137">
        <f>113.2+16.2</f>
        <v>129.4</v>
      </c>
      <c r="L45" s="137">
        <f>M45-K45</f>
        <v>0</v>
      </c>
      <c r="M45" s="137">
        <f>113.2+16.2</f>
        <v>129.4</v>
      </c>
    </row>
    <row r="46" spans="1:13" s="118" customFormat="1" ht="18.75" customHeight="1">
      <c r="A46" s="122"/>
      <c r="B46" s="135" t="s">
        <v>488</v>
      </c>
      <c r="C46" s="136" t="s">
        <v>3</v>
      </c>
      <c r="D46" s="121" t="s">
        <v>57</v>
      </c>
      <c r="E46" s="121" t="s">
        <v>86</v>
      </c>
      <c r="F46" s="734"/>
      <c r="G46" s="735"/>
      <c r="H46" s="735"/>
      <c r="I46" s="736"/>
      <c r="J46" s="121"/>
      <c r="K46" s="137">
        <f t="shared" ref="K46:M50" si="4">K47</f>
        <v>13.2</v>
      </c>
      <c r="L46" s="137">
        <f t="shared" si="4"/>
        <v>0</v>
      </c>
      <c r="M46" s="137">
        <f t="shared" si="4"/>
        <v>13.2</v>
      </c>
    </row>
    <row r="47" spans="1:13" s="118" customFormat="1" ht="59.25" customHeight="1">
      <c r="A47" s="122"/>
      <c r="B47" s="135" t="s">
        <v>73</v>
      </c>
      <c r="C47" s="136" t="s">
        <v>3</v>
      </c>
      <c r="D47" s="121" t="s">
        <v>57</v>
      </c>
      <c r="E47" s="121" t="s">
        <v>86</v>
      </c>
      <c r="F47" s="734" t="s">
        <v>61</v>
      </c>
      <c r="G47" s="735" t="s">
        <v>62</v>
      </c>
      <c r="H47" s="735" t="s">
        <v>63</v>
      </c>
      <c r="I47" s="736" t="s">
        <v>64</v>
      </c>
      <c r="J47" s="121"/>
      <c r="K47" s="137">
        <f t="shared" si="4"/>
        <v>13.2</v>
      </c>
      <c r="L47" s="137">
        <f t="shared" si="4"/>
        <v>0</v>
      </c>
      <c r="M47" s="137">
        <f t="shared" si="4"/>
        <v>13.2</v>
      </c>
    </row>
    <row r="48" spans="1:13" s="118" customFormat="1" ht="37.5" customHeight="1">
      <c r="A48" s="122"/>
      <c r="B48" s="135" t="s">
        <v>404</v>
      </c>
      <c r="C48" s="136" t="s">
        <v>3</v>
      </c>
      <c r="D48" s="121" t="s">
        <v>57</v>
      </c>
      <c r="E48" s="121" t="s">
        <v>86</v>
      </c>
      <c r="F48" s="734" t="s">
        <v>61</v>
      </c>
      <c r="G48" s="735" t="s">
        <v>65</v>
      </c>
      <c r="H48" s="735" t="s">
        <v>63</v>
      </c>
      <c r="I48" s="736" t="s">
        <v>64</v>
      </c>
      <c r="J48" s="121"/>
      <c r="K48" s="137">
        <f t="shared" si="4"/>
        <v>13.2</v>
      </c>
      <c r="L48" s="137">
        <f t="shared" si="4"/>
        <v>0</v>
      </c>
      <c r="M48" s="137">
        <f t="shared" si="4"/>
        <v>13.2</v>
      </c>
    </row>
    <row r="49" spans="1:13" s="118" customFormat="1" ht="37.5" customHeight="1">
      <c r="A49" s="122"/>
      <c r="B49" s="135" t="s">
        <v>74</v>
      </c>
      <c r="C49" s="136" t="s">
        <v>3</v>
      </c>
      <c r="D49" s="121" t="s">
        <v>57</v>
      </c>
      <c r="E49" s="121" t="s">
        <v>86</v>
      </c>
      <c r="F49" s="734" t="s">
        <v>61</v>
      </c>
      <c r="G49" s="735" t="s">
        <v>65</v>
      </c>
      <c r="H49" s="735" t="s">
        <v>59</v>
      </c>
      <c r="I49" s="736" t="s">
        <v>64</v>
      </c>
      <c r="J49" s="121"/>
      <c r="K49" s="137">
        <f t="shared" si="4"/>
        <v>13.2</v>
      </c>
      <c r="L49" s="137">
        <f t="shared" si="4"/>
        <v>0</v>
      </c>
      <c r="M49" s="137">
        <f t="shared" si="4"/>
        <v>13.2</v>
      </c>
    </row>
    <row r="50" spans="1:13" s="118" customFormat="1" ht="93.75">
      <c r="A50" s="122"/>
      <c r="B50" s="135" t="s">
        <v>490</v>
      </c>
      <c r="C50" s="136" t="s">
        <v>3</v>
      </c>
      <c r="D50" s="121" t="s">
        <v>57</v>
      </c>
      <c r="E50" s="121" t="s">
        <v>86</v>
      </c>
      <c r="F50" s="734" t="s">
        <v>61</v>
      </c>
      <c r="G50" s="735" t="s">
        <v>65</v>
      </c>
      <c r="H50" s="735" t="s">
        <v>59</v>
      </c>
      <c r="I50" s="736" t="s">
        <v>489</v>
      </c>
      <c r="J50" s="121"/>
      <c r="K50" s="137">
        <f>K51</f>
        <v>13.2</v>
      </c>
      <c r="L50" s="137">
        <f t="shared" si="4"/>
        <v>0</v>
      </c>
      <c r="M50" s="137">
        <f>M51</f>
        <v>13.2</v>
      </c>
    </row>
    <row r="51" spans="1:13" s="118" customFormat="1" ht="56.25" customHeight="1">
      <c r="A51" s="122"/>
      <c r="B51" s="135" t="s">
        <v>75</v>
      </c>
      <c r="C51" s="136" t="s">
        <v>3</v>
      </c>
      <c r="D51" s="121" t="s">
        <v>57</v>
      </c>
      <c r="E51" s="121" t="s">
        <v>86</v>
      </c>
      <c r="F51" s="734" t="s">
        <v>61</v>
      </c>
      <c r="G51" s="735" t="s">
        <v>65</v>
      </c>
      <c r="H51" s="735" t="s">
        <v>59</v>
      </c>
      <c r="I51" s="736" t="s">
        <v>489</v>
      </c>
      <c r="J51" s="121" t="s">
        <v>76</v>
      </c>
      <c r="K51" s="137">
        <v>13.2</v>
      </c>
      <c r="L51" s="137">
        <f>M51-K51</f>
        <v>0</v>
      </c>
      <c r="M51" s="137">
        <v>13.2</v>
      </c>
    </row>
    <row r="52" spans="1:13" s="351" customFormat="1" ht="18.75" customHeight="1">
      <c r="A52" s="122"/>
      <c r="B52" s="135" t="s">
        <v>87</v>
      </c>
      <c r="C52" s="136" t="s">
        <v>3</v>
      </c>
      <c r="D52" s="121" t="s">
        <v>57</v>
      </c>
      <c r="E52" s="121" t="s">
        <v>88</v>
      </c>
      <c r="F52" s="734"/>
      <c r="G52" s="735"/>
      <c r="H52" s="735"/>
      <c r="I52" s="736"/>
      <c r="J52" s="121"/>
      <c r="K52" s="137">
        <f t="shared" ref="K52:M55" si="5">K53</f>
        <v>5092.8220000000001</v>
      </c>
      <c r="L52" s="137">
        <f t="shared" si="5"/>
        <v>479.55600000000049</v>
      </c>
      <c r="M52" s="137">
        <f t="shared" si="5"/>
        <v>5572.3780000000006</v>
      </c>
    </row>
    <row r="53" spans="1:13" s="351" customFormat="1" ht="37.5" customHeight="1">
      <c r="A53" s="122"/>
      <c r="B53" s="135" t="s">
        <v>750</v>
      </c>
      <c r="C53" s="136" t="s">
        <v>3</v>
      </c>
      <c r="D53" s="121" t="s">
        <v>57</v>
      </c>
      <c r="E53" s="121" t="s">
        <v>88</v>
      </c>
      <c r="F53" s="734" t="s">
        <v>89</v>
      </c>
      <c r="G53" s="735" t="s">
        <v>62</v>
      </c>
      <c r="H53" s="735" t="s">
        <v>63</v>
      </c>
      <c r="I53" s="736" t="s">
        <v>64</v>
      </c>
      <c r="J53" s="121"/>
      <c r="K53" s="137">
        <f t="shared" si="5"/>
        <v>5092.8220000000001</v>
      </c>
      <c r="L53" s="137">
        <f t="shared" si="5"/>
        <v>479.55600000000049</v>
      </c>
      <c r="M53" s="137">
        <f t="shared" si="5"/>
        <v>5572.3780000000006</v>
      </c>
    </row>
    <row r="54" spans="1:13" s="351" customFormat="1" ht="18.75" customHeight="1">
      <c r="A54" s="122"/>
      <c r="B54" s="138" t="s">
        <v>751</v>
      </c>
      <c r="C54" s="136" t="s">
        <v>3</v>
      </c>
      <c r="D54" s="121" t="s">
        <v>57</v>
      </c>
      <c r="E54" s="121" t="s">
        <v>88</v>
      </c>
      <c r="F54" s="734" t="s">
        <v>89</v>
      </c>
      <c r="G54" s="735" t="s">
        <v>65</v>
      </c>
      <c r="H54" s="735" t="s">
        <v>63</v>
      </c>
      <c r="I54" s="736" t="s">
        <v>64</v>
      </c>
      <c r="J54" s="121"/>
      <c r="K54" s="137">
        <f>K55</f>
        <v>5092.8220000000001</v>
      </c>
      <c r="L54" s="137">
        <f>L55</f>
        <v>479.55600000000049</v>
      </c>
      <c r="M54" s="137">
        <f>M55</f>
        <v>5572.3780000000006</v>
      </c>
    </row>
    <row r="55" spans="1:13" s="351" customFormat="1" ht="40.15" customHeight="1">
      <c r="A55" s="122"/>
      <c r="B55" s="135" t="s">
        <v>749</v>
      </c>
      <c r="C55" s="136" t="s">
        <v>3</v>
      </c>
      <c r="D55" s="121" t="s">
        <v>57</v>
      </c>
      <c r="E55" s="121" t="s">
        <v>88</v>
      </c>
      <c r="F55" s="734" t="s">
        <v>89</v>
      </c>
      <c r="G55" s="735" t="s">
        <v>65</v>
      </c>
      <c r="H55" s="735" t="s">
        <v>63</v>
      </c>
      <c r="I55" s="736" t="s">
        <v>90</v>
      </c>
      <c r="J55" s="121"/>
      <c r="K55" s="137">
        <f>K56</f>
        <v>5092.8220000000001</v>
      </c>
      <c r="L55" s="137">
        <f t="shared" si="5"/>
        <v>479.55600000000049</v>
      </c>
      <c r="M55" s="137">
        <f>M56</f>
        <v>5572.3780000000006</v>
      </c>
    </row>
    <row r="56" spans="1:13" s="351" customFormat="1" ht="18.75" customHeight="1">
      <c r="A56" s="122"/>
      <c r="B56" s="135" t="s">
        <v>77</v>
      </c>
      <c r="C56" s="136" t="s">
        <v>3</v>
      </c>
      <c r="D56" s="121" t="s">
        <v>57</v>
      </c>
      <c r="E56" s="121" t="s">
        <v>88</v>
      </c>
      <c r="F56" s="734" t="s">
        <v>89</v>
      </c>
      <c r="G56" s="735" t="s">
        <v>65</v>
      </c>
      <c r="H56" s="735" t="s">
        <v>63</v>
      </c>
      <c r="I56" s="736" t="s">
        <v>90</v>
      </c>
      <c r="J56" s="121" t="s">
        <v>78</v>
      </c>
      <c r="K56" s="137">
        <f>7000-1747.224+4000-1078.888-106-265-236-150.068-2569.998-2754+3000</f>
        <v>5092.8220000000001</v>
      </c>
      <c r="L56" s="137">
        <f>M56-K56</f>
        <v>479.55600000000049</v>
      </c>
      <c r="M56" s="697">
        <f>7000-1747.224+4000-1078.888-106-265-236-150.068-2569.998-2754+3000-60-1499.4-495.344+2534.3</f>
        <v>5572.3780000000006</v>
      </c>
    </row>
    <row r="57" spans="1:13" s="351" customFormat="1" ht="18.75" customHeight="1">
      <c r="A57" s="122"/>
      <c r="B57" s="135" t="s">
        <v>91</v>
      </c>
      <c r="C57" s="136" t="s">
        <v>3</v>
      </c>
      <c r="D57" s="121" t="s">
        <v>57</v>
      </c>
      <c r="E57" s="121" t="s">
        <v>92</v>
      </c>
      <c r="F57" s="734"/>
      <c r="G57" s="735"/>
      <c r="H57" s="735"/>
      <c r="I57" s="736"/>
      <c r="J57" s="121"/>
      <c r="K57" s="137">
        <f>K63+K58</f>
        <v>9222.3000000000011</v>
      </c>
      <c r="L57" s="137">
        <f>L63+L58</f>
        <v>894.89999999999986</v>
      </c>
      <c r="M57" s="137">
        <f>M63+M58</f>
        <v>10117.200000000001</v>
      </c>
    </row>
    <row r="58" spans="1:13" s="351" customFormat="1" ht="93.75">
      <c r="A58" s="122"/>
      <c r="B58" s="135" t="s">
        <v>93</v>
      </c>
      <c r="C58" s="136" t="s">
        <v>3</v>
      </c>
      <c r="D58" s="121" t="s">
        <v>57</v>
      </c>
      <c r="E58" s="121" t="s">
        <v>92</v>
      </c>
      <c r="F58" s="734" t="s">
        <v>94</v>
      </c>
      <c r="G58" s="735" t="s">
        <v>62</v>
      </c>
      <c r="H58" s="735" t="s">
        <v>63</v>
      </c>
      <c r="I58" s="736" t="s">
        <v>64</v>
      </c>
      <c r="J58" s="121"/>
      <c r="K58" s="137">
        <f t="shared" ref="K58:M61" si="6">K59</f>
        <v>2349.8999999999996</v>
      </c>
      <c r="L58" s="137">
        <f t="shared" si="6"/>
        <v>0</v>
      </c>
      <c r="M58" s="137">
        <f t="shared" si="6"/>
        <v>2349.8999999999996</v>
      </c>
    </row>
    <row r="59" spans="1:13" s="351" customFormat="1" ht="37.5" customHeight="1">
      <c r="A59" s="122"/>
      <c r="B59" s="135" t="s">
        <v>404</v>
      </c>
      <c r="C59" s="136" t="s">
        <v>3</v>
      </c>
      <c r="D59" s="121" t="s">
        <v>57</v>
      </c>
      <c r="E59" s="121" t="s">
        <v>92</v>
      </c>
      <c r="F59" s="734" t="s">
        <v>94</v>
      </c>
      <c r="G59" s="735" t="s">
        <v>65</v>
      </c>
      <c r="H59" s="735" t="s">
        <v>63</v>
      </c>
      <c r="I59" s="736" t="s">
        <v>64</v>
      </c>
      <c r="J59" s="121"/>
      <c r="K59" s="137">
        <f t="shared" si="6"/>
        <v>2349.8999999999996</v>
      </c>
      <c r="L59" s="137">
        <f t="shared" si="6"/>
        <v>0</v>
      </c>
      <c r="M59" s="137">
        <f t="shared" si="6"/>
        <v>2349.8999999999996</v>
      </c>
    </row>
    <row r="60" spans="1:13" s="351" customFormat="1" ht="56.25" customHeight="1">
      <c r="A60" s="122"/>
      <c r="B60" s="138" t="s">
        <v>306</v>
      </c>
      <c r="C60" s="136" t="s">
        <v>3</v>
      </c>
      <c r="D60" s="121" t="s">
        <v>57</v>
      </c>
      <c r="E60" s="121" t="s">
        <v>92</v>
      </c>
      <c r="F60" s="734" t="s">
        <v>94</v>
      </c>
      <c r="G60" s="735" t="s">
        <v>65</v>
      </c>
      <c r="H60" s="735" t="s">
        <v>57</v>
      </c>
      <c r="I60" s="736" t="s">
        <v>64</v>
      </c>
      <c r="J60" s="121"/>
      <c r="K60" s="137">
        <f t="shared" si="6"/>
        <v>2349.8999999999996</v>
      </c>
      <c r="L60" s="137">
        <f t="shared" si="6"/>
        <v>0</v>
      </c>
      <c r="M60" s="137">
        <f t="shared" si="6"/>
        <v>2349.8999999999996</v>
      </c>
    </row>
    <row r="61" spans="1:13" s="351" customFormat="1" ht="54" customHeight="1">
      <c r="A61" s="122"/>
      <c r="B61" s="138" t="s">
        <v>95</v>
      </c>
      <c r="C61" s="136" t="s">
        <v>3</v>
      </c>
      <c r="D61" s="121" t="s">
        <v>57</v>
      </c>
      <c r="E61" s="121" t="s">
        <v>92</v>
      </c>
      <c r="F61" s="734" t="s">
        <v>94</v>
      </c>
      <c r="G61" s="735" t="s">
        <v>65</v>
      </c>
      <c r="H61" s="735" t="s">
        <v>57</v>
      </c>
      <c r="I61" s="736" t="s">
        <v>96</v>
      </c>
      <c r="J61" s="121"/>
      <c r="K61" s="137">
        <f>K62</f>
        <v>2349.8999999999996</v>
      </c>
      <c r="L61" s="137">
        <f t="shared" si="6"/>
        <v>0</v>
      </c>
      <c r="M61" s="137">
        <f>M62</f>
        <v>2349.8999999999996</v>
      </c>
    </row>
    <row r="62" spans="1:13" s="351" customFormat="1" ht="56.25" customHeight="1">
      <c r="A62" s="122"/>
      <c r="B62" s="139" t="s">
        <v>97</v>
      </c>
      <c r="C62" s="136" t="s">
        <v>3</v>
      </c>
      <c r="D62" s="121" t="s">
        <v>57</v>
      </c>
      <c r="E62" s="121" t="s">
        <v>92</v>
      </c>
      <c r="F62" s="734" t="s">
        <v>94</v>
      </c>
      <c r="G62" s="735" t="s">
        <v>65</v>
      </c>
      <c r="H62" s="735" t="s">
        <v>57</v>
      </c>
      <c r="I62" s="736" t="s">
        <v>96</v>
      </c>
      <c r="J62" s="121" t="s">
        <v>98</v>
      </c>
      <c r="K62" s="137">
        <f>291.9+992.2+100.3+300+300+365.5</f>
        <v>2349.8999999999996</v>
      </c>
      <c r="L62" s="137">
        <f>M62-K62</f>
        <v>0</v>
      </c>
      <c r="M62" s="137">
        <f>291.9+992.2+100.3+300+300+365.5</f>
        <v>2349.8999999999996</v>
      </c>
    </row>
    <row r="63" spans="1:13" s="351" customFormat="1" ht="60" customHeight="1">
      <c r="A63" s="122"/>
      <c r="B63" s="135" t="s">
        <v>60</v>
      </c>
      <c r="C63" s="136" t="s">
        <v>3</v>
      </c>
      <c r="D63" s="121" t="s">
        <v>57</v>
      </c>
      <c r="E63" s="121" t="s">
        <v>92</v>
      </c>
      <c r="F63" s="734" t="s">
        <v>61</v>
      </c>
      <c r="G63" s="735" t="s">
        <v>62</v>
      </c>
      <c r="H63" s="735" t="s">
        <v>63</v>
      </c>
      <c r="I63" s="736" t="s">
        <v>64</v>
      </c>
      <c r="J63" s="121"/>
      <c r="K63" s="137">
        <f>K64</f>
        <v>6872.4000000000015</v>
      </c>
      <c r="L63" s="137">
        <f>L64</f>
        <v>894.89999999999986</v>
      </c>
      <c r="M63" s="137">
        <f>M64</f>
        <v>7767.3000000000011</v>
      </c>
    </row>
    <row r="64" spans="1:13" s="351" customFormat="1" ht="37.5" customHeight="1">
      <c r="A64" s="122"/>
      <c r="B64" s="135" t="s">
        <v>404</v>
      </c>
      <c r="C64" s="136" t="s">
        <v>3</v>
      </c>
      <c r="D64" s="121" t="s">
        <v>57</v>
      </c>
      <c r="E64" s="121" t="s">
        <v>92</v>
      </c>
      <c r="F64" s="734" t="s">
        <v>61</v>
      </c>
      <c r="G64" s="735" t="s">
        <v>65</v>
      </c>
      <c r="H64" s="735" t="s">
        <v>63</v>
      </c>
      <c r="I64" s="736" t="s">
        <v>64</v>
      </c>
      <c r="J64" s="121"/>
      <c r="K64" s="137">
        <f t="shared" ref="K64" si="7">K72+K68+K80+K83+K77+K86+K65</f>
        <v>6872.4000000000015</v>
      </c>
      <c r="L64" s="137">
        <f t="shared" ref="L64:M64" si="8">L72+L68+L80+L83+L77+L86+L65</f>
        <v>894.89999999999986</v>
      </c>
      <c r="M64" s="137">
        <f t="shared" si="8"/>
        <v>7767.3000000000011</v>
      </c>
    </row>
    <row r="65" spans="1:13" s="351" customFormat="1" ht="37.5" customHeight="1">
      <c r="A65" s="122"/>
      <c r="B65" s="135" t="s">
        <v>74</v>
      </c>
      <c r="C65" s="136" t="s">
        <v>3</v>
      </c>
      <c r="D65" s="121" t="s">
        <v>57</v>
      </c>
      <c r="E65" s="121" t="s">
        <v>92</v>
      </c>
      <c r="F65" s="734" t="s">
        <v>61</v>
      </c>
      <c r="G65" s="735" t="s">
        <v>65</v>
      </c>
      <c r="H65" s="735" t="s">
        <v>59</v>
      </c>
      <c r="I65" s="736" t="s">
        <v>64</v>
      </c>
      <c r="J65" s="121"/>
      <c r="K65" s="137">
        <f t="shared" ref="K65:M65" si="9">K66</f>
        <v>80.5</v>
      </c>
      <c r="L65" s="137">
        <f t="shared" si="9"/>
        <v>0</v>
      </c>
      <c r="M65" s="137">
        <f t="shared" si="9"/>
        <v>80.5</v>
      </c>
    </row>
    <row r="66" spans="1:13" s="351" customFormat="1" ht="18.75">
      <c r="A66" s="122"/>
      <c r="B66" s="135" t="s">
        <v>1018</v>
      </c>
      <c r="C66" s="136" t="s">
        <v>3</v>
      </c>
      <c r="D66" s="121" t="s">
        <v>57</v>
      </c>
      <c r="E66" s="121" t="s">
        <v>92</v>
      </c>
      <c r="F66" s="734" t="s">
        <v>61</v>
      </c>
      <c r="G66" s="735" t="s">
        <v>65</v>
      </c>
      <c r="H66" s="735" t="s">
        <v>59</v>
      </c>
      <c r="I66" s="736" t="s">
        <v>1017</v>
      </c>
      <c r="J66" s="121"/>
      <c r="K66" s="137">
        <f t="shared" ref="K66:M66" si="10">K67</f>
        <v>80.5</v>
      </c>
      <c r="L66" s="137">
        <f t="shared" si="10"/>
        <v>0</v>
      </c>
      <c r="M66" s="137">
        <f t="shared" si="10"/>
        <v>80.5</v>
      </c>
    </row>
    <row r="67" spans="1:13" s="351" customFormat="1" ht="37.5" customHeight="1">
      <c r="A67" s="122"/>
      <c r="B67" s="135" t="s">
        <v>75</v>
      </c>
      <c r="C67" s="136" t="s">
        <v>3</v>
      </c>
      <c r="D67" s="121" t="s">
        <v>57</v>
      </c>
      <c r="E67" s="121" t="s">
        <v>92</v>
      </c>
      <c r="F67" s="734" t="s">
        <v>61</v>
      </c>
      <c r="G67" s="735" t="s">
        <v>65</v>
      </c>
      <c r="H67" s="735" t="s">
        <v>59</v>
      </c>
      <c r="I67" s="736" t="s">
        <v>1017</v>
      </c>
      <c r="J67" s="121" t="s">
        <v>76</v>
      </c>
      <c r="K67" s="137">
        <v>80.5</v>
      </c>
      <c r="L67" s="137">
        <f>M67-K67</f>
        <v>0</v>
      </c>
      <c r="M67" s="137">
        <v>80.5</v>
      </c>
    </row>
    <row r="68" spans="1:13" s="351" customFormat="1" ht="18.75" customHeight="1">
      <c r="A68" s="122"/>
      <c r="B68" s="139" t="s">
        <v>83</v>
      </c>
      <c r="C68" s="136" t="s">
        <v>3</v>
      </c>
      <c r="D68" s="121" t="s">
        <v>57</v>
      </c>
      <c r="E68" s="121" t="s">
        <v>92</v>
      </c>
      <c r="F68" s="734" t="s">
        <v>61</v>
      </c>
      <c r="G68" s="735" t="s">
        <v>65</v>
      </c>
      <c r="H68" s="735" t="s">
        <v>84</v>
      </c>
      <c r="I68" s="736" t="s">
        <v>64</v>
      </c>
      <c r="J68" s="121"/>
      <c r="K68" s="137">
        <f t="shared" ref="K68:M68" si="11">K69</f>
        <v>1824.2</v>
      </c>
      <c r="L68" s="137">
        <f t="shared" si="11"/>
        <v>292.5</v>
      </c>
      <c r="M68" s="137">
        <f t="shared" si="11"/>
        <v>2116.7000000000003</v>
      </c>
    </row>
    <row r="69" spans="1:13" s="351" customFormat="1" ht="60" customHeight="1">
      <c r="A69" s="122"/>
      <c r="B69" s="139" t="s">
        <v>478</v>
      </c>
      <c r="C69" s="136" t="s">
        <v>3</v>
      </c>
      <c r="D69" s="121" t="s">
        <v>57</v>
      </c>
      <c r="E69" s="121" t="s">
        <v>92</v>
      </c>
      <c r="F69" s="734" t="s">
        <v>61</v>
      </c>
      <c r="G69" s="735" t="s">
        <v>65</v>
      </c>
      <c r="H69" s="735" t="s">
        <v>84</v>
      </c>
      <c r="I69" s="736" t="s">
        <v>477</v>
      </c>
      <c r="J69" s="121"/>
      <c r="K69" s="137">
        <f>K70+K71</f>
        <v>1824.2</v>
      </c>
      <c r="L69" s="137">
        <f>L70+L71</f>
        <v>292.5</v>
      </c>
      <c r="M69" s="137">
        <f>M70+M71</f>
        <v>2116.7000000000003</v>
      </c>
    </row>
    <row r="70" spans="1:13" s="351" customFormat="1" ht="56.25" customHeight="1">
      <c r="A70" s="122"/>
      <c r="B70" s="135" t="s">
        <v>75</v>
      </c>
      <c r="C70" s="136" t="s">
        <v>3</v>
      </c>
      <c r="D70" s="121" t="s">
        <v>57</v>
      </c>
      <c r="E70" s="121" t="s">
        <v>92</v>
      </c>
      <c r="F70" s="734" t="s">
        <v>61</v>
      </c>
      <c r="G70" s="735" t="s">
        <v>65</v>
      </c>
      <c r="H70" s="735" t="s">
        <v>84</v>
      </c>
      <c r="I70" s="736" t="s">
        <v>477</v>
      </c>
      <c r="J70" s="121" t="s">
        <v>76</v>
      </c>
      <c r="K70" s="137">
        <f>1000+124.2+127.7+122+19.5+200</f>
        <v>1593.4</v>
      </c>
      <c r="L70" s="137">
        <f>M70-K70</f>
        <v>292.5</v>
      </c>
      <c r="M70" s="137">
        <f>1000+124.2+127.7+122+19.5+200+77+215.5</f>
        <v>1885.9</v>
      </c>
    </row>
    <row r="71" spans="1:13" s="351" customFormat="1" ht="18.75">
      <c r="A71" s="122"/>
      <c r="B71" s="135" t="s">
        <v>77</v>
      </c>
      <c r="C71" s="136" t="s">
        <v>3</v>
      </c>
      <c r="D71" s="121" t="s">
        <v>57</v>
      </c>
      <c r="E71" s="121" t="s">
        <v>92</v>
      </c>
      <c r="F71" s="734" t="s">
        <v>61</v>
      </c>
      <c r="G71" s="735" t="s">
        <v>65</v>
      </c>
      <c r="H71" s="735" t="s">
        <v>84</v>
      </c>
      <c r="I71" s="736" t="s">
        <v>477</v>
      </c>
      <c r="J71" s="121" t="s">
        <v>78</v>
      </c>
      <c r="K71" s="137">
        <v>230.8</v>
      </c>
      <c r="L71" s="137">
        <f>M71-K71</f>
        <v>0</v>
      </c>
      <c r="M71" s="137">
        <v>230.8</v>
      </c>
    </row>
    <row r="72" spans="1:13" s="351" customFormat="1" ht="18.75" customHeight="1">
      <c r="A72" s="122"/>
      <c r="B72" s="135" t="s">
        <v>85</v>
      </c>
      <c r="C72" s="136" t="s">
        <v>3</v>
      </c>
      <c r="D72" s="121" t="s">
        <v>57</v>
      </c>
      <c r="E72" s="121" t="s">
        <v>92</v>
      </c>
      <c r="F72" s="734" t="s">
        <v>61</v>
      </c>
      <c r="G72" s="735" t="s">
        <v>65</v>
      </c>
      <c r="H72" s="735" t="s">
        <v>72</v>
      </c>
      <c r="I72" s="736" t="s">
        <v>64</v>
      </c>
      <c r="J72" s="121"/>
      <c r="K72" s="137">
        <f>K73+K75</f>
        <v>3270.4000000000005</v>
      </c>
      <c r="L72" s="137">
        <f>L73+L75</f>
        <v>602.39999999999986</v>
      </c>
      <c r="M72" s="137">
        <f>M73+M75</f>
        <v>3872.8</v>
      </c>
    </row>
    <row r="73" spans="1:13" s="351" customFormat="1" ht="58.5" customHeight="1">
      <c r="A73" s="122"/>
      <c r="B73" s="140" t="s">
        <v>429</v>
      </c>
      <c r="C73" s="136" t="s">
        <v>3</v>
      </c>
      <c r="D73" s="121" t="s">
        <v>57</v>
      </c>
      <c r="E73" s="121" t="s">
        <v>92</v>
      </c>
      <c r="F73" s="734" t="s">
        <v>61</v>
      </c>
      <c r="G73" s="735" t="s">
        <v>65</v>
      </c>
      <c r="H73" s="735" t="s">
        <v>72</v>
      </c>
      <c r="I73" s="736" t="s">
        <v>126</v>
      </c>
      <c r="J73" s="121"/>
      <c r="K73" s="137">
        <f>K74</f>
        <v>1213.3</v>
      </c>
      <c r="L73" s="137">
        <f>L74</f>
        <v>602.39999999999986</v>
      </c>
      <c r="M73" s="137">
        <f>M74</f>
        <v>1815.6999999999998</v>
      </c>
    </row>
    <row r="74" spans="1:13" s="351" customFormat="1" ht="56.25" customHeight="1">
      <c r="A74" s="122"/>
      <c r="B74" s="135" t="s">
        <v>75</v>
      </c>
      <c r="C74" s="136" t="s">
        <v>3</v>
      </c>
      <c r="D74" s="121" t="s">
        <v>57</v>
      </c>
      <c r="E74" s="121" t="s">
        <v>92</v>
      </c>
      <c r="F74" s="734" t="s">
        <v>61</v>
      </c>
      <c r="G74" s="735" t="s">
        <v>65</v>
      </c>
      <c r="H74" s="735" t="s">
        <v>72</v>
      </c>
      <c r="I74" s="736" t="s">
        <v>126</v>
      </c>
      <c r="J74" s="121" t="s">
        <v>76</v>
      </c>
      <c r="K74" s="137">
        <f>1213.3</f>
        <v>1213.3</v>
      </c>
      <c r="L74" s="137">
        <f>M74-K74</f>
        <v>602.39999999999986</v>
      </c>
      <c r="M74" s="137">
        <f>1213.3+602.4</f>
        <v>1815.6999999999998</v>
      </c>
    </row>
    <row r="75" spans="1:13" s="351" customFormat="1" ht="56.25" customHeight="1">
      <c r="A75" s="122"/>
      <c r="B75" s="135" t="s">
        <v>431</v>
      </c>
      <c r="C75" s="136" t="s">
        <v>3</v>
      </c>
      <c r="D75" s="121" t="s">
        <v>57</v>
      </c>
      <c r="E75" s="121" t="s">
        <v>92</v>
      </c>
      <c r="F75" s="734" t="s">
        <v>61</v>
      </c>
      <c r="G75" s="735" t="s">
        <v>65</v>
      </c>
      <c r="H75" s="735" t="s">
        <v>72</v>
      </c>
      <c r="I75" s="736" t="s">
        <v>430</v>
      </c>
      <c r="J75" s="121"/>
      <c r="K75" s="137">
        <f>K76</f>
        <v>2057.1000000000004</v>
      </c>
      <c r="L75" s="137">
        <f>L76</f>
        <v>0</v>
      </c>
      <c r="M75" s="137">
        <f>M76</f>
        <v>2057.1000000000004</v>
      </c>
    </row>
    <row r="76" spans="1:13" s="351" customFormat="1" ht="56.25" customHeight="1">
      <c r="A76" s="122"/>
      <c r="B76" s="135" t="s">
        <v>75</v>
      </c>
      <c r="C76" s="136" t="s">
        <v>3</v>
      </c>
      <c r="D76" s="121" t="s">
        <v>57</v>
      </c>
      <c r="E76" s="121" t="s">
        <v>92</v>
      </c>
      <c r="F76" s="734" t="s">
        <v>61</v>
      </c>
      <c r="G76" s="735" t="s">
        <v>65</v>
      </c>
      <c r="H76" s="735" t="s">
        <v>72</v>
      </c>
      <c r="I76" s="736" t="s">
        <v>430</v>
      </c>
      <c r="J76" s="121" t="s">
        <v>76</v>
      </c>
      <c r="K76" s="137">
        <f>1974.9+42.2+40</f>
        <v>2057.1000000000004</v>
      </c>
      <c r="L76" s="137">
        <f>M76-K76</f>
        <v>0</v>
      </c>
      <c r="M76" s="137">
        <f>1974.9+42.2+40</f>
        <v>2057.1000000000004</v>
      </c>
    </row>
    <row r="77" spans="1:13" s="351" customFormat="1" ht="35.450000000000003" customHeight="1">
      <c r="A77" s="122"/>
      <c r="B77" s="135" t="s">
        <v>897</v>
      </c>
      <c r="C77" s="136" t="s">
        <v>3</v>
      </c>
      <c r="D77" s="121" t="s">
        <v>57</v>
      </c>
      <c r="E77" s="121" t="s">
        <v>92</v>
      </c>
      <c r="F77" s="734" t="s">
        <v>61</v>
      </c>
      <c r="G77" s="735" t="s">
        <v>65</v>
      </c>
      <c r="H77" s="735" t="s">
        <v>92</v>
      </c>
      <c r="I77" s="736" t="s">
        <v>64</v>
      </c>
      <c r="J77" s="121"/>
      <c r="K77" s="137">
        <f t="shared" ref="K77:M78" si="12">K78</f>
        <v>1332.1</v>
      </c>
      <c r="L77" s="137">
        <f t="shared" si="12"/>
        <v>0</v>
      </c>
      <c r="M77" s="137">
        <f t="shared" si="12"/>
        <v>1332.1</v>
      </c>
    </row>
    <row r="78" spans="1:13" s="351" customFormat="1" ht="34.5" customHeight="1">
      <c r="A78" s="122"/>
      <c r="B78" s="135" t="s">
        <v>898</v>
      </c>
      <c r="C78" s="136" t="s">
        <v>3</v>
      </c>
      <c r="D78" s="121" t="s">
        <v>57</v>
      </c>
      <c r="E78" s="121" t="s">
        <v>92</v>
      </c>
      <c r="F78" s="734" t="s">
        <v>61</v>
      </c>
      <c r="G78" s="735" t="s">
        <v>65</v>
      </c>
      <c r="H78" s="735" t="s">
        <v>92</v>
      </c>
      <c r="I78" s="736" t="s">
        <v>899</v>
      </c>
      <c r="J78" s="121"/>
      <c r="K78" s="137">
        <f t="shared" si="12"/>
        <v>1332.1</v>
      </c>
      <c r="L78" s="137">
        <f t="shared" si="12"/>
        <v>0</v>
      </c>
      <c r="M78" s="137">
        <f t="shared" si="12"/>
        <v>1332.1</v>
      </c>
    </row>
    <row r="79" spans="1:13" s="351" customFormat="1" ht="56.25" customHeight="1">
      <c r="A79" s="122"/>
      <c r="B79" s="135" t="s">
        <v>75</v>
      </c>
      <c r="C79" s="136" t="s">
        <v>3</v>
      </c>
      <c r="D79" s="121" t="s">
        <v>57</v>
      </c>
      <c r="E79" s="121" t="s">
        <v>92</v>
      </c>
      <c r="F79" s="734" t="s">
        <v>61</v>
      </c>
      <c r="G79" s="735" t="s">
        <v>65</v>
      </c>
      <c r="H79" s="735" t="s">
        <v>92</v>
      </c>
      <c r="I79" s="736" t="s">
        <v>899</v>
      </c>
      <c r="J79" s="121" t="s">
        <v>76</v>
      </c>
      <c r="K79" s="137">
        <v>1332.1</v>
      </c>
      <c r="L79" s="137">
        <f>M79-K79</f>
        <v>0</v>
      </c>
      <c r="M79" s="137">
        <v>1332.1</v>
      </c>
    </row>
    <row r="80" spans="1:13" s="351" customFormat="1" ht="35.25" customHeight="1">
      <c r="A80" s="122"/>
      <c r="B80" s="135" t="s">
        <v>811</v>
      </c>
      <c r="C80" s="136" t="s">
        <v>3</v>
      </c>
      <c r="D80" s="121" t="s">
        <v>57</v>
      </c>
      <c r="E80" s="121" t="s">
        <v>92</v>
      </c>
      <c r="F80" s="734" t="s">
        <v>61</v>
      </c>
      <c r="G80" s="735" t="s">
        <v>65</v>
      </c>
      <c r="H80" s="735" t="s">
        <v>585</v>
      </c>
      <c r="I80" s="736" t="s">
        <v>64</v>
      </c>
      <c r="J80" s="121"/>
      <c r="K80" s="137">
        <f t="shared" ref="K80:M81" si="13">K81</f>
        <v>145.6</v>
      </c>
      <c r="L80" s="137">
        <f t="shared" si="13"/>
        <v>0</v>
      </c>
      <c r="M80" s="137">
        <f t="shared" si="13"/>
        <v>145.6</v>
      </c>
    </row>
    <row r="81" spans="1:13" s="351" customFormat="1" ht="39" customHeight="1">
      <c r="A81" s="122"/>
      <c r="B81" s="140" t="s">
        <v>812</v>
      </c>
      <c r="C81" s="136" t="s">
        <v>3</v>
      </c>
      <c r="D81" s="121" t="s">
        <v>57</v>
      </c>
      <c r="E81" s="121" t="s">
        <v>92</v>
      </c>
      <c r="F81" s="734" t="s">
        <v>61</v>
      </c>
      <c r="G81" s="735" t="s">
        <v>65</v>
      </c>
      <c r="H81" s="735" t="s">
        <v>585</v>
      </c>
      <c r="I81" s="736" t="s">
        <v>111</v>
      </c>
      <c r="J81" s="121"/>
      <c r="K81" s="137">
        <f t="shared" si="13"/>
        <v>145.6</v>
      </c>
      <c r="L81" s="137">
        <f t="shared" si="13"/>
        <v>0</v>
      </c>
      <c r="M81" s="137">
        <f t="shared" si="13"/>
        <v>145.6</v>
      </c>
    </row>
    <row r="82" spans="1:13" s="351" customFormat="1" ht="56.25" customHeight="1">
      <c r="A82" s="122"/>
      <c r="B82" s="135" t="s">
        <v>75</v>
      </c>
      <c r="C82" s="136" t="s">
        <v>3</v>
      </c>
      <c r="D82" s="121" t="s">
        <v>57</v>
      </c>
      <c r="E82" s="121" t="s">
        <v>92</v>
      </c>
      <c r="F82" s="734" t="s">
        <v>61</v>
      </c>
      <c r="G82" s="735" t="s">
        <v>65</v>
      </c>
      <c r="H82" s="735" t="s">
        <v>585</v>
      </c>
      <c r="I82" s="736" t="s">
        <v>111</v>
      </c>
      <c r="J82" s="121" t="s">
        <v>76</v>
      </c>
      <c r="K82" s="137">
        <f>148-2.4</f>
        <v>145.6</v>
      </c>
      <c r="L82" s="137">
        <f>M82-K82</f>
        <v>0</v>
      </c>
      <c r="M82" s="137">
        <f>148-2.4</f>
        <v>145.6</v>
      </c>
    </row>
    <row r="83" spans="1:13" s="351" customFormat="1" ht="35.25" customHeight="1">
      <c r="A83" s="122"/>
      <c r="B83" s="135" t="s">
        <v>799</v>
      </c>
      <c r="C83" s="136" t="s">
        <v>3</v>
      </c>
      <c r="D83" s="121" t="s">
        <v>57</v>
      </c>
      <c r="E83" s="121" t="s">
        <v>92</v>
      </c>
      <c r="F83" s="734" t="s">
        <v>61</v>
      </c>
      <c r="G83" s="735" t="s">
        <v>65</v>
      </c>
      <c r="H83" s="735" t="s">
        <v>61</v>
      </c>
      <c r="I83" s="736" t="s">
        <v>64</v>
      </c>
      <c r="J83" s="121"/>
      <c r="K83" s="137">
        <f t="shared" ref="K83:M84" si="14">K84</f>
        <v>124.6</v>
      </c>
      <c r="L83" s="137">
        <f t="shared" si="14"/>
        <v>0</v>
      </c>
      <c r="M83" s="137">
        <f t="shared" si="14"/>
        <v>124.6</v>
      </c>
    </row>
    <row r="84" spans="1:13" s="351" customFormat="1" ht="25.5" customHeight="1">
      <c r="A84" s="122"/>
      <c r="B84" s="140" t="s">
        <v>797</v>
      </c>
      <c r="C84" s="136" t="s">
        <v>3</v>
      </c>
      <c r="D84" s="121" t="s">
        <v>57</v>
      </c>
      <c r="E84" s="121" t="s">
        <v>92</v>
      </c>
      <c r="F84" s="734" t="s">
        <v>61</v>
      </c>
      <c r="G84" s="735" t="s">
        <v>65</v>
      </c>
      <c r="H84" s="735" t="s">
        <v>61</v>
      </c>
      <c r="I84" s="736" t="s">
        <v>798</v>
      </c>
      <c r="J84" s="121"/>
      <c r="K84" s="137">
        <f t="shared" si="14"/>
        <v>124.6</v>
      </c>
      <c r="L84" s="137">
        <f t="shared" si="14"/>
        <v>0</v>
      </c>
      <c r="M84" s="137">
        <f t="shared" si="14"/>
        <v>124.6</v>
      </c>
    </row>
    <row r="85" spans="1:13" s="351" customFormat="1" ht="56.25" customHeight="1">
      <c r="A85" s="122"/>
      <c r="B85" s="135" t="s">
        <v>75</v>
      </c>
      <c r="C85" s="136" t="s">
        <v>3</v>
      </c>
      <c r="D85" s="121" t="s">
        <v>57</v>
      </c>
      <c r="E85" s="121" t="s">
        <v>92</v>
      </c>
      <c r="F85" s="734" t="s">
        <v>61</v>
      </c>
      <c r="G85" s="735" t="s">
        <v>65</v>
      </c>
      <c r="H85" s="735" t="s">
        <v>61</v>
      </c>
      <c r="I85" s="736" t="s">
        <v>798</v>
      </c>
      <c r="J85" s="121" t="s">
        <v>76</v>
      </c>
      <c r="K85" s="137">
        <f>37.4+84.8+2.4</f>
        <v>124.6</v>
      </c>
      <c r="L85" s="137">
        <f>M85-K85</f>
        <v>0</v>
      </c>
      <c r="M85" s="137">
        <f>37.4+84.8+2.4</f>
        <v>124.6</v>
      </c>
    </row>
    <row r="86" spans="1:13" s="351" customFormat="1" ht="37.5" customHeight="1">
      <c r="A86" s="122"/>
      <c r="B86" s="135" t="s">
        <v>464</v>
      </c>
      <c r="C86" s="136" t="s">
        <v>3</v>
      </c>
      <c r="D86" s="121" t="s">
        <v>57</v>
      </c>
      <c r="E86" s="121" t="s">
        <v>92</v>
      </c>
      <c r="F86" s="734" t="s">
        <v>61</v>
      </c>
      <c r="G86" s="735" t="s">
        <v>65</v>
      </c>
      <c r="H86" s="735" t="s">
        <v>992</v>
      </c>
      <c r="I86" s="736" t="s">
        <v>64</v>
      </c>
      <c r="J86" s="121"/>
      <c r="K86" s="137">
        <f t="shared" ref="K86:M87" si="15">K87</f>
        <v>95</v>
      </c>
      <c r="L86" s="137">
        <f t="shared" si="15"/>
        <v>0</v>
      </c>
      <c r="M86" s="137">
        <f t="shared" si="15"/>
        <v>95</v>
      </c>
    </row>
    <row r="87" spans="1:13" s="351" customFormat="1" ht="37.5" customHeight="1">
      <c r="A87" s="122"/>
      <c r="B87" s="135" t="s">
        <v>402</v>
      </c>
      <c r="C87" s="136" t="s">
        <v>3</v>
      </c>
      <c r="D87" s="121" t="s">
        <v>57</v>
      </c>
      <c r="E87" s="121" t="s">
        <v>92</v>
      </c>
      <c r="F87" s="734" t="s">
        <v>61</v>
      </c>
      <c r="G87" s="735" t="s">
        <v>65</v>
      </c>
      <c r="H87" s="735" t="s">
        <v>992</v>
      </c>
      <c r="I87" s="736" t="s">
        <v>401</v>
      </c>
      <c r="J87" s="121"/>
      <c r="K87" s="137">
        <f t="shared" si="15"/>
        <v>95</v>
      </c>
      <c r="L87" s="137">
        <f t="shared" si="15"/>
        <v>0</v>
      </c>
      <c r="M87" s="137">
        <f t="shared" si="15"/>
        <v>95</v>
      </c>
    </row>
    <row r="88" spans="1:13" s="351" customFormat="1" ht="18.75" customHeight="1">
      <c r="A88" s="122"/>
      <c r="B88" s="135" t="s">
        <v>77</v>
      </c>
      <c r="C88" s="136" t="s">
        <v>3</v>
      </c>
      <c r="D88" s="121" t="s">
        <v>57</v>
      </c>
      <c r="E88" s="121" t="s">
        <v>92</v>
      </c>
      <c r="F88" s="734" t="s">
        <v>61</v>
      </c>
      <c r="G88" s="735" t="s">
        <v>65</v>
      </c>
      <c r="H88" s="735" t="s">
        <v>992</v>
      </c>
      <c r="I88" s="736" t="s">
        <v>401</v>
      </c>
      <c r="J88" s="121" t="s">
        <v>78</v>
      </c>
      <c r="K88" s="137">
        <f>50+45</f>
        <v>95</v>
      </c>
      <c r="L88" s="137">
        <f>M88-K88</f>
        <v>0</v>
      </c>
      <c r="M88" s="137">
        <f>50+45</f>
        <v>95</v>
      </c>
    </row>
    <row r="89" spans="1:13" s="351" customFormat="1" ht="37.5" customHeight="1">
      <c r="A89" s="122"/>
      <c r="B89" s="135" t="s">
        <v>99</v>
      </c>
      <c r="C89" s="136" t="s">
        <v>3</v>
      </c>
      <c r="D89" s="121" t="s">
        <v>84</v>
      </c>
      <c r="E89" s="121"/>
      <c r="F89" s="734"/>
      <c r="G89" s="735"/>
      <c r="H89" s="735"/>
      <c r="I89" s="736"/>
      <c r="J89" s="121"/>
      <c r="K89" s="137">
        <f>K90+K102</f>
        <v>15099.600000000002</v>
      </c>
      <c r="L89" s="137">
        <f>L90+L102</f>
        <v>1427.7999999999997</v>
      </c>
      <c r="M89" s="137">
        <f>M90+M102</f>
        <v>16527.399999999998</v>
      </c>
    </row>
    <row r="90" spans="1:13" s="351" customFormat="1" ht="72.75" customHeight="1">
      <c r="A90" s="122"/>
      <c r="B90" s="135" t="s">
        <v>792</v>
      </c>
      <c r="C90" s="136" t="s">
        <v>3</v>
      </c>
      <c r="D90" s="121" t="s">
        <v>84</v>
      </c>
      <c r="E90" s="121" t="s">
        <v>125</v>
      </c>
      <c r="F90" s="734"/>
      <c r="G90" s="735"/>
      <c r="H90" s="735"/>
      <c r="I90" s="736"/>
      <c r="J90" s="121"/>
      <c r="K90" s="137">
        <f>K91</f>
        <v>4033.3</v>
      </c>
      <c r="L90" s="137">
        <f>L91</f>
        <v>0</v>
      </c>
      <c r="M90" s="137">
        <f>M91</f>
        <v>4033.3</v>
      </c>
    </row>
    <row r="91" spans="1:13" s="351" customFormat="1" ht="57" customHeight="1">
      <c r="A91" s="122"/>
      <c r="B91" s="135" t="s">
        <v>101</v>
      </c>
      <c r="C91" s="136" t="s">
        <v>3</v>
      </c>
      <c r="D91" s="121" t="s">
        <v>84</v>
      </c>
      <c r="E91" s="121" t="s">
        <v>125</v>
      </c>
      <c r="F91" s="734" t="s">
        <v>102</v>
      </c>
      <c r="G91" s="735" t="s">
        <v>62</v>
      </c>
      <c r="H91" s="735" t="s">
        <v>63</v>
      </c>
      <c r="I91" s="736" t="s">
        <v>64</v>
      </c>
      <c r="J91" s="121"/>
      <c r="K91" s="137">
        <f t="shared" ref="K91:M91" si="16">K92</f>
        <v>4033.3</v>
      </c>
      <c r="L91" s="137">
        <f t="shared" si="16"/>
        <v>0</v>
      </c>
      <c r="M91" s="137">
        <f t="shared" si="16"/>
        <v>4033.3</v>
      </c>
    </row>
    <row r="92" spans="1:13" s="351" customFormat="1" ht="58.5" customHeight="1">
      <c r="A92" s="122"/>
      <c r="B92" s="141" t="s">
        <v>103</v>
      </c>
      <c r="C92" s="136" t="s">
        <v>3</v>
      </c>
      <c r="D92" s="121" t="s">
        <v>84</v>
      </c>
      <c r="E92" s="121" t="s">
        <v>125</v>
      </c>
      <c r="F92" s="734" t="s">
        <v>102</v>
      </c>
      <c r="G92" s="735" t="s">
        <v>65</v>
      </c>
      <c r="H92" s="735" t="s">
        <v>63</v>
      </c>
      <c r="I92" s="736" t="s">
        <v>64</v>
      </c>
      <c r="J92" s="121"/>
      <c r="K92" s="137">
        <f>K93</f>
        <v>4033.3</v>
      </c>
      <c r="L92" s="137">
        <f>L93</f>
        <v>0</v>
      </c>
      <c r="M92" s="137">
        <f>M93</f>
        <v>4033.3</v>
      </c>
    </row>
    <row r="93" spans="1:13" s="351" customFormat="1" ht="78.75" customHeight="1">
      <c r="A93" s="122"/>
      <c r="B93" s="135" t="s">
        <v>104</v>
      </c>
      <c r="C93" s="136" t="s">
        <v>3</v>
      </c>
      <c r="D93" s="121" t="s">
        <v>84</v>
      </c>
      <c r="E93" s="121" t="s">
        <v>125</v>
      </c>
      <c r="F93" s="734" t="s">
        <v>102</v>
      </c>
      <c r="G93" s="735" t="s">
        <v>65</v>
      </c>
      <c r="H93" s="735" t="s">
        <v>57</v>
      </c>
      <c r="I93" s="736" t="s">
        <v>64</v>
      </c>
      <c r="J93" s="121"/>
      <c r="K93" s="137">
        <f t="shared" ref="K93" si="17">K94+K96+K98+K101</f>
        <v>4033.3</v>
      </c>
      <c r="L93" s="137">
        <f t="shared" ref="L93" si="18">L94+L96+L98+L101</f>
        <v>0</v>
      </c>
      <c r="M93" s="137">
        <f t="shared" ref="M93" si="19">M94+M96+M98+M101</f>
        <v>4033.3</v>
      </c>
    </row>
    <row r="94" spans="1:13" s="351" customFormat="1" ht="37.5" customHeight="1">
      <c r="A94" s="122"/>
      <c r="B94" s="141" t="s">
        <v>756</v>
      </c>
      <c r="C94" s="136" t="s">
        <v>3</v>
      </c>
      <c r="D94" s="121" t="s">
        <v>84</v>
      </c>
      <c r="E94" s="121" t="s">
        <v>125</v>
      </c>
      <c r="F94" s="734" t="s">
        <v>102</v>
      </c>
      <c r="G94" s="735" t="s">
        <v>65</v>
      </c>
      <c r="H94" s="735" t="s">
        <v>57</v>
      </c>
      <c r="I94" s="736" t="s">
        <v>105</v>
      </c>
      <c r="J94" s="121"/>
      <c r="K94" s="137">
        <f>K95</f>
        <v>742.7</v>
      </c>
      <c r="L94" s="137">
        <f>L95</f>
        <v>0</v>
      </c>
      <c r="M94" s="137">
        <f>M95</f>
        <v>742.7</v>
      </c>
    </row>
    <row r="95" spans="1:13" s="351" customFormat="1" ht="56.25" customHeight="1">
      <c r="A95" s="122"/>
      <c r="B95" s="135" t="s">
        <v>75</v>
      </c>
      <c r="C95" s="136" t="s">
        <v>3</v>
      </c>
      <c r="D95" s="121" t="s">
        <v>84</v>
      </c>
      <c r="E95" s="121" t="s">
        <v>125</v>
      </c>
      <c r="F95" s="734" t="s">
        <v>102</v>
      </c>
      <c r="G95" s="735" t="s">
        <v>65</v>
      </c>
      <c r="H95" s="735" t="s">
        <v>57</v>
      </c>
      <c r="I95" s="736" t="s">
        <v>105</v>
      </c>
      <c r="J95" s="121" t="s">
        <v>76</v>
      </c>
      <c r="K95" s="137">
        <f>298.4+444.3</f>
        <v>742.7</v>
      </c>
      <c r="L95" s="137">
        <f>M95-K95</f>
        <v>0</v>
      </c>
      <c r="M95" s="137">
        <f>298.4+444.3</f>
        <v>742.7</v>
      </c>
    </row>
    <row r="96" spans="1:13" s="351" customFormat="1" ht="56.25" customHeight="1">
      <c r="A96" s="122"/>
      <c r="B96" s="135" t="s">
        <v>106</v>
      </c>
      <c r="C96" s="136" t="s">
        <v>3</v>
      </c>
      <c r="D96" s="121" t="s">
        <v>84</v>
      </c>
      <c r="E96" s="121" t="s">
        <v>125</v>
      </c>
      <c r="F96" s="734" t="s">
        <v>102</v>
      </c>
      <c r="G96" s="735" t="s">
        <v>65</v>
      </c>
      <c r="H96" s="735" t="s">
        <v>57</v>
      </c>
      <c r="I96" s="736" t="s">
        <v>107</v>
      </c>
      <c r="J96" s="121"/>
      <c r="K96" s="137">
        <f>K97</f>
        <v>203</v>
      </c>
      <c r="L96" s="137">
        <f>L97</f>
        <v>0</v>
      </c>
      <c r="M96" s="137">
        <f>M97</f>
        <v>203</v>
      </c>
    </row>
    <row r="97" spans="1:13" s="351" customFormat="1" ht="56.25" customHeight="1">
      <c r="A97" s="122"/>
      <c r="B97" s="135" t="s">
        <v>75</v>
      </c>
      <c r="C97" s="136" t="s">
        <v>3</v>
      </c>
      <c r="D97" s="121" t="s">
        <v>84</v>
      </c>
      <c r="E97" s="121" t="s">
        <v>125</v>
      </c>
      <c r="F97" s="734" t="s">
        <v>102</v>
      </c>
      <c r="G97" s="735" t="s">
        <v>65</v>
      </c>
      <c r="H97" s="735" t="s">
        <v>57</v>
      </c>
      <c r="I97" s="736" t="s">
        <v>107</v>
      </c>
      <c r="J97" s="121" t="s">
        <v>76</v>
      </c>
      <c r="K97" s="137">
        <v>203</v>
      </c>
      <c r="L97" s="137">
        <f>M97-K97</f>
        <v>0</v>
      </c>
      <c r="M97" s="137">
        <v>203</v>
      </c>
    </row>
    <row r="98" spans="1:13" s="351" customFormat="1" ht="94.5" customHeight="1">
      <c r="A98" s="122"/>
      <c r="B98" s="135" t="s">
        <v>405</v>
      </c>
      <c r="C98" s="136" t="s">
        <v>3</v>
      </c>
      <c r="D98" s="121" t="s">
        <v>84</v>
      </c>
      <c r="E98" s="121" t="s">
        <v>125</v>
      </c>
      <c r="F98" s="734" t="s">
        <v>102</v>
      </c>
      <c r="G98" s="735" t="s">
        <v>65</v>
      </c>
      <c r="H98" s="735" t="s">
        <v>57</v>
      </c>
      <c r="I98" s="736" t="s">
        <v>393</v>
      </c>
      <c r="J98" s="121"/>
      <c r="K98" s="137">
        <f>K99</f>
        <v>3075.3</v>
      </c>
      <c r="L98" s="137">
        <f>L99</f>
        <v>0</v>
      </c>
      <c r="M98" s="137">
        <f>M99</f>
        <v>3075.3</v>
      </c>
    </row>
    <row r="99" spans="1:13" s="351" customFormat="1" ht="18.75" customHeight="1">
      <c r="A99" s="122"/>
      <c r="B99" s="135" t="s">
        <v>144</v>
      </c>
      <c r="C99" s="136" t="s">
        <v>3</v>
      </c>
      <c r="D99" s="121" t="s">
        <v>84</v>
      </c>
      <c r="E99" s="121" t="s">
        <v>125</v>
      </c>
      <c r="F99" s="734" t="s">
        <v>102</v>
      </c>
      <c r="G99" s="735" t="s">
        <v>65</v>
      </c>
      <c r="H99" s="735" t="s">
        <v>57</v>
      </c>
      <c r="I99" s="736" t="s">
        <v>393</v>
      </c>
      <c r="J99" s="121" t="s">
        <v>145</v>
      </c>
      <c r="K99" s="137">
        <v>3075.3</v>
      </c>
      <c r="L99" s="137">
        <f>M99-K99</f>
        <v>0</v>
      </c>
      <c r="M99" s="137">
        <v>3075.3</v>
      </c>
    </row>
    <row r="100" spans="1:13" s="351" customFormat="1" ht="131.25" customHeight="1">
      <c r="A100" s="122"/>
      <c r="B100" s="135" t="s">
        <v>407</v>
      </c>
      <c r="C100" s="136" t="s">
        <v>3</v>
      </c>
      <c r="D100" s="121" t="s">
        <v>84</v>
      </c>
      <c r="E100" s="121" t="s">
        <v>125</v>
      </c>
      <c r="F100" s="734" t="s">
        <v>102</v>
      </c>
      <c r="G100" s="735" t="s">
        <v>65</v>
      </c>
      <c r="H100" s="735" t="s">
        <v>57</v>
      </c>
      <c r="I100" s="736" t="s">
        <v>394</v>
      </c>
      <c r="J100" s="121"/>
      <c r="K100" s="137">
        <f>K101</f>
        <v>12.3</v>
      </c>
      <c r="L100" s="137">
        <f>L101</f>
        <v>0</v>
      </c>
      <c r="M100" s="137">
        <f>M101</f>
        <v>12.3</v>
      </c>
    </row>
    <row r="101" spans="1:13" s="351" customFormat="1" ht="18.75" customHeight="1">
      <c r="A101" s="122"/>
      <c r="B101" s="135" t="s">
        <v>144</v>
      </c>
      <c r="C101" s="136" t="s">
        <v>3</v>
      </c>
      <c r="D101" s="121" t="s">
        <v>84</v>
      </c>
      <c r="E101" s="121" t="s">
        <v>125</v>
      </c>
      <c r="F101" s="734" t="s">
        <v>102</v>
      </c>
      <c r="G101" s="735" t="s">
        <v>65</v>
      </c>
      <c r="H101" s="735" t="s">
        <v>57</v>
      </c>
      <c r="I101" s="736" t="s">
        <v>394</v>
      </c>
      <c r="J101" s="121" t="s">
        <v>145</v>
      </c>
      <c r="K101" s="137">
        <v>12.3</v>
      </c>
      <c r="L101" s="137">
        <f>M101-K101</f>
        <v>0</v>
      </c>
      <c r="M101" s="137">
        <v>12.3</v>
      </c>
    </row>
    <row r="102" spans="1:13" s="351" customFormat="1" ht="56.25" customHeight="1">
      <c r="A102" s="122"/>
      <c r="B102" s="140" t="s">
        <v>108</v>
      </c>
      <c r="C102" s="136" t="s">
        <v>3</v>
      </c>
      <c r="D102" s="121" t="s">
        <v>84</v>
      </c>
      <c r="E102" s="121" t="s">
        <v>109</v>
      </c>
      <c r="F102" s="734"/>
      <c r="G102" s="735"/>
      <c r="H102" s="735"/>
      <c r="I102" s="736"/>
      <c r="J102" s="121"/>
      <c r="K102" s="137">
        <f>K103</f>
        <v>11066.300000000001</v>
      </c>
      <c r="L102" s="137">
        <f>L103</f>
        <v>1427.7999999999997</v>
      </c>
      <c r="M102" s="137">
        <f>M103</f>
        <v>12494.099999999999</v>
      </c>
    </row>
    <row r="103" spans="1:13" s="351" customFormat="1" ht="60.75" customHeight="1">
      <c r="A103" s="122"/>
      <c r="B103" s="135" t="s">
        <v>101</v>
      </c>
      <c r="C103" s="136" t="s">
        <v>3</v>
      </c>
      <c r="D103" s="121" t="s">
        <v>84</v>
      </c>
      <c r="E103" s="121" t="s">
        <v>109</v>
      </c>
      <c r="F103" s="734" t="s">
        <v>102</v>
      </c>
      <c r="G103" s="735" t="s">
        <v>62</v>
      </c>
      <c r="H103" s="735" t="s">
        <v>63</v>
      </c>
      <c r="I103" s="736" t="s">
        <v>64</v>
      </c>
      <c r="J103" s="121"/>
      <c r="K103" s="137">
        <f>K104+K113+K122</f>
        <v>11066.300000000001</v>
      </c>
      <c r="L103" s="137">
        <f>L104+L113+L122</f>
        <v>1427.7999999999997</v>
      </c>
      <c r="M103" s="137">
        <f>M104+M113+M122</f>
        <v>12494.099999999999</v>
      </c>
    </row>
    <row r="104" spans="1:13" s="351" customFormat="1" ht="37.5" customHeight="1">
      <c r="A104" s="122"/>
      <c r="B104" s="140" t="s">
        <v>146</v>
      </c>
      <c r="C104" s="136" t="s">
        <v>3</v>
      </c>
      <c r="D104" s="121" t="s">
        <v>84</v>
      </c>
      <c r="E104" s="121" t="s">
        <v>109</v>
      </c>
      <c r="F104" s="734" t="s">
        <v>102</v>
      </c>
      <c r="G104" s="735" t="s">
        <v>110</v>
      </c>
      <c r="H104" s="735" t="s">
        <v>63</v>
      </c>
      <c r="I104" s="736" t="s">
        <v>64</v>
      </c>
      <c r="J104" s="121"/>
      <c r="K104" s="137">
        <f>K110+K105</f>
        <v>384.4</v>
      </c>
      <c r="L104" s="137">
        <f>L110+L105</f>
        <v>0</v>
      </c>
      <c r="M104" s="137">
        <f>M110+M105</f>
        <v>384.4</v>
      </c>
    </row>
    <row r="105" spans="1:13" s="351" customFormat="1" ht="44.25" customHeight="1">
      <c r="A105" s="122"/>
      <c r="B105" s="140" t="s">
        <v>311</v>
      </c>
      <c r="C105" s="136" t="s">
        <v>3</v>
      </c>
      <c r="D105" s="121" t="s">
        <v>84</v>
      </c>
      <c r="E105" s="121" t="s">
        <v>109</v>
      </c>
      <c r="F105" s="734" t="s">
        <v>102</v>
      </c>
      <c r="G105" s="735" t="s">
        <v>110</v>
      </c>
      <c r="H105" s="735" t="s">
        <v>57</v>
      </c>
      <c r="I105" s="736" t="s">
        <v>64</v>
      </c>
      <c r="J105" s="121"/>
      <c r="K105" s="137">
        <f>K108+K106</f>
        <v>143.69999999999999</v>
      </c>
      <c r="L105" s="137">
        <f>L108+L106</f>
        <v>0</v>
      </c>
      <c r="M105" s="137">
        <f>M108+M106</f>
        <v>143.69999999999999</v>
      </c>
    </row>
    <row r="106" spans="1:13" s="351" customFormat="1" ht="37.5" customHeight="1">
      <c r="A106" s="122"/>
      <c r="B106" s="138" t="s">
        <v>148</v>
      </c>
      <c r="C106" s="136" t="s">
        <v>3</v>
      </c>
      <c r="D106" s="121" t="s">
        <v>84</v>
      </c>
      <c r="E106" s="121" t="s">
        <v>109</v>
      </c>
      <c r="F106" s="734" t="s">
        <v>102</v>
      </c>
      <c r="G106" s="735" t="s">
        <v>110</v>
      </c>
      <c r="H106" s="735" t="s">
        <v>57</v>
      </c>
      <c r="I106" s="736" t="s">
        <v>111</v>
      </c>
      <c r="J106" s="121"/>
      <c r="K106" s="137">
        <f>K107</f>
        <v>21.6</v>
      </c>
      <c r="L106" s="137">
        <f>L107</f>
        <v>0</v>
      </c>
      <c r="M106" s="137">
        <f>M107</f>
        <v>21.6</v>
      </c>
    </row>
    <row r="107" spans="1:13" s="351" customFormat="1" ht="56.25" customHeight="1">
      <c r="A107" s="122"/>
      <c r="B107" s="135" t="s">
        <v>75</v>
      </c>
      <c r="C107" s="136" t="s">
        <v>3</v>
      </c>
      <c r="D107" s="121" t="s">
        <v>84</v>
      </c>
      <c r="E107" s="121" t="s">
        <v>109</v>
      </c>
      <c r="F107" s="734" t="s">
        <v>102</v>
      </c>
      <c r="G107" s="735" t="s">
        <v>110</v>
      </c>
      <c r="H107" s="735" t="s">
        <v>57</v>
      </c>
      <c r="I107" s="736" t="s">
        <v>111</v>
      </c>
      <c r="J107" s="121" t="s">
        <v>76</v>
      </c>
      <c r="K107" s="137">
        <v>21.6</v>
      </c>
      <c r="L107" s="137">
        <f>M107-K107</f>
        <v>0</v>
      </c>
      <c r="M107" s="137">
        <v>21.6</v>
      </c>
    </row>
    <row r="108" spans="1:13" s="351" customFormat="1" ht="107.45" customHeight="1">
      <c r="A108" s="122"/>
      <c r="B108" s="140" t="s">
        <v>406</v>
      </c>
      <c r="C108" s="136" t="s">
        <v>3</v>
      </c>
      <c r="D108" s="121" t="s">
        <v>84</v>
      </c>
      <c r="E108" s="121" t="s">
        <v>109</v>
      </c>
      <c r="F108" s="734" t="s">
        <v>102</v>
      </c>
      <c r="G108" s="735" t="s">
        <v>110</v>
      </c>
      <c r="H108" s="735" t="s">
        <v>57</v>
      </c>
      <c r="I108" s="736" t="s">
        <v>395</v>
      </c>
      <c r="J108" s="121"/>
      <c r="K108" s="137">
        <f>K109</f>
        <v>122.1</v>
      </c>
      <c r="L108" s="137">
        <f>L109</f>
        <v>0</v>
      </c>
      <c r="M108" s="137">
        <f>M109</f>
        <v>122.1</v>
      </c>
    </row>
    <row r="109" spans="1:13" s="351" customFormat="1" ht="18.75" customHeight="1">
      <c r="A109" s="122"/>
      <c r="B109" s="140" t="s">
        <v>144</v>
      </c>
      <c r="C109" s="136" t="s">
        <v>3</v>
      </c>
      <c r="D109" s="121" t="s">
        <v>84</v>
      </c>
      <c r="E109" s="121" t="s">
        <v>109</v>
      </c>
      <c r="F109" s="734" t="s">
        <v>102</v>
      </c>
      <c r="G109" s="735" t="s">
        <v>110</v>
      </c>
      <c r="H109" s="735" t="s">
        <v>57</v>
      </c>
      <c r="I109" s="736" t="s">
        <v>395</v>
      </c>
      <c r="J109" s="121" t="s">
        <v>145</v>
      </c>
      <c r="K109" s="137">
        <v>122.1</v>
      </c>
      <c r="L109" s="137">
        <f>M109-K109</f>
        <v>0</v>
      </c>
      <c r="M109" s="137">
        <v>122.1</v>
      </c>
    </row>
    <row r="110" spans="1:13" s="351" customFormat="1" ht="56.25" customHeight="1">
      <c r="A110" s="122"/>
      <c r="B110" s="138" t="s">
        <v>147</v>
      </c>
      <c r="C110" s="136" t="s">
        <v>3</v>
      </c>
      <c r="D110" s="121" t="s">
        <v>84</v>
      </c>
      <c r="E110" s="121" t="s">
        <v>109</v>
      </c>
      <c r="F110" s="734" t="s">
        <v>102</v>
      </c>
      <c r="G110" s="735" t="s">
        <v>110</v>
      </c>
      <c r="H110" s="735" t="s">
        <v>59</v>
      </c>
      <c r="I110" s="736" t="s">
        <v>64</v>
      </c>
      <c r="J110" s="121"/>
      <c r="K110" s="137">
        <f t="shared" ref="K110:M111" si="20">K111</f>
        <v>240.7</v>
      </c>
      <c r="L110" s="137">
        <f t="shared" si="20"/>
        <v>0</v>
      </c>
      <c r="M110" s="137">
        <f t="shared" si="20"/>
        <v>240.7</v>
      </c>
    </row>
    <row r="111" spans="1:13" s="351" customFormat="1" ht="37.5" customHeight="1">
      <c r="A111" s="122"/>
      <c r="B111" s="138" t="s">
        <v>148</v>
      </c>
      <c r="C111" s="136" t="s">
        <v>3</v>
      </c>
      <c r="D111" s="121" t="s">
        <v>84</v>
      </c>
      <c r="E111" s="121" t="s">
        <v>109</v>
      </c>
      <c r="F111" s="734" t="s">
        <v>102</v>
      </c>
      <c r="G111" s="735" t="s">
        <v>110</v>
      </c>
      <c r="H111" s="735" t="s">
        <v>59</v>
      </c>
      <c r="I111" s="736" t="s">
        <v>111</v>
      </c>
      <c r="J111" s="121"/>
      <c r="K111" s="137">
        <f t="shared" si="20"/>
        <v>240.7</v>
      </c>
      <c r="L111" s="137">
        <f t="shared" si="20"/>
        <v>0</v>
      </c>
      <c r="M111" s="137">
        <f t="shared" si="20"/>
        <v>240.7</v>
      </c>
    </row>
    <row r="112" spans="1:13" s="351" customFormat="1" ht="56.25" customHeight="1">
      <c r="A112" s="122"/>
      <c r="B112" s="135" t="s">
        <v>75</v>
      </c>
      <c r="C112" s="136" t="s">
        <v>3</v>
      </c>
      <c r="D112" s="121" t="s">
        <v>84</v>
      </c>
      <c r="E112" s="121" t="s">
        <v>109</v>
      </c>
      <c r="F112" s="734" t="s">
        <v>102</v>
      </c>
      <c r="G112" s="735" t="s">
        <v>110</v>
      </c>
      <c r="H112" s="735" t="s">
        <v>59</v>
      </c>
      <c r="I112" s="736" t="s">
        <v>111</v>
      </c>
      <c r="J112" s="121" t="s">
        <v>76</v>
      </c>
      <c r="K112" s="137">
        <v>240.7</v>
      </c>
      <c r="L112" s="137">
        <f>M112-K112</f>
        <v>0</v>
      </c>
      <c r="M112" s="137">
        <v>240.7</v>
      </c>
    </row>
    <row r="113" spans="1:13" s="351" customFormat="1" ht="75" customHeight="1">
      <c r="A113" s="122"/>
      <c r="B113" s="140" t="s">
        <v>453</v>
      </c>
      <c r="C113" s="136" t="s">
        <v>3</v>
      </c>
      <c r="D113" s="121" t="s">
        <v>84</v>
      </c>
      <c r="E113" s="121" t="s">
        <v>109</v>
      </c>
      <c r="F113" s="734" t="s">
        <v>102</v>
      </c>
      <c r="G113" s="735" t="s">
        <v>50</v>
      </c>
      <c r="H113" s="735" t="s">
        <v>63</v>
      </c>
      <c r="I113" s="736" t="s">
        <v>64</v>
      </c>
      <c r="J113" s="121"/>
      <c r="K113" s="137">
        <f>K114+K119</f>
        <v>10660.300000000001</v>
      </c>
      <c r="L113" s="137">
        <f>L114+L119</f>
        <v>1427.7999999999997</v>
      </c>
      <c r="M113" s="137">
        <f>M114+M119</f>
        <v>12088.099999999999</v>
      </c>
    </row>
    <row r="114" spans="1:13" s="351" customFormat="1" ht="75.599999999999994" customHeight="1">
      <c r="A114" s="122"/>
      <c r="B114" s="138" t="s">
        <v>386</v>
      </c>
      <c r="C114" s="136" t="s">
        <v>3</v>
      </c>
      <c r="D114" s="121" t="s">
        <v>84</v>
      </c>
      <c r="E114" s="121" t="s">
        <v>109</v>
      </c>
      <c r="F114" s="734" t="s">
        <v>102</v>
      </c>
      <c r="G114" s="735" t="s">
        <v>50</v>
      </c>
      <c r="H114" s="735" t="s">
        <v>57</v>
      </c>
      <c r="I114" s="736" t="s">
        <v>64</v>
      </c>
      <c r="J114" s="121"/>
      <c r="K114" s="137">
        <f>K115</f>
        <v>10205.200000000001</v>
      </c>
      <c r="L114" s="137">
        <f>L115</f>
        <v>1087.8999999999996</v>
      </c>
      <c r="M114" s="137">
        <f>M115</f>
        <v>11293.099999999999</v>
      </c>
    </row>
    <row r="115" spans="1:13" s="351" customFormat="1" ht="45.75" customHeight="1">
      <c r="A115" s="122"/>
      <c r="B115" s="138" t="s">
        <v>795</v>
      </c>
      <c r="C115" s="136" t="s">
        <v>3</v>
      </c>
      <c r="D115" s="121" t="s">
        <v>84</v>
      </c>
      <c r="E115" s="121" t="s">
        <v>109</v>
      </c>
      <c r="F115" s="734" t="s">
        <v>102</v>
      </c>
      <c r="G115" s="735" t="s">
        <v>50</v>
      </c>
      <c r="H115" s="735" t="s">
        <v>57</v>
      </c>
      <c r="I115" s="736" t="s">
        <v>112</v>
      </c>
      <c r="J115" s="121"/>
      <c r="K115" s="137">
        <f>K116+K117+K118</f>
        <v>10205.200000000001</v>
      </c>
      <c r="L115" s="137">
        <f>L116+L117+L118</f>
        <v>1087.8999999999996</v>
      </c>
      <c r="M115" s="137">
        <f>M116+M117+M118</f>
        <v>11293.099999999999</v>
      </c>
    </row>
    <row r="116" spans="1:13" s="351" customFormat="1" ht="112.5" customHeight="1">
      <c r="A116" s="122"/>
      <c r="B116" s="135" t="s">
        <v>69</v>
      </c>
      <c r="C116" s="136" t="s">
        <v>3</v>
      </c>
      <c r="D116" s="121" t="s">
        <v>84</v>
      </c>
      <c r="E116" s="121" t="s">
        <v>109</v>
      </c>
      <c r="F116" s="734" t="s">
        <v>102</v>
      </c>
      <c r="G116" s="735" t="s">
        <v>50</v>
      </c>
      <c r="H116" s="735" t="s">
        <v>57</v>
      </c>
      <c r="I116" s="736" t="s">
        <v>112</v>
      </c>
      <c r="J116" s="121" t="s">
        <v>70</v>
      </c>
      <c r="K116" s="137">
        <f>7266+274.6+28.7</f>
        <v>7569.3</v>
      </c>
      <c r="L116" s="137">
        <f>M116-K116</f>
        <v>441.19999999999982</v>
      </c>
      <c r="M116" s="137">
        <f>7266+274.6+28.7+441.2</f>
        <v>8010.5</v>
      </c>
    </row>
    <row r="117" spans="1:13" s="351" customFormat="1" ht="56.25" customHeight="1">
      <c r="A117" s="122"/>
      <c r="B117" s="135" t="s">
        <v>75</v>
      </c>
      <c r="C117" s="136" t="s">
        <v>3</v>
      </c>
      <c r="D117" s="121" t="s">
        <v>84</v>
      </c>
      <c r="E117" s="121" t="s">
        <v>109</v>
      </c>
      <c r="F117" s="734" t="s">
        <v>102</v>
      </c>
      <c r="G117" s="735" t="s">
        <v>50</v>
      </c>
      <c r="H117" s="735" t="s">
        <v>57</v>
      </c>
      <c r="I117" s="736" t="s">
        <v>112</v>
      </c>
      <c r="J117" s="121" t="s">
        <v>76</v>
      </c>
      <c r="K117" s="137">
        <f>2242.3+127.9+199.9+42.8+16.7</f>
        <v>2629.6000000000004</v>
      </c>
      <c r="L117" s="820">
        <f>M117-K117</f>
        <v>646.69999999999982</v>
      </c>
      <c r="M117" s="820">
        <f>2242.3+127.9+199.9+42.8+16.7+300-39.9+386.6</f>
        <v>3276.3</v>
      </c>
    </row>
    <row r="118" spans="1:13" s="351" customFormat="1" ht="18.75" customHeight="1">
      <c r="A118" s="122"/>
      <c r="B118" s="135" t="s">
        <v>77</v>
      </c>
      <c r="C118" s="136" t="s">
        <v>3</v>
      </c>
      <c r="D118" s="121" t="s">
        <v>84</v>
      </c>
      <c r="E118" s="121" t="s">
        <v>109</v>
      </c>
      <c r="F118" s="734" t="s">
        <v>102</v>
      </c>
      <c r="G118" s="735" t="s">
        <v>50</v>
      </c>
      <c r="H118" s="735" t="s">
        <v>57</v>
      </c>
      <c r="I118" s="736" t="s">
        <v>112</v>
      </c>
      <c r="J118" s="121" t="s">
        <v>78</v>
      </c>
      <c r="K118" s="137">
        <v>6.3</v>
      </c>
      <c r="L118" s="137">
        <f>M118-K118</f>
        <v>0</v>
      </c>
      <c r="M118" s="137">
        <v>6.3</v>
      </c>
    </row>
    <row r="119" spans="1:13" s="351" customFormat="1" ht="40.5" customHeight="1">
      <c r="A119" s="122"/>
      <c r="B119" s="140" t="s">
        <v>813</v>
      </c>
      <c r="C119" s="136" t="s">
        <v>3</v>
      </c>
      <c r="D119" s="121" t="s">
        <v>84</v>
      </c>
      <c r="E119" s="121" t="s">
        <v>109</v>
      </c>
      <c r="F119" s="734" t="s">
        <v>102</v>
      </c>
      <c r="G119" s="735" t="s">
        <v>50</v>
      </c>
      <c r="H119" s="735" t="s">
        <v>59</v>
      </c>
      <c r="I119" s="736" t="s">
        <v>64</v>
      </c>
      <c r="J119" s="121"/>
      <c r="K119" s="137">
        <f t="shared" ref="K119:M120" si="21">K120</f>
        <v>455.1</v>
      </c>
      <c r="L119" s="137">
        <f t="shared" si="21"/>
        <v>339.9</v>
      </c>
      <c r="M119" s="137">
        <f t="shared" si="21"/>
        <v>795</v>
      </c>
    </row>
    <row r="120" spans="1:13" s="351" customFormat="1" ht="56.25" customHeight="1">
      <c r="A120" s="122"/>
      <c r="B120" s="327" t="s">
        <v>106</v>
      </c>
      <c r="C120" s="136" t="s">
        <v>3</v>
      </c>
      <c r="D120" s="121" t="s">
        <v>84</v>
      </c>
      <c r="E120" s="121" t="s">
        <v>109</v>
      </c>
      <c r="F120" s="734" t="s">
        <v>102</v>
      </c>
      <c r="G120" s="735" t="s">
        <v>50</v>
      </c>
      <c r="H120" s="735" t="s">
        <v>59</v>
      </c>
      <c r="I120" s="736" t="s">
        <v>107</v>
      </c>
      <c r="J120" s="121"/>
      <c r="K120" s="137">
        <f t="shared" si="21"/>
        <v>455.1</v>
      </c>
      <c r="L120" s="137">
        <f t="shared" si="21"/>
        <v>339.9</v>
      </c>
      <c r="M120" s="137">
        <f t="shared" si="21"/>
        <v>795</v>
      </c>
    </row>
    <row r="121" spans="1:13" s="351" customFormat="1" ht="53.25" customHeight="1">
      <c r="A121" s="122"/>
      <c r="B121" s="616" t="s">
        <v>75</v>
      </c>
      <c r="C121" s="136" t="s">
        <v>3</v>
      </c>
      <c r="D121" s="121" t="s">
        <v>84</v>
      </c>
      <c r="E121" s="121" t="s">
        <v>109</v>
      </c>
      <c r="F121" s="734" t="s">
        <v>102</v>
      </c>
      <c r="G121" s="735" t="s">
        <v>50</v>
      </c>
      <c r="H121" s="735" t="s">
        <v>59</v>
      </c>
      <c r="I121" s="736" t="s">
        <v>107</v>
      </c>
      <c r="J121" s="121" t="s">
        <v>76</v>
      </c>
      <c r="K121" s="137">
        <v>455.1</v>
      </c>
      <c r="L121" s="137">
        <f>M121-K121</f>
        <v>339.9</v>
      </c>
      <c r="M121" s="137">
        <f>455.1+339.9</f>
        <v>795</v>
      </c>
    </row>
    <row r="122" spans="1:13" s="351" customFormat="1" ht="53.25" customHeight="1">
      <c r="A122" s="122"/>
      <c r="B122" s="617" t="s">
        <v>900</v>
      </c>
      <c r="C122" s="136" t="s">
        <v>3</v>
      </c>
      <c r="D122" s="121" t="s">
        <v>84</v>
      </c>
      <c r="E122" s="121" t="s">
        <v>109</v>
      </c>
      <c r="F122" s="734" t="s">
        <v>102</v>
      </c>
      <c r="G122" s="735" t="s">
        <v>51</v>
      </c>
      <c r="H122" s="735" t="s">
        <v>63</v>
      </c>
      <c r="I122" s="736" t="s">
        <v>64</v>
      </c>
      <c r="J122" s="121"/>
      <c r="K122" s="137">
        <f t="shared" ref="K122:M124" si="22">K123</f>
        <v>21.6</v>
      </c>
      <c r="L122" s="137">
        <f t="shared" si="22"/>
        <v>0</v>
      </c>
      <c r="M122" s="137">
        <f t="shared" si="22"/>
        <v>21.6</v>
      </c>
    </row>
    <row r="123" spans="1:13" s="351" customFormat="1" ht="72" customHeight="1">
      <c r="A123" s="122"/>
      <c r="B123" s="618" t="s">
        <v>901</v>
      </c>
      <c r="C123" s="136" t="s">
        <v>3</v>
      </c>
      <c r="D123" s="121" t="s">
        <v>84</v>
      </c>
      <c r="E123" s="121" t="s">
        <v>109</v>
      </c>
      <c r="F123" s="734" t="s">
        <v>102</v>
      </c>
      <c r="G123" s="735" t="s">
        <v>51</v>
      </c>
      <c r="H123" s="735" t="s">
        <v>57</v>
      </c>
      <c r="I123" s="736" t="s">
        <v>64</v>
      </c>
      <c r="J123" s="121"/>
      <c r="K123" s="137">
        <f t="shared" si="22"/>
        <v>21.6</v>
      </c>
      <c r="L123" s="137">
        <f t="shared" si="22"/>
        <v>0</v>
      </c>
      <c r="M123" s="137">
        <f t="shared" si="22"/>
        <v>21.6</v>
      </c>
    </row>
    <row r="124" spans="1:13" s="351" customFormat="1" ht="53.25" customHeight="1">
      <c r="A124" s="122"/>
      <c r="B124" s="614" t="s">
        <v>106</v>
      </c>
      <c r="C124" s="136" t="s">
        <v>3</v>
      </c>
      <c r="D124" s="121" t="s">
        <v>84</v>
      </c>
      <c r="E124" s="121" t="s">
        <v>109</v>
      </c>
      <c r="F124" s="734" t="s">
        <v>102</v>
      </c>
      <c r="G124" s="735" t="s">
        <v>51</v>
      </c>
      <c r="H124" s="735" t="s">
        <v>57</v>
      </c>
      <c r="I124" s="736" t="s">
        <v>107</v>
      </c>
      <c r="J124" s="121"/>
      <c r="K124" s="137">
        <f t="shared" si="22"/>
        <v>21.6</v>
      </c>
      <c r="L124" s="137">
        <f t="shared" si="22"/>
        <v>0</v>
      </c>
      <c r="M124" s="137">
        <f t="shared" si="22"/>
        <v>21.6</v>
      </c>
    </row>
    <row r="125" spans="1:13" s="351" customFormat="1" ht="53.25" customHeight="1">
      <c r="A125" s="122"/>
      <c r="B125" s="616" t="s">
        <v>75</v>
      </c>
      <c r="C125" s="136" t="s">
        <v>3</v>
      </c>
      <c r="D125" s="121" t="s">
        <v>84</v>
      </c>
      <c r="E125" s="121" t="s">
        <v>109</v>
      </c>
      <c r="F125" s="734" t="s">
        <v>102</v>
      </c>
      <c r="G125" s="735" t="s">
        <v>51</v>
      </c>
      <c r="H125" s="735" t="s">
        <v>57</v>
      </c>
      <c r="I125" s="736" t="s">
        <v>107</v>
      </c>
      <c r="J125" s="121" t="s">
        <v>76</v>
      </c>
      <c r="K125" s="137">
        <v>21.6</v>
      </c>
      <c r="L125" s="137">
        <f>M125-K125</f>
        <v>0</v>
      </c>
      <c r="M125" s="137">
        <v>21.6</v>
      </c>
    </row>
    <row r="126" spans="1:13" s="351" customFormat="1" ht="18.75" customHeight="1">
      <c r="A126" s="122"/>
      <c r="B126" s="135" t="s">
        <v>113</v>
      </c>
      <c r="C126" s="136" t="s">
        <v>3</v>
      </c>
      <c r="D126" s="121" t="s">
        <v>72</v>
      </c>
      <c r="E126" s="121"/>
      <c r="F126" s="734"/>
      <c r="G126" s="735"/>
      <c r="H126" s="735"/>
      <c r="I126" s="736"/>
      <c r="J126" s="121"/>
      <c r="K126" s="137">
        <f>K127+K138+K144</f>
        <v>29558.383000000002</v>
      </c>
      <c r="L126" s="137">
        <f>L127+L138+L144</f>
        <v>2019.6000000000004</v>
      </c>
      <c r="M126" s="137">
        <f>M127+M138+M144</f>
        <v>31577.983</v>
      </c>
    </row>
    <row r="127" spans="1:13" s="118" customFormat="1" ht="18.75" customHeight="1">
      <c r="A127" s="122"/>
      <c r="B127" s="135" t="s">
        <v>114</v>
      </c>
      <c r="C127" s="136" t="s">
        <v>3</v>
      </c>
      <c r="D127" s="121" t="s">
        <v>72</v>
      </c>
      <c r="E127" s="121" t="s">
        <v>86</v>
      </c>
      <c r="F127" s="734"/>
      <c r="G127" s="735"/>
      <c r="H127" s="735"/>
      <c r="I127" s="736"/>
      <c r="J127" s="121"/>
      <c r="K127" s="137">
        <f t="shared" ref="K127:M128" si="23">K128</f>
        <v>11255.300000000001</v>
      </c>
      <c r="L127" s="137">
        <f t="shared" si="23"/>
        <v>143</v>
      </c>
      <c r="M127" s="137">
        <f t="shared" si="23"/>
        <v>11398.300000000001</v>
      </c>
    </row>
    <row r="128" spans="1:13" s="351" customFormat="1" ht="60" customHeight="1">
      <c r="A128" s="122"/>
      <c r="B128" s="135" t="s">
        <v>115</v>
      </c>
      <c r="C128" s="136" t="s">
        <v>3</v>
      </c>
      <c r="D128" s="121" t="s">
        <v>72</v>
      </c>
      <c r="E128" s="121" t="s">
        <v>86</v>
      </c>
      <c r="F128" s="734" t="s">
        <v>88</v>
      </c>
      <c r="G128" s="735" t="s">
        <v>62</v>
      </c>
      <c r="H128" s="735" t="s">
        <v>63</v>
      </c>
      <c r="I128" s="736" t="s">
        <v>64</v>
      </c>
      <c r="J128" s="121"/>
      <c r="K128" s="137">
        <f t="shared" si="23"/>
        <v>11255.300000000001</v>
      </c>
      <c r="L128" s="137">
        <f t="shared" si="23"/>
        <v>143</v>
      </c>
      <c r="M128" s="137">
        <f t="shared" si="23"/>
        <v>11398.300000000001</v>
      </c>
    </row>
    <row r="129" spans="1:13" s="118" customFormat="1" ht="37.5" customHeight="1">
      <c r="A129" s="122"/>
      <c r="B129" s="135" t="s">
        <v>404</v>
      </c>
      <c r="C129" s="136" t="s">
        <v>3</v>
      </c>
      <c r="D129" s="121" t="s">
        <v>72</v>
      </c>
      <c r="E129" s="121" t="s">
        <v>86</v>
      </c>
      <c r="F129" s="734" t="s">
        <v>88</v>
      </c>
      <c r="G129" s="735" t="s">
        <v>65</v>
      </c>
      <c r="H129" s="735" t="s">
        <v>63</v>
      </c>
      <c r="I129" s="736" t="s">
        <v>64</v>
      </c>
      <c r="J129" s="121"/>
      <c r="K129" s="137">
        <f>K130+K133</f>
        <v>11255.300000000001</v>
      </c>
      <c r="L129" s="137">
        <f>L130+L133</f>
        <v>143</v>
      </c>
      <c r="M129" s="137">
        <f>M130+M133</f>
        <v>11398.300000000001</v>
      </c>
    </row>
    <row r="130" spans="1:13" s="118" customFormat="1" ht="56.25" customHeight="1">
      <c r="A130" s="122"/>
      <c r="B130" s="135" t="s">
        <v>116</v>
      </c>
      <c r="C130" s="136" t="s">
        <v>3</v>
      </c>
      <c r="D130" s="121" t="s">
        <v>72</v>
      </c>
      <c r="E130" s="121" t="s">
        <v>86</v>
      </c>
      <c r="F130" s="734" t="s">
        <v>88</v>
      </c>
      <c r="G130" s="735" t="s">
        <v>65</v>
      </c>
      <c r="H130" s="735" t="s">
        <v>57</v>
      </c>
      <c r="I130" s="736" t="s">
        <v>64</v>
      </c>
      <c r="J130" s="121"/>
      <c r="K130" s="137">
        <f t="shared" ref="K130:M130" si="24">K131</f>
        <v>11070.6</v>
      </c>
      <c r="L130" s="137">
        <f t="shared" si="24"/>
        <v>0</v>
      </c>
      <c r="M130" s="137">
        <f t="shared" si="24"/>
        <v>11070.6</v>
      </c>
    </row>
    <row r="131" spans="1:13" s="118" customFormat="1" ht="66" customHeight="1">
      <c r="A131" s="122"/>
      <c r="B131" s="167" t="s">
        <v>582</v>
      </c>
      <c r="C131" s="136" t="s">
        <v>3</v>
      </c>
      <c r="D131" s="121" t="s">
        <v>72</v>
      </c>
      <c r="E131" s="121" t="s">
        <v>86</v>
      </c>
      <c r="F131" s="734" t="s">
        <v>88</v>
      </c>
      <c r="G131" s="735" t="s">
        <v>65</v>
      </c>
      <c r="H131" s="735" t="s">
        <v>57</v>
      </c>
      <c r="I131" s="736" t="s">
        <v>82</v>
      </c>
      <c r="J131" s="121"/>
      <c r="K131" s="137">
        <f>K132</f>
        <v>11070.6</v>
      </c>
      <c r="L131" s="137">
        <f>L132</f>
        <v>0</v>
      </c>
      <c r="M131" s="137">
        <f>M132</f>
        <v>11070.6</v>
      </c>
    </row>
    <row r="132" spans="1:13" s="351" customFormat="1" ht="18.75" customHeight="1">
      <c r="A132" s="122"/>
      <c r="B132" s="135" t="s">
        <v>77</v>
      </c>
      <c r="C132" s="136" t="s">
        <v>3</v>
      </c>
      <c r="D132" s="121" t="s">
        <v>72</v>
      </c>
      <c r="E132" s="121" t="s">
        <v>86</v>
      </c>
      <c r="F132" s="734" t="s">
        <v>88</v>
      </c>
      <c r="G132" s="735" t="s">
        <v>65</v>
      </c>
      <c r="H132" s="735" t="s">
        <v>57</v>
      </c>
      <c r="I132" s="736" t="s">
        <v>82</v>
      </c>
      <c r="J132" s="121" t="s">
        <v>78</v>
      </c>
      <c r="K132" s="137">
        <v>11070.6</v>
      </c>
      <c r="L132" s="137">
        <f>M132-K132</f>
        <v>0</v>
      </c>
      <c r="M132" s="137">
        <v>11070.6</v>
      </c>
    </row>
    <row r="133" spans="1:13" s="118" customFormat="1" ht="63.75" customHeight="1">
      <c r="A133" s="122"/>
      <c r="B133" s="135" t="s">
        <v>117</v>
      </c>
      <c r="C133" s="136" t="s">
        <v>3</v>
      </c>
      <c r="D133" s="121" t="s">
        <v>72</v>
      </c>
      <c r="E133" s="121" t="s">
        <v>86</v>
      </c>
      <c r="F133" s="734" t="s">
        <v>88</v>
      </c>
      <c r="G133" s="735" t="s">
        <v>65</v>
      </c>
      <c r="H133" s="735" t="s">
        <v>59</v>
      </c>
      <c r="I133" s="736" t="s">
        <v>64</v>
      </c>
      <c r="J133" s="121"/>
      <c r="K133" s="137">
        <f>K134+K136</f>
        <v>184.70000000000002</v>
      </c>
      <c r="L133" s="137">
        <f t="shared" ref="L133:M133" si="25">L134+L136</f>
        <v>143</v>
      </c>
      <c r="M133" s="137">
        <f t="shared" si="25"/>
        <v>327.70000000000005</v>
      </c>
    </row>
    <row r="134" spans="1:13" s="118" customFormat="1" ht="165.6" customHeight="1">
      <c r="A134" s="122"/>
      <c r="B134" s="135" t="s">
        <v>687</v>
      </c>
      <c r="C134" s="136" t="s">
        <v>3</v>
      </c>
      <c r="D134" s="121" t="s">
        <v>72</v>
      </c>
      <c r="E134" s="121" t="s">
        <v>86</v>
      </c>
      <c r="F134" s="734" t="s">
        <v>88</v>
      </c>
      <c r="G134" s="735" t="s">
        <v>65</v>
      </c>
      <c r="H134" s="735" t="s">
        <v>59</v>
      </c>
      <c r="I134" s="736" t="s">
        <v>118</v>
      </c>
      <c r="J134" s="121"/>
      <c r="K134" s="137">
        <f t="shared" ref="K134:M136" si="26">K135</f>
        <v>184.70000000000002</v>
      </c>
      <c r="L134" s="137">
        <f t="shared" si="26"/>
        <v>0</v>
      </c>
      <c r="M134" s="137">
        <f t="shared" si="26"/>
        <v>184.70000000000002</v>
      </c>
    </row>
    <row r="135" spans="1:13" s="351" customFormat="1" ht="56.25" customHeight="1">
      <c r="A135" s="122"/>
      <c r="B135" s="135" t="s">
        <v>75</v>
      </c>
      <c r="C135" s="136" t="s">
        <v>3</v>
      </c>
      <c r="D135" s="121" t="s">
        <v>72</v>
      </c>
      <c r="E135" s="121" t="s">
        <v>86</v>
      </c>
      <c r="F135" s="734" t="s">
        <v>88</v>
      </c>
      <c r="G135" s="735" t="s">
        <v>65</v>
      </c>
      <c r="H135" s="735" t="s">
        <v>59</v>
      </c>
      <c r="I135" s="736" t="s">
        <v>118</v>
      </c>
      <c r="J135" s="121" t="s">
        <v>76</v>
      </c>
      <c r="K135" s="137">
        <f>187.9-3.2</f>
        <v>184.70000000000002</v>
      </c>
      <c r="L135" s="137">
        <f>M135-K135</f>
        <v>0</v>
      </c>
      <c r="M135" s="137">
        <f>187.9-3.2</f>
        <v>184.70000000000002</v>
      </c>
    </row>
    <row r="136" spans="1:13" s="722" customFormat="1" ht="159" customHeight="1">
      <c r="A136" s="698"/>
      <c r="B136" s="709" t="s">
        <v>687</v>
      </c>
      <c r="C136" s="699" t="s">
        <v>3</v>
      </c>
      <c r="D136" s="700" t="s">
        <v>72</v>
      </c>
      <c r="E136" s="700" t="s">
        <v>86</v>
      </c>
      <c r="F136" s="701" t="s">
        <v>88</v>
      </c>
      <c r="G136" s="702" t="s">
        <v>65</v>
      </c>
      <c r="H136" s="702" t="s">
        <v>59</v>
      </c>
      <c r="I136" s="703" t="s">
        <v>1033</v>
      </c>
      <c r="J136" s="700"/>
      <c r="K136" s="697">
        <f t="shared" si="26"/>
        <v>0</v>
      </c>
      <c r="L136" s="697">
        <f t="shared" si="26"/>
        <v>143</v>
      </c>
      <c r="M136" s="697">
        <f t="shared" si="26"/>
        <v>143</v>
      </c>
    </row>
    <row r="137" spans="1:13" s="722" customFormat="1" ht="56.25" customHeight="1">
      <c r="A137" s="698"/>
      <c r="B137" s="709" t="s">
        <v>75</v>
      </c>
      <c r="C137" s="699" t="s">
        <v>3</v>
      </c>
      <c r="D137" s="700" t="s">
        <v>72</v>
      </c>
      <c r="E137" s="700" t="s">
        <v>86</v>
      </c>
      <c r="F137" s="701" t="s">
        <v>88</v>
      </c>
      <c r="G137" s="702" t="s">
        <v>65</v>
      </c>
      <c r="H137" s="702" t="s">
        <v>59</v>
      </c>
      <c r="I137" s="703" t="s">
        <v>1033</v>
      </c>
      <c r="J137" s="700" t="s">
        <v>76</v>
      </c>
      <c r="K137" s="697">
        <v>0</v>
      </c>
      <c r="L137" s="697">
        <f>M137-K137</f>
        <v>143</v>
      </c>
      <c r="M137" s="697">
        <v>143</v>
      </c>
    </row>
    <row r="138" spans="1:13" s="118" customFormat="1" ht="18.75" customHeight="1">
      <c r="A138" s="122"/>
      <c r="B138" s="140" t="s">
        <v>119</v>
      </c>
      <c r="C138" s="136" t="s">
        <v>3</v>
      </c>
      <c r="D138" s="121" t="s">
        <v>72</v>
      </c>
      <c r="E138" s="121" t="s">
        <v>100</v>
      </c>
      <c r="F138" s="734"/>
      <c r="G138" s="735"/>
      <c r="H138" s="735"/>
      <c r="I138" s="736"/>
      <c r="J138" s="121"/>
      <c r="K138" s="137">
        <f t="shared" ref="K138:M142" si="27">K139</f>
        <v>9802.3829999999998</v>
      </c>
      <c r="L138" s="137">
        <f t="shared" si="27"/>
        <v>0</v>
      </c>
      <c r="M138" s="137">
        <f t="shared" si="27"/>
        <v>9802.3829999999998</v>
      </c>
    </row>
    <row r="139" spans="1:13" s="351" customFormat="1" ht="56.25" customHeight="1">
      <c r="A139" s="122"/>
      <c r="B139" s="135" t="s">
        <v>120</v>
      </c>
      <c r="C139" s="136" t="s">
        <v>3</v>
      </c>
      <c r="D139" s="121" t="s">
        <v>72</v>
      </c>
      <c r="E139" s="121" t="s">
        <v>100</v>
      </c>
      <c r="F139" s="734" t="s">
        <v>121</v>
      </c>
      <c r="G139" s="735" t="s">
        <v>62</v>
      </c>
      <c r="H139" s="735" t="s">
        <v>63</v>
      </c>
      <c r="I139" s="736" t="s">
        <v>64</v>
      </c>
      <c r="J139" s="121"/>
      <c r="K139" s="137">
        <f t="shared" si="27"/>
        <v>9802.3829999999998</v>
      </c>
      <c r="L139" s="137">
        <f t="shared" si="27"/>
        <v>0</v>
      </c>
      <c r="M139" s="137">
        <f t="shared" si="27"/>
        <v>9802.3829999999998</v>
      </c>
    </row>
    <row r="140" spans="1:13" s="118" customFormat="1" ht="37.5" customHeight="1">
      <c r="A140" s="122"/>
      <c r="B140" s="135" t="s">
        <v>404</v>
      </c>
      <c r="C140" s="136" t="s">
        <v>3</v>
      </c>
      <c r="D140" s="121" t="s">
        <v>72</v>
      </c>
      <c r="E140" s="121" t="s">
        <v>100</v>
      </c>
      <c r="F140" s="734" t="s">
        <v>121</v>
      </c>
      <c r="G140" s="735" t="s">
        <v>65</v>
      </c>
      <c r="H140" s="735" t="s">
        <v>63</v>
      </c>
      <c r="I140" s="736" t="s">
        <v>64</v>
      </c>
      <c r="J140" s="121"/>
      <c r="K140" s="137">
        <f t="shared" si="27"/>
        <v>9802.3829999999998</v>
      </c>
      <c r="L140" s="137">
        <f t="shared" si="27"/>
        <v>0</v>
      </c>
      <c r="M140" s="137">
        <f t="shared" si="27"/>
        <v>9802.3829999999998</v>
      </c>
    </row>
    <row r="141" spans="1:13" s="118" customFormat="1" ht="93.75" customHeight="1">
      <c r="A141" s="122"/>
      <c r="B141" s="135" t="s">
        <v>122</v>
      </c>
      <c r="C141" s="136" t="s">
        <v>3</v>
      </c>
      <c r="D141" s="121" t="s">
        <v>72</v>
      </c>
      <c r="E141" s="121" t="s">
        <v>100</v>
      </c>
      <c r="F141" s="734" t="s">
        <v>121</v>
      </c>
      <c r="G141" s="735" t="s">
        <v>65</v>
      </c>
      <c r="H141" s="735" t="s">
        <v>57</v>
      </c>
      <c r="I141" s="736" t="s">
        <v>64</v>
      </c>
      <c r="J141" s="121"/>
      <c r="K141" s="137">
        <f t="shared" si="27"/>
        <v>9802.3829999999998</v>
      </c>
      <c r="L141" s="137">
        <f t="shared" si="27"/>
        <v>0</v>
      </c>
      <c r="M141" s="137">
        <f t="shared" si="27"/>
        <v>9802.3829999999998</v>
      </c>
    </row>
    <row r="142" spans="1:13" s="118" customFormat="1" ht="75.75" customHeight="1">
      <c r="A142" s="122"/>
      <c r="B142" s="141" t="s">
        <v>123</v>
      </c>
      <c r="C142" s="136" t="s">
        <v>3</v>
      </c>
      <c r="D142" s="121" t="s">
        <v>72</v>
      </c>
      <c r="E142" s="121" t="s">
        <v>100</v>
      </c>
      <c r="F142" s="734" t="s">
        <v>121</v>
      </c>
      <c r="G142" s="735" t="s">
        <v>65</v>
      </c>
      <c r="H142" s="735" t="s">
        <v>57</v>
      </c>
      <c r="I142" s="736" t="s">
        <v>124</v>
      </c>
      <c r="J142" s="121"/>
      <c r="K142" s="137">
        <f t="shared" si="27"/>
        <v>9802.3829999999998</v>
      </c>
      <c r="L142" s="137">
        <f t="shared" si="27"/>
        <v>0</v>
      </c>
      <c r="M142" s="137">
        <f t="shared" si="27"/>
        <v>9802.3829999999998</v>
      </c>
    </row>
    <row r="143" spans="1:13" s="351" customFormat="1" ht="56.25" customHeight="1">
      <c r="A143" s="122"/>
      <c r="B143" s="135" t="s">
        <v>75</v>
      </c>
      <c r="C143" s="136" t="s">
        <v>3</v>
      </c>
      <c r="D143" s="121" t="s">
        <v>72</v>
      </c>
      <c r="E143" s="121" t="s">
        <v>100</v>
      </c>
      <c r="F143" s="734" t="s">
        <v>121</v>
      </c>
      <c r="G143" s="735" t="s">
        <v>65</v>
      </c>
      <c r="H143" s="735" t="s">
        <v>57</v>
      </c>
      <c r="I143" s="736" t="s">
        <v>124</v>
      </c>
      <c r="J143" s="121" t="s">
        <v>76</v>
      </c>
      <c r="K143" s="137">
        <f>5728.2+4074.183</f>
        <v>9802.3829999999998</v>
      </c>
      <c r="L143" s="137">
        <f>M143-K143</f>
        <v>0</v>
      </c>
      <c r="M143" s="137">
        <f>5728.2+4074.183</f>
        <v>9802.3829999999998</v>
      </c>
    </row>
    <row r="144" spans="1:13" s="118" customFormat="1" ht="37.5" customHeight="1">
      <c r="A144" s="122"/>
      <c r="B144" s="140" t="s">
        <v>127</v>
      </c>
      <c r="C144" s="136" t="s">
        <v>3</v>
      </c>
      <c r="D144" s="121" t="s">
        <v>72</v>
      </c>
      <c r="E144" s="121" t="s">
        <v>121</v>
      </c>
      <c r="F144" s="734"/>
      <c r="G144" s="735"/>
      <c r="H144" s="735"/>
      <c r="I144" s="736"/>
      <c r="J144" s="121"/>
      <c r="K144" s="137">
        <f>K145+K154+K161</f>
        <v>8500.6999999999989</v>
      </c>
      <c r="L144" s="137">
        <f>L145+L154+L161</f>
        <v>1876.6000000000004</v>
      </c>
      <c r="M144" s="137">
        <f>M145+M154+M161</f>
        <v>10377.299999999999</v>
      </c>
    </row>
    <row r="145" spans="1:13" s="351" customFormat="1" ht="75" customHeight="1">
      <c r="A145" s="122"/>
      <c r="B145" s="135" t="s">
        <v>128</v>
      </c>
      <c r="C145" s="136" t="s">
        <v>3</v>
      </c>
      <c r="D145" s="121" t="s">
        <v>72</v>
      </c>
      <c r="E145" s="121" t="s">
        <v>121</v>
      </c>
      <c r="F145" s="734" t="s">
        <v>92</v>
      </c>
      <c r="G145" s="735" t="s">
        <v>62</v>
      </c>
      <c r="H145" s="735" t="s">
        <v>63</v>
      </c>
      <c r="I145" s="736" t="s">
        <v>64</v>
      </c>
      <c r="J145" s="121"/>
      <c r="K145" s="137">
        <f>K146+K150</f>
        <v>1025.0999999999999</v>
      </c>
      <c r="L145" s="137">
        <f>L146+L150</f>
        <v>0</v>
      </c>
      <c r="M145" s="137">
        <f>M146+M150</f>
        <v>1025.0999999999999</v>
      </c>
    </row>
    <row r="146" spans="1:13" s="351" customFormat="1" ht="56.25" customHeight="1">
      <c r="A146" s="122"/>
      <c r="B146" s="140" t="s">
        <v>129</v>
      </c>
      <c r="C146" s="136" t="s">
        <v>3</v>
      </c>
      <c r="D146" s="121" t="s">
        <v>72</v>
      </c>
      <c r="E146" s="121" t="s">
        <v>121</v>
      </c>
      <c r="F146" s="734" t="s">
        <v>92</v>
      </c>
      <c r="G146" s="735" t="s">
        <v>65</v>
      </c>
      <c r="H146" s="735" t="s">
        <v>63</v>
      </c>
      <c r="I146" s="736" t="s">
        <v>64</v>
      </c>
      <c r="J146" s="121"/>
      <c r="K146" s="137">
        <f t="shared" ref="K146:M147" si="28">K147</f>
        <v>310</v>
      </c>
      <c r="L146" s="137">
        <f t="shared" si="28"/>
        <v>0</v>
      </c>
      <c r="M146" s="137">
        <f t="shared" si="28"/>
        <v>310</v>
      </c>
    </row>
    <row r="147" spans="1:13" s="118" customFormat="1" ht="37.5" customHeight="1">
      <c r="A147" s="122"/>
      <c r="B147" s="135" t="s">
        <v>130</v>
      </c>
      <c r="C147" s="136" t="s">
        <v>3</v>
      </c>
      <c r="D147" s="121" t="s">
        <v>72</v>
      </c>
      <c r="E147" s="121" t="s">
        <v>121</v>
      </c>
      <c r="F147" s="734" t="s">
        <v>92</v>
      </c>
      <c r="G147" s="735" t="s">
        <v>65</v>
      </c>
      <c r="H147" s="735" t="s">
        <v>57</v>
      </c>
      <c r="I147" s="736" t="s">
        <v>64</v>
      </c>
      <c r="J147" s="121"/>
      <c r="K147" s="137">
        <f t="shared" si="28"/>
        <v>310</v>
      </c>
      <c r="L147" s="137">
        <f t="shared" si="28"/>
        <v>0</v>
      </c>
      <c r="M147" s="137">
        <f t="shared" si="28"/>
        <v>310</v>
      </c>
    </row>
    <row r="148" spans="1:13" s="351" customFormat="1" ht="37.5" customHeight="1">
      <c r="A148" s="122"/>
      <c r="B148" s="140" t="s">
        <v>131</v>
      </c>
      <c r="C148" s="136" t="s">
        <v>3</v>
      </c>
      <c r="D148" s="121" t="s">
        <v>72</v>
      </c>
      <c r="E148" s="121" t="s">
        <v>121</v>
      </c>
      <c r="F148" s="734" t="s">
        <v>92</v>
      </c>
      <c r="G148" s="735" t="s">
        <v>65</v>
      </c>
      <c r="H148" s="735" t="s">
        <v>57</v>
      </c>
      <c r="I148" s="736" t="s">
        <v>132</v>
      </c>
      <c r="J148" s="121"/>
      <c r="K148" s="137">
        <f>K149</f>
        <v>310</v>
      </c>
      <c r="L148" s="137">
        <f>L149</f>
        <v>0</v>
      </c>
      <c r="M148" s="137">
        <f>M149</f>
        <v>310</v>
      </c>
    </row>
    <row r="149" spans="1:13" s="118" customFormat="1" ht="56.25" customHeight="1">
      <c r="A149" s="122"/>
      <c r="B149" s="135" t="s">
        <v>75</v>
      </c>
      <c r="C149" s="136" t="s">
        <v>3</v>
      </c>
      <c r="D149" s="121" t="s">
        <v>72</v>
      </c>
      <c r="E149" s="121" t="s">
        <v>121</v>
      </c>
      <c r="F149" s="734" t="s">
        <v>92</v>
      </c>
      <c r="G149" s="735" t="s">
        <v>65</v>
      </c>
      <c r="H149" s="735" t="s">
        <v>57</v>
      </c>
      <c r="I149" s="736" t="s">
        <v>132</v>
      </c>
      <c r="J149" s="121" t="s">
        <v>76</v>
      </c>
      <c r="K149" s="137">
        <v>310</v>
      </c>
      <c r="L149" s="137">
        <f>M149-K149</f>
        <v>0</v>
      </c>
      <c r="M149" s="137">
        <v>310</v>
      </c>
    </row>
    <row r="150" spans="1:13" s="351" customFormat="1" ht="37.5" customHeight="1">
      <c r="A150" s="122"/>
      <c r="B150" s="140" t="s">
        <v>133</v>
      </c>
      <c r="C150" s="136" t="s">
        <v>3</v>
      </c>
      <c r="D150" s="121" t="s">
        <v>72</v>
      </c>
      <c r="E150" s="121" t="s">
        <v>121</v>
      </c>
      <c r="F150" s="734" t="s">
        <v>92</v>
      </c>
      <c r="G150" s="735" t="s">
        <v>110</v>
      </c>
      <c r="H150" s="735" t="s">
        <v>63</v>
      </c>
      <c r="I150" s="736" t="s">
        <v>64</v>
      </c>
      <c r="J150" s="121"/>
      <c r="K150" s="137">
        <f t="shared" ref="K150:M152" si="29">K151</f>
        <v>715.1</v>
      </c>
      <c r="L150" s="137">
        <f t="shared" si="29"/>
        <v>0</v>
      </c>
      <c r="M150" s="137">
        <f t="shared" si="29"/>
        <v>715.1</v>
      </c>
    </row>
    <row r="151" spans="1:13" s="118" customFormat="1" ht="56.25" customHeight="1">
      <c r="A151" s="122"/>
      <c r="B151" s="140" t="s">
        <v>134</v>
      </c>
      <c r="C151" s="136" t="s">
        <v>3</v>
      </c>
      <c r="D151" s="121" t="s">
        <v>72</v>
      </c>
      <c r="E151" s="121" t="s">
        <v>121</v>
      </c>
      <c r="F151" s="734" t="s">
        <v>92</v>
      </c>
      <c r="G151" s="735" t="s">
        <v>110</v>
      </c>
      <c r="H151" s="735" t="s">
        <v>57</v>
      </c>
      <c r="I151" s="736" t="s">
        <v>64</v>
      </c>
      <c r="J151" s="121"/>
      <c r="K151" s="137">
        <f t="shared" si="29"/>
        <v>715.1</v>
      </c>
      <c r="L151" s="137">
        <f t="shared" si="29"/>
        <v>0</v>
      </c>
      <c r="M151" s="137">
        <f t="shared" si="29"/>
        <v>715.1</v>
      </c>
    </row>
    <row r="152" spans="1:13" s="351" customFormat="1" ht="79.5" customHeight="1">
      <c r="A152" s="122"/>
      <c r="B152" s="140" t="s">
        <v>135</v>
      </c>
      <c r="C152" s="136" t="s">
        <v>3</v>
      </c>
      <c r="D152" s="121" t="s">
        <v>72</v>
      </c>
      <c r="E152" s="121" t="s">
        <v>121</v>
      </c>
      <c r="F152" s="734" t="s">
        <v>92</v>
      </c>
      <c r="G152" s="735" t="s">
        <v>110</v>
      </c>
      <c r="H152" s="735" t="s">
        <v>57</v>
      </c>
      <c r="I152" s="736" t="s">
        <v>136</v>
      </c>
      <c r="J152" s="121"/>
      <c r="K152" s="137">
        <f t="shared" si="29"/>
        <v>715.1</v>
      </c>
      <c r="L152" s="137">
        <f t="shared" si="29"/>
        <v>0</v>
      </c>
      <c r="M152" s="137">
        <f t="shared" si="29"/>
        <v>715.1</v>
      </c>
    </row>
    <row r="153" spans="1:13" s="118" customFormat="1" ht="56.25" customHeight="1">
      <c r="A153" s="122"/>
      <c r="B153" s="135" t="s">
        <v>75</v>
      </c>
      <c r="C153" s="136" t="s">
        <v>3</v>
      </c>
      <c r="D153" s="121" t="s">
        <v>72</v>
      </c>
      <c r="E153" s="121" t="s">
        <v>121</v>
      </c>
      <c r="F153" s="734" t="s">
        <v>92</v>
      </c>
      <c r="G153" s="735" t="s">
        <v>110</v>
      </c>
      <c r="H153" s="735" t="s">
        <v>57</v>
      </c>
      <c r="I153" s="736" t="s">
        <v>136</v>
      </c>
      <c r="J153" s="121" t="s">
        <v>76</v>
      </c>
      <c r="K153" s="137">
        <v>715.1</v>
      </c>
      <c r="L153" s="137">
        <f>M153-K153</f>
        <v>0</v>
      </c>
      <c r="M153" s="137">
        <v>715.1</v>
      </c>
    </row>
    <row r="154" spans="1:13" s="351" customFormat="1" ht="75" customHeight="1">
      <c r="A154" s="122"/>
      <c r="B154" s="135" t="s">
        <v>137</v>
      </c>
      <c r="C154" s="136" t="s">
        <v>3</v>
      </c>
      <c r="D154" s="121" t="s">
        <v>72</v>
      </c>
      <c r="E154" s="121" t="s">
        <v>121</v>
      </c>
      <c r="F154" s="734" t="s">
        <v>109</v>
      </c>
      <c r="G154" s="735" t="s">
        <v>62</v>
      </c>
      <c r="H154" s="735" t="s">
        <v>63</v>
      </c>
      <c r="I154" s="736" t="s">
        <v>64</v>
      </c>
      <c r="J154" s="121"/>
      <c r="K154" s="137">
        <f t="shared" ref="K154:M157" si="30">K155</f>
        <v>891.2</v>
      </c>
      <c r="L154" s="137">
        <f t="shared" si="30"/>
        <v>0</v>
      </c>
      <c r="M154" s="137">
        <f t="shared" si="30"/>
        <v>891.2</v>
      </c>
    </row>
    <row r="155" spans="1:13" s="351" customFormat="1" ht="37.5" customHeight="1">
      <c r="A155" s="122"/>
      <c r="B155" s="135" t="s">
        <v>404</v>
      </c>
      <c r="C155" s="136" t="s">
        <v>3</v>
      </c>
      <c r="D155" s="121" t="s">
        <v>72</v>
      </c>
      <c r="E155" s="121" t="s">
        <v>121</v>
      </c>
      <c r="F155" s="734" t="s">
        <v>109</v>
      </c>
      <c r="G155" s="735" t="s">
        <v>65</v>
      </c>
      <c r="H155" s="735" t="s">
        <v>63</v>
      </c>
      <c r="I155" s="736" t="s">
        <v>64</v>
      </c>
      <c r="J155" s="121"/>
      <c r="K155" s="137">
        <f t="shared" si="30"/>
        <v>891.2</v>
      </c>
      <c r="L155" s="137">
        <f t="shared" si="30"/>
        <v>0</v>
      </c>
      <c r="M155" s="137">
        <f t="shared" si="30"/>
        <v>891.2</v>
      </c>
    </row>
    <row r="156" spans="1:13" s="118" customFormat="1" ht="75" customHeight="1">
      <c r="A156" s="122"/>
      <c r="B156" s="140" t="s">
        <v>360</v>
      </c>
      <c r="C156" s="136" t="s">
        <v>3</v>
      </c>
      <c r="D156" s="121" t="s">
        <v>72</v>
      </c>
      <c r="E156" s="121" t="s">
        <v>121</v>
      </c>
      <c r="F156" s="734" t="s">
        <v>109</v>
      </c>
      <c r="G156" s="735" t="s">
        <v>65</v>
      </c>
      <c r="H156" s="735" t="s">
        <v>57</v>
      </c>
      <c r="I156" s="736" t="s">
        <v>64</v>
      </c>
      <c r="J156" s="121"/>
      <c r="K156" s="137">
        <f>K157+K159</f>
        <v>891.2</v>
      </c>
      <c r="L156" s="137">
        <f>L157+L159</f>
        <v>0</v>
      </c>
      <c r="M156" s="137">
        <f>M157+M159</f>
        <v>891.2</v>
      </c>
    </row>
    <row r="157" spans="1:13" s="351" customFormat="1" ht="56.25" customHeight="1">
      <c r="A157" s="122"/>
      <c r="B157" s="140" t="s">
        <v>138</v>
      </c>
      <c r="C157" s="136" t="s">
        <v>3</v>
      </c>
      <c r="D157" s="121" t="s">
        <v>72</v>
      </c>
      <c r="E157" s="121" t="s">
        <v>121</v>
      </c>
      <c r="F157" s="734" t="s">
        <v>109</v>
      </c>
      <c r="G157" s="735" t="s">
        <v>65</v>
      </c>
      <c r="H157" s="735" t="s">
        <v>57</v>
      </c>
      <c r="I157" s="736" t="s">
        <v>139</v>
      </c>
      <c r="J157" s="121"/>
      <c r="K157" s="137">
        <f t="shared" si="30"/>
        <v>112.2</v>
      </c>
      <c r="L157" s="137">
        <f t="shared" si="30"/>
        <v>0</v>
      </c>
      <c r="M157" s="137">
        <f t="shared" si="30"/>
        <v>112.2</v>
      </c>
    </row>
    <row r="158" spans="1:13" s="118" customFormat="1" ht="56.25" customHeight="1">
      <c r="A158" s="122"/>
      <c r="B158" s="135" t="s">
        <v>75</v>
      </c>
      <c r="C158" s="136" t="s">
        <v>3</v>
      </c>
      <c r="D158" s="121" t="s">
        <v>72</v>
      </c>
      <c r="E158" s="121" t="s">
        <v>121</v>
      </c>
      <c r="F158" s="734" t="s">
        <v>109</v>
      </c>
      <c r="G158" s="735" t="s">
        <v>65</v>
      </c>
      <c r="H158" s="735" t="s">
        <v>57</v>
      </c>
      <c r="I158" s="736" t="s">
        <v>139</v>
      </c>
      <c r="J158" s="121" t="s">
        <v>76</v>
      </c>
      <c r="K158" s="137">
        <v>112.2</v>
      </c>
      <c r="L158" s="137">
        <f>M158-K158</f>
        <v>0</v>
      </c>
      <c r="M158" s="137">
        <v>112.2</v>
      </c>
    </row>
    <row r="159" spans="1:13" s="118" customFormat="1" ht="75" customHeight="1">
      <c r="A159" s="122"/>
      <c r="B159" s="135" t="s">
        <v>497</v>
      </c>
      <c r="C159" s="136" t="s">
        <v>3</v>
      </c>
      <c r="D159" s="121" t="s">
        <v>72</v>
      </c>
      <c r="E159" s="121" t="s">
        <v>121</v>
      </c>
      <c r="F159" s="734" t="s">
        <v>109</v>
      </c>
      <c r="G159" s="735" t="s">
        <v>65</v>
      </c>
      <c r="H159" s="735" t="s">
        <v>57</v>
      </c>
      <c r="I159" s="736" t="s">
        <v>496</v>
      </c>
      <c r="J159" s="121"/>
      <c r="K159" s="137">
        <f t="shared" ref="K159:M159" si="31">K160</f>
        <v>779</v>
      </c>
      <c r="L159" s="137">
        <f t="shared" si="31"/>
        <v>0</v>
      </c>
      <c r="M159" s="137">
        <f t="shared" si="31"/>
        <v>779</v>
      </c>
    </row>
    <row r="160" spans="1:13" s="118" customFormat="1" ht="56.25" customHeight="1">
      <c r="A160" s="122"/>
      <c r="B160" s="135" t="s">
        <v>75</v>
      </c>
      <c r="C160" s="136" t="s">
        <v>3</v>
      </c>
      <c r="D160" s="121" t="s">
        <v>72</v>
      </c>
      <c r="E160" s="121" t="s">
        <v>121</v>
      </c>
      <c r="F160" s="734" t="s">
        <v>109</v>
      </c>
      <c r="G160" s="735" t="s">
        <v>65</v>
      </c>
      <c r="H160" s="735" t="s">
        <v>57</v>
      </c>
      <c r="I160" s="736" t="s">
        <v>496</v>
      </c>
      <c r="J160" s="121" t="s">
        <v>76</v>
      </c>
      <c r="K160" s="137">
        <v>779</v>
      </c>
      <c r="L160" s="137">
        <f>M160-K160</f>
        <v>0</v>
      </c>
      <c r="M160" s="137">
        <v>779</v>
      </c>
    </row>
    <row r="161" spans="1:13" s="118" customFormat="1" ht="57.75" customHeight="1">
      <c r="A161" s="122"/>
      <c r="B161" s="135" t="s">
        <v>60</v>
      </c>
      <c r="C161" s="136" t="s">
        <v>3</v>
      </c>
      <c r="D161" s="121" t="s">
        <v>72</v>
      </c>
      <c r="E161" s="121" t="s">
        <v>121</v>
      </c>
      <c r="F161" s="734" t="s">
        <v>61</v>
      </c>
      <c r="G161" s="735" t="s">
        <v>62</v>
      </c>
      <c r="H161" s="735" t="s">
        <v>63</v>
      </c>
      <c r="I161" s="736" t="s">
        <v>64</v>
      </c>
      <c r="J161" s="121"/>
      <c r="K161" s="137">
        <f t="shared" ref="K161:M162" si="32">K162</f>
        <v>6584.4</v>
      </c>
      <c r="L161" s="137">
        <f t="shared" si="32"/>
        <v>1876.6000000000004</v>
      </c>
      <c r="M161" s="137">
        <f t="shared" si="32"/>
        <v>8461</v>
      </c>
    </row>
    <row r="162" spans="1:13" s="118" customFormat="1" ht="37.5" customHeight="1">
      <c r="A162" s="122"/>
      <c r="B162" s="135" t="s">
        <v>404</v>
      </c>
      <c r="C162" s="136" t="s">
        <v>3</v>
      </c>
      <c r="D162" s="121" t="s">
        <v>72</v>
      </c>
      <c r="E162" s="121" t="s">
        <v>121</v>
      </c>
      <c r="F162" s="734" t="s">
        <v>61</v>
      </c>
      <c r="G162" s="735" t="s">
        <v>65</v>
      </c>
      <c r="H162" s="735" t="s">
        <v>63</v>
      </c>
      <c r="I162" s="736" t="s">
        <v>64</v>
      </c>
      <c r="J162" s="121"/>
      <c r="K162" s="137">
        <f t="shared" si="32"/>
        <v>6584.4</v>
      </c>
      <c r="L162" s="137">
        <f t="shared" si="32"/>
        <v>1876.6000000000004</v>
      </c>
      <c r="M162" s="137">
        <f t="shared" si="32"/>
        <v>8461</v>
      </c>
    </row>
    <row r="163" spans="1:13" s="118" customFormat="1" ht="56.25" customHeight="1">
      <c r="A163" s="122"/>
      <c r="B163" s="135" t="s">
        <v>396</v>
      </c>
      <c r="C163" s="136" t="s">
        <v>3</v>
      </c>
      <c r="D163" s="121" t="s">
        <v>72</v>
      </c>
      <c r="E163" s="121" t="s">
        <v>121</v>
      </c>
      <c r="F163" s="734" t="s">
        <v>61</v>
      </c>
      <c r="G163" s="735" t="s">
        <v>65</v>
      </c>
      <c r="H163" s="735" t="s">
        <v>109</v>
      </c>
      <c r="I163" s="736" t="s">
        <v>64</v>
      </c>
      <c r="J163" s="121"/>
      <c r="K163" s="137">
        <f>K164+K167</f>
        <v>6584.4</v>
      </c>
      <c r="L163" s="137">
        <f>L164+L167</f>
        <v>1876.6000000000004</v>
      </c>
      <c r="M163" s="137">
        <f>M164+M167</f>
        <v>8461</v>
      </c>
    </row>
    <row r="164" spans="1:13" s="118" customFormat="1" ht="36.75" customHeight="1">
      <c r="A164" s="122"/>
      <c r="B164" s="138" t="s">
        <v>795</v>
      </c>
      <c r="C164" s="136" t="s">
        <v>3</v>
      </c>
      <c r="D164" s="121" t="s">
        <v>72</v>
      </c>
      <c r="E164" s="121" t="s">
        <v>121</v>
      </c>
      <c r="F164" s="734" t="s">
        <v>61</v>
      </c>
      <c r="G164" s="735" t="s">
        <v>65</v>
      </c>
      <c r="H164" s="735" t="s">
        <v>109</v>
      </c>
      <c r="I164" s="736" t="s">
        <v>112</v>
      </c>
      <c r="J164" s="121"/>
      <c r="K164" s="137">
        <f>K165+K166</f>
        <v>4604.3999999999996</v>
      </c>
      <c r="L164" s="137">
        <f>L165+L166</f>
        <v>1876.6000000000004</v>
      </c>
      <c r="M164" s="137">
        <f>M165+M166</f>
        <v>6481</v>
      </c>
    </row>
    <row r="165" spans="1:13" s="118" customFormat="1" ht="112.5" customHeight="1">
      <c r="A165" s="122"/>
      <c r="B165" s="135" t="s">
        <v>69</v>
      </c>
      <c r="C165" s="136" t="s">
        <v>3</v>
      </c>
      <c r="D165" s="121" t="s">
        <v>72</v>
      </c>
      <c r="E165" s="121" t="s">
        <v>121</v>
      </c>
      <c r="F165" s="734" t="s">
        <v>61</v>
      </c>
      <c r="G165" s="735" t="s">
        <v>65</v>
      </c>
      <c r="H165" s="735" t="s">
        <v>109</v>
      </c>
      <c r="I165" s="736" t="s">
        <v>112</v>
      </c>
      <c r="J165" s="121" t="s">
        <v>70</v>
      </c>
      <c r="K165" s="137">
        <v>4360.3999999999996</v>
      </c>
      <c r="L165" s="137">
        <f>M165-K165</f>
        <v>267.10000000000036</v>
      </c>
      <c r="M165" s="137">
        <f>4360.4+267.1</f>
        <v>4627.5</v>
      </c>
    </row>
    <row r="166" spans="1:13" s="118" customFormat="1" ht="56.25" customHeight="1">
      <c r="A166" s="122"/>
      <c r="B166" s="135" t="s">
        <v>75</v>
      </c>
      <c r="C166" s="136" t="s">
        <v>3</v>
      </c>
      <c r="D166" s="121" t="s">
        <v>72</v>
      </c>
      <c r="E166" s="121" t="s">
        <v>121</v>
      </c>
      <c r="F166" s="734" t="s">
        <v>61</v>
      </c>
      <c r="G166" s="735" t="s">
        <v>65</v>
      </c>
      <c r="H166" s="735" t="s">
        <v>109</v>
      </c>
      <c r="I166" s="736" t="s">
        <v>112</v>
      </c>
      <c r="J166" s="121" t="s">
        <v>76</v>
      </c>
      <c r="K166" s="137">
        <v>244</v>
      </c>
      <c r="L166" s="137">
        <f>M166-K166</f>
        <v>1609.5</v>
      </c>
      <c r="M166" s="137">
        <f>244+1609.5</f>
        <v>1853.5</v>
      </c>
    </row>
    <row r="167" spans="1:13" s="118" customFormat="1" ht="56.25" customHeight="1">
      <c r="A167" s="122"/>
      <c r="B167" s="135" t="s">
        <v>903</v>
      </c>
      <c r="C167" s="136" t="s">
        <v>3</v>
      </c>
      <c r="D167" s="121" t="s">
        <v>72</v>
      </c>
      <c r="E167" s="121" t="s">
        <v>121</v>
      </c>
      <c r="F167" s="734" t="s">
        <v>61</v>
      </c>
      <c r="G167" s="735" t="s">
        <v>65</v>
      </c>
      <c r="H167" s="735" t="s">
        <v>109</v>
      </c>
      <c r="I167" s="736" t="s">
        <v>902</v>
      </c>
      <c r="J167" s="121"/>
      <c r="K167" s="137">
        <f>K168</f>
        <v>1980</v>
      </c>
      <c r="L167" s="137">
        <f>L168</f>
        <v>0</v>
      </c>
      <c r="M167" s="137">
        <f>M168</f>
        <v>1980</v>
      </c>
    </row>
    <row r="168" spans="1:13" s="118" customFormat="1" ht="56.25" customHeight="1">
      <c r="A168" s="122"/>
      <c r="B168" s="135" t="s">
        <v>75</v>
      </c>
      <c r="C168" s="136" t="s">
        <v>3</v>
      </c>
      <c r="D168" s="121" t="s">
        <v>72</v>
      </c>
      <c r="E168" s="121" t="s">
        <v>121</v>
      </c>
      <c r="F168" s="734" t="s">
        <v>61</v>
      </c>
      <c r="G168" s="735" t="s">
        <v>65</v>
      </c>
      <c r="H168" s="735" t="s">
        <v>109</v>
      </c>
      <c r="I168" s="736" t="s">
        <v>902</v>
      </c>
      <c r="J168" s="121" t="s">
        <v>76</v>
      </c>
      <c r="K168" s="137">
        <v>1980</v>
      </c>
      <c r="L168" s="137">
        <f>M168-K168</f>
        <v>0</v>
      </c>
      <c r="M168" s="137">
        <v>1980</v>
      </c>
    </row>
    <row r="169" spans="1:13" s="118" customFormat="1" ht="18.75" customHeight="1">
      <c r="A169" s="122"/>
      <c r="B169" s="135" t="s">
        <v>199</v>
      </c>
      <c r="C169" s="136" t="s">
        <v>3</v>
      </c>
      <c r="D169" s="121" t="s">
        <v>86</v>
      </c>
      <c r="E169" s="121"/>
      <c r="F169" s="734"/>
      <c r="G169" s="735"/>
      <c r="H169" s="735"/>
      <c r="I169" s="736"/>
      <c r="J169" s="121"/>
      <c r="K169" s="664">
        <f t="shared" ref="K169:M174" si="33">K170</f>
        <v>1163.5999999999999</v>
      </c>
      <c r="L169" s="137">
        <f>L170</f>
        <v>0</v>
      </c>
      <c r="M169" s="664">
        <f t="shared" si="33"/>
        <v>1163.5999999999999</v>
      </c>
    </row>
    <row r="170" spans="1:13" s="118" customFormat="1" ht="18.75" customHeight="1">
      <c r="A170" s="122"/>
      <c r="B170" s="135" t="s">
        <v>971</v>
      </c>
      <c r="C170" s="136" t="s">
        <v>3</v>
      </c>
      <c r="D170" s="121" t="s">
        <v>86</v>
      </c>
      <c r="E170" s="121" t="s">
        <v>84</v>
      </c>
      <c r="F170" s="734"/>
      <c r="G170" s="735"/>
      <c r="H170" s="735"/>
      <c r="I170" s="736"/>
      <c r="J170" s="121"/>
      <c r="K170" s="664">
        <f t="shared" si="33"/>
        <v>1163.5999999999999</v>
      </c>
      <c r="L170" s="137">
        <f t="shared" si="33"/>
        <v>0</v>
      </c>
      <c r="M170" s="664">
        <f t="shared" si="33"/>
        <v>1163.5999999999999</v>
      </c>
    </row>
    <row r="171" spans="1:13" s="118" customFormat="1" ht="75" customHeight="1">
      <c r="A171" s="122"/>
      <c r="B171" s="135" t="s">
        <v>972</v>
      </c>
      <c r="C171" s="136" t="s">
        <v>3</v>
      </c>
      <c r="D171" s="121" t="s">
        <v>86</v>
      </c>
      <c r="E171" s="121" t="s">
        <v>84</v>
      </c>
      <c r="F171" s="734" t="s">
        <v>125</v>
      </c>
      <c r="G171" s="735" t="s">
        <v>62</v>
      </c>
      <c r="H171" s="735" t="s">
        <v>63</v>
      </c>
      <c r="I171" s="736" t="s">
        <v>64</v>
      </c>
      <c r="J171" s="121"/>
      <c r="K171" s="664">
        <f t="shared" si="33"/>
        <v>1163.5999999999999</v>
      </c>
      <c r="L171" s="137">
        <f t="shared" si="33"/>
        <v>0</v>
      </c>
      <c r="M171" s="664">
        <f t="shared" si="33"/>
        <v>1163.5999999999999</v>
      </c>
    </row>
    <row r="172" spans="1:13" s="118" customFormat="1" ht="56.25" customHeight="1">
      <c r="A172" s="122"/>
      <c r="B172" s="135" t="s">
        <v>973</v>
      </c>
      <c r="C172" s="136" t="s">
        <v>3</v>
      </c>
      <c r="D172" s="121" t="s">
        <v>86</v>
      </c>
      <c r="E172" s="121" t="s">
        <v>84</v>
      </c>
      <c r="F172" s="734" t="s">
        <v>125</v>
      </c>
      <c r="G172" s="735" t="s">
        <v>54</v>
      </c>
      <c r="H172" s="735" t="s">
        <v>63</v>
      </c>
      <c r="I172" s="736" t="s">
        <v>64</v>
      </c>
      <c r="J172" s="121"/>
      <c r="K172" s="664">
        <f t="shared" si="33"/>
        <v>1163.5999999999999</v>
      </c>
      <c r="L172" s="137">
        <f t="shared" si="33"/>
        <v>0</v>
      </c>
      <c r="M172" s="664">
        <f t="shared" si="33"/>
        <v>1163.5999999999999</v>
      </c>
    </row>
    <row r="173" spans="1:13" s="118" customFormat="1" ht="56.25" customHeight="1">
      <c r="A173" s="122"/>
      <c r="B173" s="135" t="s">
        <v>974</v>
      </c>
      <c r="C173" s="136" t="s">
        <v>3</v>
      </c>
      <c r="D173" s="121" t="s">
        <v>86</v>
      </c>
      <c r="E173" s="121" t="s">
        <v>84</v>
      </c>
      <c r="F173" s="734" t="s">
        <v>125</v>
      </c>
      <c r="G173" s="735" t="s">
        <v>54</v>
      </c>
      <c r="H173" s="735" t="s">
        <v>57</v>
      </c>
      <c r="I173" s="736" t="s">
        <v>64</v>
      </c>
      <c r="J173" s="121"/>
      <c r="K173" s="664">
        <f t="shared" si="33"/>
        <v>1163.5999999999999</v>
      </c>
      <c r="L173" s="137">
        <f t="shared" si="33"/>
        <v>0</v>
      </c>
      <c r="M173" s="664">
        <f t="shared" si="33"/>
        <v>1163.5999999999999</v>
      </c>
    </row>
    <row r="174" spans="1:13" s="118" customFormat="1" ht="56.25">
      <c r="A174" s="122"/>
      <c r="B174" s="135" t="s">
        <v>975</v>
      </c>
      <c r="C174" s="136" t="s">
        <v>3</v>
      </c>
      <c r="D174" s="121" t="s">
        <v>86</v>
      </c>
      <c r="E174" s="121" t="s">
        <v>84</v>
      </c>
      <c r="F174" s="734" t="s">
        <v>125</v>
      </c>
      <c r="G174" s="735" t="s">
        <v>54</v>
      </c>
      <c r="H174" s="735" t="s">
        <v>57</v>
      </c>
      <c r="I174" s="736" t="s">
        <v>976</v>
      </c>
      <c r="J174" s="121"/>
      <c r="K174" s="664">
        <f t="shared" si="33"/>
        <v>1163.5999999999999</v>
      </c>
      <c r="L174" s="137">
        <f t="shared" si="33"/>
        <v>0</v>
      </c>
      <c r="M174" s="664">
        <f t="shared" si="33"/>
        <v>1163.5999999999999</v>
      </c>
    </row>
    <row r="175" spans="1:13" s="118" customFormat="1" ht="56.25" customHeight="1">
      <c r="A175" s="122"/>
      <c r="B175" s="135" t="s">
        <v>75</v>
      </c>
      <c r="C175" s="136" t="s">
        <v>3</v>
      </c>
      <c r="D175" s="121" t="s">
        <v>86</v>
      </c>
      <c r="E175" s="121" t="s">
        <v>84</v>
      </c>
      <c r="F175" s="734" t="s">
        <v>125</v>
      </c>
      <c r="G175" s="735" t="s">
        <v>54</v>
      </c>
      <c r="H175" s="735" t="s">
        <v>57</v>
      </c>
      <c r="I175" s="736" t="s">
        <v>976</v>
      </c>
      <c r="J175" s="121" t="s">
        <v>76</v>
      </c>
      <c r="K175" s="137">
        <v>1163.5999999999999</v>
      </c>
      <c r="L175" s="137">
        <f>M175-K175</f>
        <v>0</v>
      </c>
      <c r="M175" s="137">
        <v>1163.5999999999999</v>
      </c>
    </row>
    <row r="176" spans="1:13" s="351" customFormat="1" ht="18.75" customHeight="1">
      <c r="A176" s="122"/>
      <c r="B176" s="135" t="s">
        <v>140</v>
      </c>
      <c r="C176" s="136" t="s">
        <v>3</v>
      </c>
      <c r="D176" s="121" t="s">
        <v>125</v>
      </c>
      <c r="E176" s="121"/>
      <c r="F176" s="734"/>
      <c r="G176" s="735"/>
      <c r="H176" s="735"/>
      <c r="I176" s="736"/>
      <c r="J176" s="121"/>
      <c r="K176" s="137">
        <f>K177+K183+K192</f>
        <v>2540.6999999999998</v>
      </c>
      <c r="L176" s="137">
        <f>L177+L183+L192</f>
        <v>0</v>
      </c>
      <c r="M176" s="137">
        <f>M177+M183+M192</f>
        <v>2540.6999999999998</v>
      </c>
    </row>
    <row r="177" spans="1:13" s="351" customFormat="1" ht="18.75" customHeight="1">
      <c r="A177" s="122"/>
      <c r="B177" s="135" t="s">
        <v>432</v>
      </c>
      <c r="C177" s="136" t="s">
        <v>3</v>
      </c>
      <c r="D177" s="121" t="s">
        <v>125</v>
      </c>
      <c r="E177" s="121" t="s">
        <v>57</v>
      </c>
      <c r="F177" s="734"/>
      <c r="G177" s="735"/>
      <c r="H177" s="735"/>
      <c r="I177" s="736"/>
      <c r="J177" s="121"/>
      <c r="K177" s="137">
        <f t="shared" ref="K177:M181" si="34">K178</f>
        <v>552</v>
      </c>
      <c r="L177" s="137">
        <f t="shared" si="34"/>
        <v>0</v>
      </c>
      <c r="M177" s="137">
        <f t="shared" si="34"/>
        <v>552</v>
      </c>
    </row>
    <row r="178" spans="1:13" s="351" customFormat="1" ht="56.25" customHeight="1">
      <c r="A178" s="122"/>
      <c r="B178" s="142" t="s">
        <v>339</v>
      </c>
      <c r="C178" s="136" t="s">
        <v>3</v>
      </c>
      <c r="D178" s="121" t="s">
        <v>125</v>
      </c>
      <c r="E178" s="121" t="s">
        <v>57</v>
      </c>
      <c r="F178" s="734" t="s">
        <v>100</v>
      </c>
      <c r="G178" s="735" t="s">
        <v>62</v>
      </c>
      <c r="H178" s="735" t="s">
        <v>63</v>
      </c>
      <c r="I178" s="736" t="s">
        <v>64</v>
      </c>
      <c r="J178" s="121"/>
      <c r="K178" s="137">
        <f t="shared" si="34"/>
        <v>552</v>
      </c>
      <c r="L178" s="137">
        <f t="shared" si="34"/>
        <v>0</v>
      </c>
      <c r="M178" s="137">
        <f t="shared" si="34"/>
        <v>552</v>
      </c>
    </row>
    <row r="179" spans="1:13" s="351" customFormat="1" ht="37.5" customHeight="1">
      <c r="A179" s="122"/>
      <c r="B179" s="135" t="s">
        <v>404</v>
      </c>
      <c r="C179" s="136" t="s">
        <v>3</v>
      </c>
      <c r="D179" s="121" t="s">
        <v>125</v>
      </c>
      <c r="E179" s="121" t="s">
        <v>57</v>
      </c>
      <c r="F179" s="734" t="s">
        <v>100</v>
      </c>
      <c r="G179" s="735" t="s">
        <v>65</v>
      </c>
      <c r="H179" s="735" t="s">
        <v>63</v>
      </c>
      <c r="I179" s="736" t="s">
        <v>64</v>
      </c>
      <c r="J179" s="121"/>
      <c r="K179" s="137">
        <f t="shared" si="34"/>
        <v>552</v>
      </c>
      <c r="L179" s="137">
        <f t="shared" si="34"/>
        <v>0</v>
      </c>
      <c r="M179" s="137">
        <f t="shared" si="34"/>
        <v>552</v>
      </c>
    </row>
    <row r="180" spans="1:13" s="351" customFormat="1" ht="93.75" customHeight="1">
      <c r="A180" s="122"/>
      <c r="B180" s="138" t="s">
        <v>753</v>
      </c>
      <c r="C180" s="136" t="s">
        <v>3</v>
      </c>
      <c r="D180" s="121" t="s">
        <v>125</v>
      </c>
      <c r="E180" s="121" t="s">
        <v>57</v>
      </c>
      <c r="F180" s="734" t="s">
        <v>100</v>
      </c>
      <c r="G180" s="735" t="s">
        <v>65</v>
      </c>
      <c r="H180" s="735" t="s">
        <v>72</v>
      </c>
      <c r="I180" s="736" t="s">
        <v>64</v>
      </c>
      <c r="J180" s="121"/>
      <c r="K180" s="137">
        <f t="shared" si="34"/>
        <v>552</v>
      </c>
      <c r="L180" s="137">
        <f t="shared" si="34"/>
        <v>0</v>
      </c>
      <c r="M180" s="137">
        <f t="shared" si="34"/>
        <v>552</v>
      </c>
    </row>
    <row r="181" spans="1:13" s="351" customFormat="1" ht="75">
      <c r="A181" s="122"/>
      <c r="B181" s="138" t="s">
        <v>746</v>
      </c>
      <c r="C181" s="136" t="s">
        <v>3</v>
      </c>
      <c r="D181" s="121" t="s">
        <v>125</v>
      </c>
      <c r="E181" s="121" t="s">
        <v>57</v>
      </c>
      <c r="F181" s="734" t="s">
        <v>100</v>
      </c>
      <c r="G181" s="735" t="s">
        <v>65</v>
      </c>
      <c r="H181" s="735" t="s">
        <v>72</v>
      </c>
      <c r="I181" s="736" t="s">
        <v>433</v>
      </c>
      <c r="J181" s="121"/>
      <c r="K181" s="137">
        <f t="shared" si="34"/>
        <v>552</v>
      </c>
      <c r="L181" s="137">
        <f t="shared" si="34"/>
        <v>0</v>
      </c>
      <c r="M181" s="137">
        <f t="shared" si="34"/>
        <v>552</v>
      </c>
    </row>
    <row r="182" spans="1:13" s="351" customFormat="1" ht="37.5" customHeight="1">
      <c r="A182" s="122"/>
      <c r="B182" s="139" t="s">
        <v>141</v>
      </c>
      <c r="C182" s="136" t="s">
        <v>3</v>
      </c>
      <c r="D182" s="121" t="s">
        <v>125</v>
      </c>
      <c r="E182" s="121" t="s">
        <v>57</v>
      </c>
      <c r="F182" s="734" t="s">
        <v>100</v>
      </c>
      <c r="G182" s="735" t="s">
        <v>65</v>
      </c>
      <c r="H182" s="735" t="s">
        <v>72</v>
      </c>
      <c r="I182" s="736" t="s">
        <v>433</v>
      </c>
      <c r="J182" s="121" t="s">
        <v>142</v>
      </c>
      <c r="K182" s="137">
        <v>552</v>
      </c>
      <c r="L182" s="137">
        <f>M182-K182</f>
        <v>0</v>
      </c>
      <c r="M182" s="137">
        <v>552</v>
      </c>
    </row>
    <row r="183" spans="1:13" s="351" customFormat="1" ht="18.75" customHeight="1">
      <c r="A183" s="122"/>
      <c r="B183" s="139" t="s">
        <v>980</v>
      </c>
      <c r="C183" s="136" t="s">
        <v>3</v>
      </c>
      <c r="D183" s="121" t="s">
        <v>125</v>
      </c>
      <c r="E183" s="121" t="s">
        <v>84</v>
      </c>
      <c r="F183" s="734"/>
      <c r="G183" s="735"/>
      <c r="H183" s="735"/>
      <c r="I183" s="736"/>
      <c r="J183" s="121"/>
      <c r="K183" s="664">
        <f t="shared" ref="K183:M184" si="35">K184</f>
        <v>1060</v>
      </c>
      <c r="L183" s="664">
        <f t="shared" si="35"/>
        <v>0</v>
      </c>
      <c r="M183" s="664">
        <f t="shared" si="35"/>
        <v>1060</v>
      </c>
    </row>
    <row r="184" spans="1:13" s="351" customFormat="1" ht="102.6" customHeight="1">
      <c r="A184" s="122"/>
      <c r="B184" s="139" t="s">
        <v>981</v>
      </c>
      <c r="C184" s="136" t="s">
        <v>3</v>
      </c>
      <c r="D184" s="121" t="s">
        <v>125</v>
      </c>
      <c r="E184" s="121" t="s">
        <v>84</v>
      </c>
      <c r="F184" s="734" t="s">
        <v>919</v>
      </c>
      <c r="G184" s="735" t="s">
        <v>62</v>
      </c>
      <c r="H184" s="735" t="s">
        <v>63</v>
      </c>
      <c r="I184" s="736" t="s">
        <v>64</v>
      </c>
      <c r="J184" s="121"/>
      <c r="K184" s="664">
        <f t="shared" si="35"/>
        <v>1060</v>
      </c>
      <c r="L184" s="664">
        <f t="shared" si="35"/>
        <v>0</v>
      </c>
      <c r="M184" s="664">
        <f t="shared" si="35"/>
        <v>1060</v>
      </c>
    </row>
    <row r="185" spans="1:13" s="351" customFormat="1" ht="109.15" customHeight="1">
      <c r="A185" s="122"/>
      <c r="B185" s="139" t="s">
        <v>982</v>
      </c>
      <c r="C185" s="136" t="s">
        <v>3</v>
      </c>
      <c r="D185" s="121" t="s">
        <v>125</v>
      </c>
      <c r="E185" s="121" t="s">
        <v>84</v>
      </c>
      <c r="F185" s="734" t="s">
        <v>919</v>
      </c>
      <c r="G185" s="735" t="s">
        <v>65</v>
      </c>
      <c r="H185" s="735" t="s">
        <v>63</v>
      </c>
      <c r="I185" s="736" t="s">
        <v>64</v>
      </c>
      <c r="J185" s="121"/>
      <c r="K185" s="671">
        <f>K186+K189</f>
        <v>1060</v>
      </c>
      <c r="L185" s="671">
        <f>L186+L189</f>
        <v>0</v>
      </c>
      <c r="M185" s="671">
        <f>M186+M189</f>
        <v>1060</v>
      </c>
    </row>
    <row r="186" spans="1:13" s="351" customFormat="1" ht="56.25" customHeight="1">
      <c r="A186" s="122"/>
      <c r="B186" s="139" t="s">
        <v>983</v>
      </c>
      <c r="C186" s="136" t="s">
        <v>3</v>
      </c>
      <c r="D186" s="121" t="s">
        <v>125</v>
      </c>
      <c r="E186" s="121" t="s">
        <v>84</v>
      </c>
      <c r="F186" s="734" t="s">
        <v>919</v>
      </c>
      <c r="G186" s="735" t="s">
        <v>65</v>
      </c>
      <c r="H186" s="735" t="s">
        <v>57</v>
      </c>
      <c r="I186" s="736" t="s">
        <v>64</v>
      </c>
      <c r="J186" s="121"/>
      <c r="K186" s="671">
        <f>K187</f>
        <v>210</v>
      </c>
      <c r="L186" s="671">
        <f>L187</f>
        <v>0</v>
      </c>
      <c r="M186" s="671">
        <f>M187</f>
        <v>210</v>
      </c>
    </row>
    <row r="187" spans="1:13" s="351" customFormat="1" ht="37.5" customHeight="1">
      <c r="A187" s="122"/>
      <c r="B187" s="139" t="s">
        <v>993</v>
      </c>
      <c r="C187" s="136" t="s">
        <v>3</v>
      </c>
      <c r="D187" s="121" t="s">
        <v>125</v>
      </c>
      <c r="E187" s="121" t="s">
        <v>84</v>
      </c>
      <c r="F187" s="734" t="s">
        <v>919</v>
      </c>
      <c r="G187" s="735" t="s">
        <v>65</v>
      </c>
      <c r="H187" s="735" t="s">
        <v>57</v>
      </c>
      <c r="I187" s="736" t="s">
        <v>994</v>
      </c>
      <c r="J187" s="121"/>
      <c r="K187" s="137">
        <f>K188</f>
        <v>210</v>
      </c>
      <c r="L187" s="137">
        <f t="shared" ref="L187:L188" si="36">M187-K187</f>
        <v>0</v>
      </c>
      <c r="M187" s="137">
        <f>M188</f>
        <v>210</v>
      </c>
    </row>
    <row r="188" spans="1:13" s="351" customFormat="1" ht="37.5" customHeight="1">
      <c r="A188" s="122"/>
      <c r="B188" s="139" t="s">
        <v>141</v>
      </c>
      <c r="C188" s="136" t="s">
        <v>3</v>
      </c>
      <c r="D188" s="121" t="s">
        <v>125</v>
      </c>
      <c r="E188" s="121" t="s">
        <v>84</v>
      </c>
      <c r="F188" s="734" t="s">
        <v>919</v>
      </c>
      <c r="G188" s="735" t="s">
        <v>65</v>
      </c>
      <c r="H188" s="735" t="s">
        <v>57</v>
      </c>
      <c r="I188" s="736" t="s">
        <v>994</v>
      </c>
      <c r="J188" s="121" t="s">
        <v>142</v>
      </c>
      <c r="K188" s="137">
        <v>210</v>
      </c>
      <c r="L188" s="137">
        <f t="shared" si="36"/>
        <v>0</v>
      </c>
      <c r="M188" s="137">
        <v>210</v>
      </c>
    </row>
    <row r="189" spans="1:13" s="351" customFormat="1" ht="75">
      <c r="A189" s="122"/>
      <c r="B189" s="139" t="s">
        <v>984</v>
      </c>
      <c r="C189" s="136" t="s">
        <v>3</v>
      </c>
      <c r="D189" s="121" t="s">
        <v>125</v>
      </c>
      <c r="E189" s="121" t="s">
        <v>84</v>
      </c>
      <c r="F189" s="734" t="s">
        <v>919</v>
      </c>
      <c r="G189" s="735" t="s">
        <v>65</v>
      </c>
      <c r="H189" s="735" t="s">
        <v>59</v>
      </c>
      <c r="I189" s="736" t="s">
        <v>64</v>
      </c>
      <c r="J189" s="121"/>
      <c r="K189" s="137">
        <f>K191</f>
        <v>850</v>
      </c>
      <c r="L189" s="137">
        <f>L191</f>
        <v>0</v>
      </c>
      <c r="M189" s="137">
        <f>M191</f>
        <v>850</v>
      </c>
    </row>
    <row r="190" spans="1:13" s="351" customFormat="1" ht="37.5" customHeight="1">
      <c r="A190" s="122"/>
      <c r="B190" s="139" t="s">
        <v>993</v>
      </c>
      <c r="C190" s="136" t="s">
        <v>3</v>
      </c>
      <c r="D190" s="121" t="s">
        <v>125</v>
      </c>
      <c r="E190" s="121" t="s">
        <v>84</v>
      </c>
      <c r="F190" s="734" t="s">
        <v>919</v>
      </c>
      <c r="G190" s="735" t="s">
        <v>65</v>
      </c>
      <c r="H190" s="735" t="s">
        <v>59</v>
      </c>
      <c r="I190" s="736" t="s">
        <v>994</v>
      </c>
      <c r="J190" s="121"/>
      <c r="K190" s="137">
        <f>K191</f>
        <v>850</v>
      </c>
      <c r="L190" s="137">
        <f t="shared" ref="L190:L191" si="37">M190-K190</f>
        <v>0</v>
      </c>
      <c r="M190" s="137">
        <f>M191</f>
        <v>850</v>
      </c>
    </row>
    <row r="191" spans="1:13" s="351" customFormat="1" ht="37.5" customHeight="1">
      <c r="A191" s="122"/>
      <c r="B191" s="139" t="s">
        <v>141</v>
      </c>
      <c r="C191" s="136" t="s">
        <v>3</v>
      </c>
      <c r="D191" s="121" t="s">
        <v>125</v>
      </c>
      <c r="E191" s="121" t="s">
        <v>84</v>
      </c>
      <c r="F191" s="734" t="s">
        <v>919</v>
      </c>
      <c r="G191" s="735" t="s">
        <v>65</v>
      </c>
      <c r="H191" s="735" t="s">
        <v>59</v>
      </c>
      <c r="I191" s="736" t="s">
        <v>994</v>
      </c>
      <c r="J191" s="121" t="s">
        <v>142</v>
      </c>
      <c r="K191" s="137">
        <v>850</v>
      </c>
      <c r="L191" s="137">
        <f t="shared" si="37"/>
        <v>0</v>
      </c>
      <c r="M191" s="137">
        <v>850</v>
      </c>
    </row>
    <row r="192" spans="1:13" s="351" customFormat="1" ht="37.5" customHeight="1">
      <c r="A192" s="122"/>
      <c r="B192" s="135" t="s">
        <v>143</v>
      </c>
      <c r="C192" s="136" t="s">
        <v>3</v>
      </c>
      <c r="D192" s="121" t="s">
        <v>125</v>
      </c>
      <c r="E192" s="121" t="s">
        <v>102</v>
      </c>
      <c r="F192" s="734"/>
      <c r="G192" s="735"/>
      <c r="H192" s="735"/>
      <c r="I192" s="736"/>
      <c r="J192" s="121"/>
      <c r="K192" s="137">
        <f>K193</f>
        <v>928.7</v>
      </c>
      <c r="L192" s="137">
        <f>L193</f>
        <v>0</v>
      </c>
      <c r="M192" s="137">
        <f>M193</f>
        <v>928.7</v>
      </c>
    </row>
    <row r="193" spans="1:13" s="351" customFormat="1" ht="78" customHeight="1">
      <c r="A193" s="122"/>
      <c r="B193" s="135" t="s">
        <v>93</v>
      </c>
      <c r="C193" s="136" t="s">
        <v>3</v>
      </c>
      <c r="D193" s="121" t="s">
        <v>125</v>
      </c>
      <c r="E193" s="121" t="s">
        <v>102</v>
      </c>
      <c r="F193" s="734" t="s">
        <v>94</v>
      </c>
      <c r="G193" s="735" t="s">
        <v>62</v>
      </c>
      <c r="H193" s="735" t="s">
        <v>63</v>
      </c>
      <c r="I193" s="736" t="s">
        <v>64</v>
      </c>
      <c r="J193" s="121"/>
      <c r="K193" s="137">
        <f t="shared" ref="K193:M196" si="38">K194</f>
        <v>928.7</v>
      </c>
      <c r="L193" s="137">
        <f t="shared" si="38"/>
        <v>0</v>
      </c>
      <c r="M193" s="137">
        <f t="shared" si="38"/>
        <v>928.7</v>
      </c>
    </row>
    <row r="194" spans="1:13" s="351" customFormat="1" ht="37.5" customHeight="1">
      <c r="A194" s="122"/>
      <c r="B194" s="135" t="s">
        <v>404</v>
      </c>
      <c r="C194" s="136" t="s">
        <v>3</v>
      </c>
      <c r="D194" s="121" t="s">
        <v>125</v>
      </c>
      <c r="E194" s="121" t="s">
        <v>102</v>
      </c>
      <c r="F194" s="734" t="s">
        <v>94</v>
      </c>
      <c r="G194" s="735" t="s">
        <v>65</v>
      </c>
      <c r="H194" s="735" t="s">
        <v>63</v>
      </c>
      <c r="I194" s="736" t="s">
        <v>64</v>
      </c>
      <c r="J194" s="121"/>
      <c r="K194" s="137">
        <f t="shared" si="38"/>
        <v>928.7</v>
      </c>
      <c r="L194" s="137">
        <f t="shared" si="38"/>
        <v>0</v>
      </c>
      <c r="M194" s="137">
        <f t="shared" si="38"/>
        <v>928.7</v>
      </c>
    </row>
    <row r="195" spans="1:13" s="351" customFormat="1" ht="56.25" customHeight="1">
      <c r="A195" s="122"/>
      <c r="B195" s="138" t="s">
        <v>306</v>
      </c>
      <c r="C195" s="136" t="s">
        <v>3</v>
      </c>
      <c r="D195" s="121" t="s">
        <v>125</v>
      </c>
      <c r="E195" s="121" t="s">
        <v>102</v>
      </c>
      <c r="F195" s="734" t="s">
        <v>94</v>
      </c>
      <c r="G195" s="735" t="s">
        <v>65</v>
      </c>
      <c r="H195" s="735" t="s">
        <v>57</v>
      </c>
      <c r="I195" s="736" t="s">
        <v>64</v>
      </c>
      <c r="J195" s="121"/>
      <c r="K195" s="137">
        <f t="shared" si="38"/>
        <v>928.7</v>
      </c>
      <c r="L195" s="137">
        <f t="shared" si="38"/>
        <v>0</v>
      </c>
      <c r="M195" s="137">
        <f t="shared" si="38"/>
        <v>928.7</v>
      </c>
    </row>
    <row r="196" spans="1:13" s="351" customFormat="1" ht="53.45" customHeight="1">
      <c r="A196" s="122"/>
      <c r="B196" s="138" t="s">
        <v>95</v>
      </c>
      <c r="C196" s="136" t="s">
        <v>3</v>
      </c>
      <c r="D196" s="121" t="s">
        <v>125</v>
      </c>
      <c r="E196" s="121" t="s">
        <v>102</v>
      </c>
      <c r="F196" s="734" t="s">
        <v>94</v>
      </c>
      <c r="G196" s="735" t="s">
        <v>65</v>
      </c>
      <c r="H196" s="735" t="s">
        <v>57</v>
      </c>
      <c r="I196" s="736" t="s">
        <v>96</v>
      </c>
      <c r="J196" s="121"/>
      <c r="K196" s="137">
        <f t="shared" si="38"/>
        <v>928.7</v>
      </c>
      <c r="L196" s="137">
        <f t="shared" si="38"/>
        <v>0</v>
      </c>
      <c r="M196" s="137">
        <f t="shared" si="38"/>
        <v>928.7</v>
      </c>
    </row>
    <row r="197" spans="1:13" s="351" customFormat="1" ht="56.25" customHeight="1">
      <c r="A197" s="122"/>
      <c r="B197" s="139" t="s">
        <v>97</v>
      </c>
      <c r="C197" s="136" t="s">
        <v>3</v>
      </c>
      <c r="D197" s="121" t="s">
        <v>125</v>
      </c>
      <c r="E197" s="121" t="s">
        <v>102</v>
      </c>
      <c r="F197" s="734" t="s">
        <v>94</v>
      </c>
      <c r="G197" s="735" t="s">
        <v>65</v>
      </c>
      <c r="H197" s="735" t="s">
        <v>57</v>
      </c>
      <c r="I197" s="736" t="s">
        <v>96</v>
      </c>
      <c r="J197" s="121" t="s">
        <v>98</v>
      </c>
      <c r="K197" s="137">
        <v>928.7</v>
      </c>
      <c r="L197" s="137">
        <f>M197-K197</f>
        <v>0</v>
      </c>
      <c r="M197" s="137">
        <v>928.7</v>
      </c>
    </row>
    <row r="198" spans="1:13" s="351" customFormat="1" ht="22.9" customHeight="1">
      <c r="A198" s="122"/>
      <c r="B198" s="139" t="s">
        <v>385</v>
      </c>
      <c r="C198" s="136" t="s">
        <v>3</v>
      </c>
      <c r="D198" s="121" t="s">
        <v>88</v>
      </c>
      <c r="E198" s="121"/>
      <c r="F198" s="782"/>
      <c r="G198" s="783"/>
      <c r="H198" s="783"/>
      <c r="I198" s="784"/>
      <c r="J198" s="121"/>
      <c r="K198" s="137">
        <f>K199</f>
        <v>0</v>
      </c>
      <c r="L198" s="137">
        <f>L199</f>
        <v>1444.6</v>
      </c>
      <c r="M198" s="137">
        <f t="shared" ref="M198" si="39">M199</f>
        <v>1444.6</v>
      </c>
    </row>
    <row r="199" spans="1:13" s="351" customFormat="1" ht="20.45" customHeight="1">
      <c r="A199" s="122"/>
      <c r="B199" s="139" t="s">
        <v>443</v>
      </c>
      <c r="C199" s="136" t="s">
        <v>3</v>
      </c>
      <c r="D199" s="121" t="s">
        <v>88</v>
      </c>
      <c r="E199" s="121" t="s">
        <v>57</v>
      </c>
      <c r="F199" s="782"/>
      <c r="G199" s="783"/>
      <c r="H199" s="783"/>
      <c r="I199" s="784"/>
      <c r="J199" s="121"/>
      <c r="K199" s="137">
        <f>K200</f>
        <v>0</v>
      </c>
      <c r="L199" s="137">
        <f>L200</f>
        <v>1444.6</v>
      </c>
      <c r="M199" s="137">
        <f>M200</f>
        <v>1444.6</v>
      </c>
    </row>
    <row r="200" spans="1:13" s="351" customFormat="1" ht="70.150000000000006" customHeight="1">
      <c r="A200" s="122"/>
      <c r="B200" s="139" t="s">
        <v>93</v>
      </c>
      <c r="C200" s="136" t="s">
        <v>3</v>
      </c>
      <c r="D200" s="121" t="s">
        <v>88</v>
      </c>
      <c r="E200" s="121" t="s">
        <v>57</v>
      </c>
      <c r="F200" s="782" t="s">
        <v>94</v>
      </c>
      <c r="G200" s="783" t="s">
        <v>62</v>
      </c>
      <c r="H200" s="783" t="s">
        <v>63</v>
      </c>
      <c r="I200" s="784" t="s">
        <v>64</v>
      </c>
      <c r="J200" s="121"/>
      <c r="K200" s="137">
        <f t="shared" ref="K200:M203" si="40">K201</f>
        <v>0</v>
      </c>
      <c r="L200" s="137">
        <f t="shared" si="40"/>
        <v>1444.6</v>
      </c>
      <c r="M200" s="137">
        <f t="shared" si="40"/>
        <v>1444.6</v>
      </c>
    </row>
    <row r="201" spans="1:13" s="351" customFormat="1" ht="37.15" customHeight="1">
      <c r="A201" s="122"/>
      <c r="B201" s="139" t="s">
        <v>404</v>
      </c>
      <c r="C201" s="136" t="s">
        <v>3</v>
      </c>
      <c r="D201" s="121" t="s">
        <v>88</v>
      </c>
      <c r="E201" s="121" t="s">
        <v>57</v>
      </c>
      <c r="F201" s="782" t="s">
        <v>94</v>
      </c>
      <c r="G201" s="783" t="s">
        <v>65</v>
      </c>
      <c r="H201" s="783" t="s">
        <v>63</v>
      </c>
      <c r="I201" s="784" t="s">
        <v>64</v>
      </c>
      <c r="J201" s="121"/>
      <c r="K201" s="137">
        <f t="shared" si="40"/>
        <v>0</v>
      </c>
      <c r="L201" s="137">
        <f t="shared" si="40"/>
        <v>1444.6</v>
      </c>
      <c r="M201" s="137">
        <f t="shared" si="40"/>
        <v>1444.6</v>
      </c>
    </row>
    <row r="202" spans="1:13" s="351" customFormat="1" ht="56.25" customHeight="1">
      <c r="A202" s="122"/>
      <c r="B202" s="139" t="s">
        <v>306</v>
      </c>
      <c r="C202" s="136" t="s">
        <v>3</v>
      </c>
      <c r="D202" s="121" t="s">
        <v>88</v>
      </c>
      <c r="E202" s="121" t="s">
        <v>57</v>
      </c>
      <c r="F202" s="782" t="s">
        <v>94</v>
      </c>
      <c r="G202" s="783" t="s">
        <v>65</v>
      </c>
      <c r="H202" s="783" t="s">
        <v>57</v>
      </c>
      <c r="I202" s="784" t="s">
        <v>64</v>
      </c>
      <c r="J202" s="121"/>
      <c r="K202" s="137">
        <f t="shared" si="40"/>
        <v>0</v>
      </c>
      <c r="L202" s="137">
        <f t="shared" si="40"/>
        <v>1444.6</v>
      </c>
      <c r="M202" s="137">
        <f t="shared" si="40"/>
        <v>1444.6</v>
      </c>
    </row>
    <row r="203" spans="1:13" s="351" customFormat="1" ht="56.25" customHeight="1">
      <c r="A203" s="122"/>
      <c r="B203" s="139" t="s">
        <v>95</v>
      </c>
      <c r="C203" s="136" t="s">
        <v>3</v>
      </c>
      <c r="D203" s="121" t="s">
        <v>88</v>
      </c>
      <c r="E203" s="121" t="s">
        <v>57</v>
      </c>
      <c r="F203" s="782" t="s">
        <v>94</v>
      </c>
      <c r="G203" s="783" t="s">
        <v>65</v>
      </c>
      <c r="H203" s="783" t="s">
        <v>57</v>
      </c>
      <c r="I203" s="784" t="s">
        <v>96</v>
      </c>
      <c r="J203" s="121"/>
      <c r="K203" s="137">
        <f t="shared" si="40"/>
        <v>0</v>
      </c>
      <c r="L203" s="137">
        <f t="shared" si="40"/>
        <v>1444.6</v>
      </c>
      <c r="M203" s="137">
        <f t="shared" si="40"/>
        <v>1444.6</v>
      </c>
    </row>
    <row r="204" spans="1:13" s="351" customFormat="1" ht="56.25" customHeight="1">
      <c r="A204" s="122"/>
      <c r="B204" s="139" t="s">
        <v>97</v>
      </c>
      <c r="C204" s="136" t="s">
        <v>3</v>
      </c>
      <c r="D204" s="121" t="s">
        <v>88</v>
      </c>
      <c r="E204" s="121" t="s">
        <v>57</v>
      </c>
      <c r="F204" s="782" t="s">
        <v>94</v>
      </c>
      <c r="G204" s="783" t="s">
        <v>65</v>
      </c>
      <c r="H204" s="783" t="s">
        <v>57</v>
      </c>
      <c r="I204" s="784" t="s">
        <v>96</v>
      </c>
      <c r="J204" s="121" t="s">
        <v>98</v>
      </c>
      <c r="K204" s="137">
        <v>0</v>
      </c>
      <c r="L204" s="137">
        <f>M204-K204</f>
        <v>1444.6</v>
      </c>
      <c r="M204" s="137">
        <f>1444.6</f>
        <v>1444.6</v>
      </c>
    </row>
    <row r="205" spans="1:13" s="351" customFormat="1" ht="37.5" customHeight="1">
      <c r="A205" s="122"/>
      <c r="B205" s="619" t="s">
        <v>475</v>
      </c>
      <c r="C205" s="136" t="s">
        <v>3</v>
      </c>
      <c r="D205" s="121" t="s">
        <v>92</v>
      </c>
      <c r="E205" s="121"/>
      <c r="F205" s="734"/>
      <c r="G205" s="735"/>
      <c r="H205" s="735"/>
      <c r="I205" s="736"/>
      <c r="J205" s="121"/>
      <c r="K205" s="137">
        <f t="shared" ref="K205:M210" si="41">K206</f>
        <v>16.5</v>
      </c>
      <c r="L205" s="137">
        <f t="shared" si="41"/>
        <v>0</v>
      </c>
      <c r="M205" s="137">
        <f t="shared" si="41"/>
        <v>16.5</v>
      </c>
    </row>
    <row r="206" spans="1:13" s="351" customFormat="1" ht="37.5" customHeight="1">
      <c r="A206" s="122"/>
      <c r="B206" s="603" t="s">
        <v>769</v>
      </c>
      <c r="C206" s="136" t="s">
        <v>3</v>
      </c>
      <c r="D206" s="121" t="s">
        <v>92</v>
      </c>
      <c r="E206" s="121" t="s">
        <v>57</v>
      </c>
      <c r="F206" s="734"/>
      <c r="G206" s="735"/>
      <c r="H206" s="735"/>
      <c r="I206" s="736"/>
      <c r="J206" s="121"/>
      <c r="K206" s="137">
        <f t="shared" si="41"/>
        <v>16.5</v>
      </c>
      <c r="L206" s="137">
        <f t="shared" si="41"/>
        <v>0</v>
      </c>
      <c r="M206" s="137">
        <f t="shared" si="41"/>
        <v>16.5</v>
      </c>
    </row>
    <row r="207" spans="1:13" s="351" customFormat="1" ht="61.5" customHeight="1">
      <c r="A207" s="122"/>
      <c r="B207" s="135" t="s">
        <v>60</v>
      </c>
      <c r="C207" s="136" t="s">
        <v>3</v>
      </c>
      <c r="D207" s="121" t="s">
        <v>92</v>
      </c>
      <c r="E207" s="121" t="s">
        <v>57</v>
      </c>
      <c r="F207" s="734" t="s">
        <v>61</v>
      </c>
      <c r="G207" s="735" t="s">
        <v>62</v>
      </c>
      <c r="H207" s="735" t="s">
        <v>63</v>
      </c>
      <c r="I207" s="736" t="s">
        <v>64</v>
      </c>
      <c r="J207" s="121"/>
      <c r="K207" s="137">
        <f t="shared" si="41"/>
        <v>16.5</v>
      </c>
      <c r="L207" s="137">
        <f t="shared" si="41"/>
        <v>0</v>
      </c>
      <c r="M207" s="137">
        <f t="shared" si="41"/>
        <v>16.5</v>
      </c>
    </row>
    <row r="208" spans="1:13" s="351" customFormat="1" ht="37.5" customHeight="1">
      <c r="A208" s="122"/>
      <c r="B208" s="135" t="s">
        <v>404</v>
      </c>
      <c r="C208" s="136" t="s">
        <v>3</v>
      </c>
      <c r="D208" s="121" t="s">
        <v>92</v>
      </c>
      <c r="E208" s="121" t="s">
        <v>57</v>
      </c>
      <c r="F208" s="734" t="s">
        <v>61</v>
      </c>
      <c r="G208" s="735" t="s">
        <v>65</v>
      </c>
      <c r="H208" s="735" t="s">
        <v>63</v>
      </c>
      <c r="I208" s="736" t="s">
        <v>64</v>
      </c>
      <c r="J208" s="121"/>
      <c r="K208" s="137">
        <f t="shared" si="41"/>
        <v>16.5</v>
      </c>
      <c r="L208" s="137">
        <f t="shared" si="41"/>
        <v>0</v>
      </c>
      <c r="M208" s="137">
        <f t="shared" si="41"/>
        <v>16.5</v>
      </c>
    </row>
    <row r="209" spans="1:13" s="351" customFormat="1" ht="56.25" customHeight="1">
      <c r="A209" s="122"/>
      <c r="B209" s="139" t="s">
        <v>472</v>
      </c>
      <c r="C209" s="136" t="s">
        <v>3</v>
      </c>
      <c r="D209" s="121" t="s">
        <v>92</v>
      </c>
      <c r="E209" s="121" t="s">
        <v>57</v>
      </c>
      <c r="F209" s="734" t="s">
        <v>61</v>
      </c>
      <c r="G209" s="735" t="s">
        <v>65</v>
      </c>
      <c r="H209" s="735" t="s">
        <v>100</v>
      </c>
      <c r="I209" s="736" t="s">
        <v>64</v>
      </c>
      <c r="J209" s="121"/>
      <c r="K209" s="137">
        <f t="shared" si="41"/>
        <v>16.5</v>
      </c>
      <c r="L209" s="137">
        <f t="shared" si="41"/>
        <v>0</v>
      </c>
      <c r="M209" s="137">
        <f t="shared" si="41"/>
        <v>16.5</v>
      </c>
    </row>
    <row r="210" spans="1:13" s="351" customFormat="1" ht="37.5" customHeight="1">
      <c r="A210" s="122"/>
      <c r="B210" s="139" t="s">
        <v>473</v>
      </c>
      <c r="C210" s="136" t="s">
        <v>3</v>
      </c>
      <c r="D210" s="121" t="s">
        <v>92</v>
      </c>
      <c r="E210" s="121" t="s">
        <v>57</v>
      </c>
      <c r="F210" s="734" t="s">
        <v>61</v>
      </c>
      <c r="G210" s="735" t="s">
        <v>65</v>
      </c>
      <c r="H210" s="735" t="s">
        <v>100</v>
      </c>
      <c r="I210" s="736" t="s">
        <v>474</v>
      </c>
      <c r="J210" s="121"/>
      <c r="K210" s="137">
        <f t="shared" si="41"/>
        <v>16.5</v>
      </c>
      <c r="L210" s="137">
        <f t="shared" si="41"/>
        <v>0</v>
      </c>
      <c r="M210" s="137">
        <f t="shared" si="41"/>
        <v>16.5</v>
      </c>
    </row>
    <row r="211" spans="1:13" s="351" customFormat="1" ht="37.5" customHeight="1">
      <c r="A211" s="122"/>
      <c r="B211" s="139" t="s">
        <v>475</v>
      </c>
      <c r="C211" s="136" t="s">
        <v>3</v>
      </c>
      <c r="D211" s="121" t="s">
        <v>92</v>
      </c>
      <c r="E211" s="121" t="s">
        <v>57</v>
      </c>
      <c r="F211" s="734" t="s">
        <v>61</v>
      </c>
      <c r="G211" s="735" t="s">
        <v>65</v>
      </c>
      <c r="H211" s="735" t="s">
        <v>100</v>
      </c>
      <c r="I211" s="736" t="s">
        <v>474</v>
      </c>
      <c r="J211" s="121" t="s">
        <v>476</v>
      </c>
      <c r="K211" s="137">
        <v>16.5</v>
      </c>
      <c r="L211" s="137">
        <f>M211-K211</f>
        <v>0</v>
      </c>
      <c r="M211" s="137">
        <v>16.5</v>
      </c>
    </row>
    <row r="212" spans="1:13" s="351" customFormat="1" ht="56.25" customHeight="1">
      <c r="A212" s="122"/>
      <c r="B212" s="135" t="s">
        <v>222</v>
      </c>
      <c r="C212" s="136" t="s">
        <v>3</v>
      </c>
      <c r="D212" s="121" t="s">
        <v>109</v>
      </c>
      <c r="E212" s="121"/>
      <c r="F212" s="734"/>
      <c r="G212" s="735"/>
      <c r="H212" s="735"/>
      <c r="I212" s="736"/>
      <c r="J212" s="121"/>
      <c r="K212" s="664">
        <f>K213</f>
        <v>6047.1779999999999</v>
      </c>
      <c r="L212" s="137">
        <f t="shared" ref="L212:L218" si="42">M212-K212</f>
        <v>8520.2439999999988</v>
      </c>
      <c r="M212" s="664">
        <f>M213</f>
        <v>14567.421999999999</v>
      </c>
    </row>
    <row r="213" spans="1:13" s="351" customFormat="1" ht="37.5" customHeight="1">
      <c r="A213" s="122"/>
      <c r="B213" s="139" t="s">
        <v>918</v>
      </c>
      <c r="C213" s="136" t="s">
        <v>3</v>
      </c>
      <c r="D213" s="121" t="s">
        <v>109</v>
      </c>
      <c r="E213" s="121" t="s">
        <v>84</v>
      </c>
      <c r="F213" s="734"/>
      <c r="G213" s="735"/>
      <c r="H213" s="735"/>
      <c r="I213" s="736"/>
      <c r="J213" s="121"/>
      <c r="K213" s="664">
        <f>K214</f>
        <v>6047.1779999999999</v>
      </c>
      <c r="L213" s="137">
        <f>M213-K213</f>
        <v>8520.2439999999988</v>
      </c>
      <c r="M213" s="664">
        <f>M214+M243</f>
        <v>14567.421999999999</v>
      </c>
    </row>
    <row r="214" spans="1:13" s="351" customFormat="1" ht="112.5">
      <c r="A214" s="122"/>
      <c r="B214" s="135" t="s">
        <v>923</v>
      </c>
      <c r="C214" s="136" t="s">
        <v>3</v>
      </c>
      <c r="D214" s="121" t="s">
        <v>109</v>
      </c>
      <c r="E214" s="121" t="s">
        <v>84</v>
      </c>
      <c r="F214" s="734" t="s">
        <v>919</v>
      </c>
      <c r="G214" s="735" t="s">
        <v>62</v>
      </c>
      <c r="H214" s="735" t="s">
        <v>63</v>
      </c>
      <c r="I214" s="736" t="s">
        <v>64</v>
      </c>
      <c r="J214" s="121"/>
      <c r="K214" s="664">
        <f>K215</f>
        <v>6047.1779999999999</v>
      </c>
      <c r="L214" s="137">
        <f t="shared" si="42"/>
        <v>2054.7439999999997</v>
      </c>
      <c r="M214" s="664">
        <f>M215</f>
        <v>8101.9219999999996</v>
      </c>
    </row>
    <row r="215" spans="1:13" s="351" customFormat="1" ht="112.5" customHeight="1">
      <c r="A215" s="122"/>
      <c r="B215" s="135" t="s">
        <v>920</v>
      </c>
      <c r="C215" s="136" t="s">
        <v>3</v>
      </c>
      <c r="D215" s="121" t="s">
        <v>109</v>
      </c>
      <c r="E215" s="121" t="s">
        <v>84</v>
      </c>
      <c r="F215" s="734" t="s">
        <v>919</v>
      </c>
      <c r="G215" s="735" t="s">
        <v>110</v>
      </c>
      <c r="H215" s="735" t="s">
        <v>63</v>
      </c>
      <c r="I215" s="736" t="s">
        <v>64</v>
      </c>
      <c r="J215" s="121"/>
      <c r="K215" s="664">
        <f>K216+K219+K222+K225+K228+K231+K234+K237+K240</f>
        <v>6047.1779999999999</v>
      </c>
      <c r="L215" s="664">
        <f t="shared" ref="L215:M215" si="43">L216+L219+L222+L225+L228+L231+L234+L237+L240</f>
        <v>2054.7440000000001</v>
      </c>
      <c r="M215" s="664">
        <f t="shared" si="43"/>
        <v>8101.9219999999996</v>
      </c>
    </row>
    <row r="216" spans="1:13" s="351" customFormat="1" ht="93.75">
      <c r="A216" s="122"/>
      <c r="B216" s="139" t="s">
        <v>921</v>
      </c>
      <c r="C216" s="136" t="s">
        <v>3</v>
      </c>
      <c r="D216" s="121" t="s">
        <v>109</v>
      </c>
      <c r="E216" s="121" t="s">
        <v>84</v>
      </c>
      <c r="F216" s="734" t="s">
        <v>919</v>
      </c>
      <c r="G216" s="735" t="s">
        <v>110</v>
      </c>
      <c r="H216" s="735" t="s">
        <v>57</v>
      </c>
      <c r="I216" s="736" t="s">
        <v>64</v>
      </c>
      <c r="J216" s="121"/>
      <c r="K216" s="664">
        <f t="shared" ref="K216:M217" si="44">K217</f>
        <v>1897.2919999999999</v>
      </c>
      <c r="L216" s="137">
        <f t="shared" si="42"/>
        <v>1499.4</v>
      </c>
      <c r="M216" s="664">
        <f t="shared" si="44"/>
        <v>3396.692</v>
      </c>
    </row>
    <row r="217" spans="1:13" s="351" customFormat="1" ht="93.75">
      <c r="A217" s="122"/>
      <c r="B217" s="139" t="s">
        <v>922</v>
      </c>
      <c r="C217" s="136" t="s">
        <v>3</v>
      </c>
      <c r="D217" s="121" t="s">
        <v>109</v>
      </c>
      <c r="E217" s="121" t="s">
        <v>84</v>
      </c>
      <c r="F217" s="734" t="s">
        <v>919</v>
      </c>
      <c r="G217" s="735" t="s">
        <v>110</v>
      </c>
      <c r="H217" s="735" t="s">
        <v>57</v>
      </c>
      <c r="I217" s="736" t="s">
        <v>924</v>
      </c>
      <c r="J217" s="121"/>
      <c r="K217" s="664">
        <f t="shared" si="44"/>
        <v>1897.2919999999999</v>
      </c>
      <c r="L217" s="137">
        <f t="shared" si="42"/>
        <v>1499.4</v>
      </c>
      <c r="M217" s="664">
        <f t="shared" si="44"/>
        <v>3396.692</v>
      </c>
    </row>
    <row r="218" spans="1:13" s="351" customFormat="1" ht="18.75">
      <c r="A218" s="122"/>
      <c r="B218" s="135" t="s">
        <v>144</v>
      </c>
      <c r="C218" s="136" t="s">
        <v>3</v>
      </c>
      <c r="D218" s="121" t="s">
        <v>109</v>
      </c>
      <c r="E218" s="121" t="s">
        <v>84</v>
      </c>
      <c r="F218" s="734" t="s">
        <v>919</v>
      </c>
      <c r="G218" s="735" t="s">
        <v>110</v>
      </c>
      <c r="H218" s="735" t="s">
        <v>57</v>
      </c>
      <c r="I218" s="736" t="s">
        <v>924</v>
      </c>
      <c r="J218" s="121" t="s">
        <v>145</v>
      </c>
      <c r="K218" s="137">
        <f>1747.224+150.068</f>
        <v>1897.2919999999999</v>
      </c>
      <c r="L218" s="137">
        <f t="shared" si="42"/>
        <v>1499.4</v>
      </c>
      <c r="M218" s="137">
        <f>1747.224+150.068+1499.4</f>
        <v>3396.692</v>
      </c>
    </row>
    <row r="219" spans="1:13" s="351" customFormat="1" ht="75">
      <c r="A219" s="122"/>
      <c r="B219" s="135" t="s">
        <v>978</v>
      </c>
      <c r="C219" s="136" t="s">
        <v>3</v>
      </c>
      <c r="D219" s="121" t="s">
        <v>109</v>
      </c>
      <c r="E219" s="121" t="s">
        <v>84</v>
      </c>
      <c r="F219" s="734" t="s">
        <v>919</v>
      </c>
      <c r="G219" s="735" t="s">
        <v>110</v>
      </c>
      <c r="H219" s="735" t="s">
        <v>59</v>
      </c>
      <c r="I219" s="736" t="s">
        <v>64</v>
      </c>
      <c r="J219" s="121"/>
      <c r="K219" s="137">
        <f t="shared" ref="K219:M220" si="45">K220</f>
        <v>1078.8879999999999</v>
      </c>
      <c r="L219" s="137">
        <f t="shared" si="45"/>
        <v>0</v>
      </c>
      <c r="M219" s="137">
        <f t="shared" si="45"/>
        <v>1078.8879999999999</v>
      </c>
    </row>
    <row r="220" spans="1:13" s="351" customFormat="1" ht="93.75">
      <c r="A220" s="122"/>
      <c r="B220" s="135" t="s">
        <v>922</v>
      </c>
      <c r="C220" s="136" t="s">
        <v>3</v>
      </c>
      <c r="D220" s="121" t="s">
        <v>109</v>
      </c>
      <c r="E220" s="121" t="s">
        <v>84</v>
      </c>
      <c r="F220" s="734" t="s">
        <v>919</v>
      </c>
      <c r="G220" s="735" t="s">
        <v>110</v>
      </c>
      <c r="H220" s="735" t="s">
        <v>59</v>
      </c>
      <c r="I220" s="736" t="s">
        <v>924</v>
      </c>
      <c r="J220" s="121"/>
      <c r="K220" s="137">
        <f t="shared" si="45"/>
        <v>1078.8879999999999</v>
      </c>
      <c r="L220" s="137">
        <f>L221</f>
        <v>0</v>
      </c>
      <c r="M220" s="137">
        <f t="shared" si="45"/>
        <v>1078.8879999999999</v>
      </c>
    </row>
    <row r="221" spans="1:13" s="351" customFormat="1" ht="24" customHeight="1">
      <c r="A221" s="122"/>
      <c r="B221" s="135" t="s">
        <v>144</v>
      </c>
      <c r="C221" s="136" t="s">
        <v>3</v>
      </c>
      <c r="D221" s="121" t="s">
        <v>109</v>
      </c>
      <c r="E221" s="121" t="s">
        <v>84</v>
      </c>
      <c r="F221" s="734" t="s">
        <v>919</v>
      </c>
      <c r="G221" s="735" t="s">
        <v>110</v>
      </c>
      <c r="H221" s="735" t="s">
        <v>59</v>
      </c>
      <c r="I221" s="736" t="s">
        <v>924</v>
      </c>
      <c r="J221" s="121" t="s">
        <v>145</v>
      </c>
      <c r="K221" s="137">
        <v>1078.8879999999999</v>
      </c>
      <c r="L221" s="137">
        <f t="shared" ref="L221" si="46">M221-K221</f>
        <v>0</v>
      </c>
      <c r="M221" s="137">
        <v>1078.8879999999999</v>
      </c>
    </row>
    <row r="222" spans="1:13" s="351" customFormat="1" ht="131.25" customHeight="1">
      <c r="A222" s="122"/>
      <c r="B222" s="135" t="s">
        <v>990</v>
      </c>
      <c r="C222" s="136" t="s">
        <v>3</v>
      </c>
      <c r="D222" s="121" t="s">
        <v>109</v>
      </c>
      <c r="E222" s="121" t="s">
        <v>84</v>
      </c>
      <c r="F222" s="734" t="s">
        <v>919</v>
      </c>
      <c r="G222" s="735" t="s">
        <v>110</v>
      </c>
      <c r="H222" s="735" t="s">
        <v>84</v>
      </c>
      <c r="I222" s="736" t="s">
        <v>64</v>
      </c>
      <c r="J222" s="121"/>
      <c r="K222" s="137">
        <f t="shared" ref="K222:M223" si="47">K223</f>
        <v>63</v>
      </c>
      <c r="L222" s="137">
        <f t="shared" si="47"/>
        <v>0</v>
      </c>
      <c r="M222" s="137">
        <f t="shared" si="47"/>
        <v>63</v>
      </c>
    </row>
    <row r="223" spans="1:13" s="351" customFormat="1" ht="76.900000000000006" customHeight="1">
      <c r="A223" s="122"/>
      <c r="B223" s="135" t="s">
        <v>922</v>
      </c>
      <c r="C223" s="136" t="s">
        <v>3</v>
      </c>
      <c r="D223" s="121" t="s">
        <v>109</v>
      </c>
      <c r="E223" s="121" t="s">
        <v>84</v>
      </c>
      <c r="F223" s="734" t="s">
        <v>919</v>
      </c>
      <c r="G223" s="735" t="s">
        <v>110</v>
      </c>
      <c r="H223" s="735" t="s">
        <v>84</v>
      </c>
      <c r="I223" s="736" t="s">
        <v>924</v>
      </c>
      <c r="J223" s="121"/>
      <c r="K223" s="137">
        <f t="shared" si="47"/>
        <v>63</v>
      </c>
      <c r="L223" s="137">
        <f t="shared" si="47"/>
        <v>0</v>
      </c>
      <c r="M223" s="137">
        <f t="shared" si="47"/>
        <v>63</v>
      </c>
    </row>
    <row r="224" spans="1:13" s="351" customFormat="1" ht="18.75">
      <c r="A224" s="122"/>
      <c r="B224" s="135" t="s">
        <v>144</v>
      </c>
      <c r="C224" s="136" t="s">
        <v>3</v>
      </c>
      <c r="D224" s="121" t="s">
        <v>109</v>
      </c>
      <c r="E224" s="121" t="s">
        <v>84</v>
      </c>
      <c r="F224" s="734" t="s">
        <v>919</v>
      </c>
      <c r="G224" s="735" t="s">
        <v>110</v>
      </c>
      <c r="H224" s="735" t="s">
        <v>84</v>
      </c>
      <c r="I224" s="736" t="s">
        <v>924</v>
      </c>
      <c r="J224" s="121" t="s">
        <v>145</v>
      </c>
      <c r="K224" s="137">
        <v>63</v>
      </c>
      <c r="L224" s="137">
        <f t="shared" ref="L224" si="48">M224-K224</f>
        <v>0</v>
      </c>
      <c r="M224" s="137">
        <v>63</v>
      </c>
    </row>
    <row r="225" spans="1:13" s="351" customFormat="1" ht="112.5">
      <c r="A225" s="122"/>
      <c r="B225" s="135" t="s">
        <v>991</v>
      </c>
      <c r="C225" s="136" t="s">
        <v>3</v>
      </c>
      <c r="D225" s="121" t="s">
        <v>109</v>
      </c>
      <c r="E225" s="121" t="s">
        <v>84</v>
      </c>
      <c r="F225" s="734" t="s">
        <v>919</v>
      </c>
      <c r="G225" s="735" t="s">
        <v>110</v>
      </c>
      <c r="H225" s="735" t="s">
        <v>72</v>
      </c>
      <c r="I225" s="736" t="s">
        <v>64</v>
      </c>
      <c r="J225" s="121"/>
      <c r="K225" s="137">
        <f t="shared" ref="K225:M226" si="49">K226</f>
        <v>202</v>
      </c>
      <c r="L225" s="137">
        <f t="shared" si="49"/>
        <v>0</v>
      </c>
      <c r="M225" s="137">
        <f t="shared" si="49"/>
        <v>202</v>
      </c>
    </row>
    <row r="226" spans="1:13" s="351" customFormat="1" ht="93.75">
      <c r="A226" s="122"/>
      <c r="B226" s="135" t="s">
        <v>922</v>
      </c>
      <c r="C226" s="136" t="s">
        <v>3</v>
      </c>
      <c r="D226" s="121" t="s">
        <v>109</v>
      </c>
      <c r="E226" s="121" t="s">
        <v>84</v>
      </c>
      <c r="F226" s="734" t="s">
        <v>919</v>
      </c>
      <c r="G226" s="735" t="s">
        <v>110</v>
      </c>
      <c r="H226" s="735" t="s">
        <v>72</v>
      </c>
      <c r="I226" s="736" t="s">
        <v>924</v>
      </c>
      <c r="J226" s="121"/>
      <c r="K226" s="137">
        <f t="shared" si="49"/>
        <v>202</v>
      </c>
      <c r="L226" s="137">
        <f t="shared" si="49"/>
        <v>0</v>
      </c>
      <c r="M226" s="137">
        <f t="shared" si="49"/>
        <v>202</v>
      </c>
    </row>
    <row r="227" spans="1:13" s="351" customFormat="1" ht="18.75">
      <c r="A227" s="122"/>
      <c r="B227" s="135" t="s">
        <v>144</v>
      </c>
      <c r="C227" s="136" t="s">
        <v>3</v>
      </c>
      <c r="D227" s="121" t="s">
        <v>109</v>
      </c>
      <c r="E227" s="121" t="s">
        <v>84</v>
      </c>
      <c r="F227" s="734" t="s">
        <v>919</v>
      </c>
      <c r="G227" s="735" t="s">
        <v>110</v>
      </c>
      <c r="H227" s="735" t="s">
        <v>72</v>
      </c>
      <c r="I227" s="736" t="s">
        <v>924</v>
      </c>
      <c r="J227" s="121" t="s">
        <v>145</v>
      </c>
      <c r="K227" s="137">
        <v>202</v>
      </c>
      <c r="L227" s="137">
        <f t="shared" ref="L227:L233" si="50">M227-K227</f>
        <v>0</v>
      </c>
      <c r="M227" s="137">
        <v>202</v>
      </c>
    </row>
    <row r="228" spans="1:13" s="351" customFormat="1" ht="112.5" customHeight="1">
      <c r="A228" s="122"/>
      <c r="B228" s="135" t="s">
        <v>1000</v>
      </c>
      <c r="C228" s="136" t="s">
        <v>3</v>
      </c>
      <c r="D228" s="121" t="s">
        <v>109</v>
      </c>
      <c r="E228" s="121" t="s">
        <v>84</v>
      </c>
      <c r="F228" s="734" t="s">
        <v>919</v>
      </c>
      <c r="G228" s="735" t="s">
        <v>110</v>
      </c>
      <c r="H228" s="735" t="s">
        <v>86</v>
      </c>
      <c r="I228" s="736" t="s">
        <v>64</v>
      </c>
      <c r="J228" s="121"/>
      <c r="K228" s="137">
        <f t="shared" ref="K228:M229" si="51">K229</f>
        <v>150</v>
      </c>
      <c r="L228" s="137">
        <f t="shared" si="51"/>
        <v>0</v>
      </c>
      <c r="M228" s="137">
        <f t="shared" si="51"/>
        <v>150</v>
      </c>
    </row>
    <row r="229" spans="1:13" s="351" customFormat="1" ht="93.75">
      <c r="A229" s="122"/>
      <c r="B229" s="135" t="s">
        <v>922</v>
      </c>
      <c r="C229" s="136" t="s">
        <v>3</v>
      </c>
      <c r="D229" s="121" t="s">
        <v>109</v>
      </c>
      <c r="E229" s="121" t="s">
        <v>84</v>
      </c>
      <c r="F229" s="734" t="s">
        <v>919</v>
      </c>
      <c r="G229" s="735" t="s">
        <v>110</v>
      </c>
      <c r="H229" s="735" t="s">
        <v>86</v>
      </c>
      <c r="I229" s="736" t="s">
        <v>924</v>
      </c>
      <c r="J229" s="121"/>
      <c r="K229" s="137">
        <f t="shared" si="51"/>
        <v>150</v>
      </c>
      <c r="L229" s="137">
        <f t="shared" si="51"/>
        <v>0</v>
      </c>
      <c r="M229" s="137">
        <f t="shared" si="51"/>
        <v>150</v>
      </c>
    </row>
    <row r="230" spans="1:13" s="351" customFormat="1" ht="18.75">
      <c r="A230" s="122"/>
      <c r="B230" s="135" t="s">
        <v>144</v>
      </c>
      <c r="C230" s="136" t="s">
        <v>3</v>
      </c>
      <c r="D230" s="121" t="s">
        <v>109</v>
      </c>
      <c r="E230" s="121" t="s">
        <v>84</v>
      </c>
      <c r="F230" s="734" t="s">
        <v>919</v>
      </c>
      <c r="G230" s="735" t="s">
        <v>110</v>
      </c>
      <c r="H230" s="735" t="s">
        <v>86</v>
      </c>
      <c r="I230" s="736" t="s">
        <v>924</v>
      </c>
      <c r="J230" s="121" t="s">
        <v>145</v>
      </c>
      <c r="K230" s="137">
        <f>200-50+50-50</f>
        <v>150</v>
      </c>
      <c r="L230" s="137">
        <f t="shared" si="50"/>
        <v>0</v>
      </c>
      <c r="M230" s="137">
        <f>200-50+50-50</f>
        <v>150</v>
      </c>
    </row>
    <row r="231" spans="1:13" s="351" customFormat="1" ht="168.75" customHeight="1">
      <c r="A231" s="122"/>
      <c r="B231" s="135" t="s">
        <v>1001</v>
      </c>
      <c r="C231" s="136" t="s">
        <v>3</v>
      </c>
      <c r="D231" s="121" t="s">
        <v>109</v>
      </c>
      <c r="E231" s="121" t="s">
        <v>84</v>
      </c>
      <c r="F231" s="734" t="s">
        <v>919</v>
      </c>
      <c r="G231" s="735" t="s">
        <v>110</v>
      </c>
      <c r="H231" s="735" t="s">
        <v>102</v>
      </c>
      <c r="I231" s="736" t="s">
        <v>64</v>
      </c>
      <c r="J231" s="121"/>
      <c r="K231" s="137">
        <f t="shared" ref="K231:M235" si="52">K232</f>
        <v>86</v>
      </c>
      <c r="L231" s="137">
        <f t="shared" si="52"/>
        <v>0</v>
      </c>
      <c r="M231" s="137">
        <f t="shared" si="52"/>
        <v>86</v>
      </c>
    </row>
    <row r="232" spans="1:13" s="351" customFormat="1" ht="93.75" customHeight="1">
      <c r="A232" s="122"/>
      <c r="B232" s="135" t="s">
        <v>1002</v>
      </c>
      <c r="C232" s="136" t="s">
        <v>3</v>
      </c>
      <c r="D232" s="121" t="s">
        <v>109</v>
      </c>
      <c r="E232" s="121" t="s">
        <v>84</v>
      </c>
      <c r="F232" s="734" t="s">
        <v>919</v>
      </c>
      <c r="G232" s="735" t="s">
        <v>110</v>
      </c>
      <c r="H232" s="735" t="s">
        <v>102</v>
      </c>
      <c r="I232" s="736" t="s">
        <v>924</v>
      </c>
      <c r="J232" s="121"/>
      <c r="K232" s="137">
        <f t="shared" si="52"/>
        <v>86</v>
      </c>
      <c r="L232" s="137">
        <f t="shared" si="52"/>
        <v>0</v>
      </c>
      <c r="M232" s="137">
        <f t="shared" si="52"/>
        <v>86</v>
      </c>
    </row>
    <row r="233" spans="1:13" s="351" customFormat="1" ht="25.9" customHeight="1">
      <c r="A233" s="122"/>
      <c r="B233" s="135" t="s">
        <v>144</v>
      </c>
      <c r="C233" s="136" t="s">
        <v>3</v>
      </c>
      <c r="D233" s="121" t="s">
        <v>109</v>
      </c>
      <c r="E233" s="121" t="s">
        <v>84</v>
      </c>
      <c r="F233" s="734" t="s">
        <v>919</v>
      </c>
      <c r="G233" s="735" t="s">
        <v>110</v>
      </c>
      <c r="H233" s="735" t="s">
        <v>102</v>
      </c>
      <c r="I233" s="736" t="s">
        <v>924</v>
      </c>
      <c r="J233" s="121" t="s">
        <v>145</v>
      </c>
      <c r="K233" s="137">
        <f>36+50</f>
        <v>86</v>
      </c>
      <c r="L233" s="137">
        <f t="shared" si="50"/>
        <v>0</v>
      </c>
      <c r="M233" s="137">
        <f>36+50</f>
        <v>86</v>
      </c>
    </row>
    <row r="234" spans="1:13" s="351" customFormat="1" ht="112.5" customHeight="1">
      <c r="A234" s="122"/>
      <c r="B234" s="135" t="s">
        <v>1015</v>
      </c>
      <c r="C234" s="136" t="s">
        <v>3</v>
      </c>
      <c r="D234" s="121" t="s">
        <v>109</v>
      </c>
      <c r="E234" s="121" t="s">
        <v>84</v>
      </c>
      <c r="F234" s="734" t="s">
        <v>919</v>
      </c>
      <c r="G234" s="735" t="s">
        <v>110</v>
      </c>
      <c r="H234" s="735" t="s">
        <v>246</v>
      </c>
      <c r="I234" s="736" t="s">
        <v>64</v>
      </c>
      <c r="J234" s="121"/>
      <c r="K234" s="137">
        <f t="shared" si="52"/>
        <v>2569.998</v>
      </c>
      <c r="L234" s="137">
        <f t="shared" si="52"/>
        <v>0</v>
      </c>
      <c r="M234" s="137">
        <f t="shared" si="52"/>
        <v>2569.998</v>
      </c>
    </row>
    <row r="235" spans="1:13" s="351" customFormat="1" ht="73.900000000000006" customHeight="1">
      <c r="A235" s="122"/>
      <c r="B235" s="135" t="s">
        <v>1002</v>
      </c>
      <c r="C235" s="136" t="s">
        <v>3</v>
      </c>
      <c r="D235" s="121" t="s">
        <v>109</v>
      </c>
      <c r="E235" s="121" t="s">
        <v>84</v>
      </c>
      <c r="F235" s="734" t="s">
        <v>919</v>
      </c>
      <c r="G235" s="735" t="s">
        <v>110</v>
      </c>
      <c r="H235" s="735" t="s">
        <v>246</v>
      </c>
      <c r="I235" s="736" t="s">
        <v>924</v>
      </c>
      <c r="J235" s="121"/>
      <c r="K235" s="137">
        <f t="shared" si="52"/>
        <v>2569.998</v>
      </c>
      <c r="L235" s="137">
        <f t="shared" si="52"/>
        <v>0</v>
      </c>
      <c r="M235" s="137">
        <f t="shared" si="52"/>
        <v>2569.998</v>
      </c>
    </row>
    <row r="236" spans="1:13" s="351" customFormat="1" ht="18.75">
      <c r="A236" s="122"/>
      <c r="B236" s="135" t="s">
        <v>144</v>
      </c>
      <c r="C236" s="136" t="s">
        <v>3</v>
      </c>
      <c r="D236" s="121" t="s">
        <v>109</v>
      </c>
      <c r="E236" s="121" t="s">
        <v>84</v>
      </c>
      <c r="F236" s="734" t="s">
        <v>919</v>
      </c>
      <c r="G236" s="735" t="s">
        <v>110</v>
      </c>
      <c r="H236" s="735" t="s">
        <v>246</v>
      </c>
      <c r="I236" s="736" t="s">
        <v>924</v>
      </c>
      <c r="J236" s="121" t="s">
        <v>145</v>
      </c>
      <c r="K236" s="137">
        <v>2569.998</v>
      </c>
      <c r="L236" s="137">
        <f t="shared" ref="L236:L239" si="53">M236-K236</f>
        <v>0</v>
      </c>
      <c r="M236" s="137">
        <v>2569.998</v>
      </c>
    </row>
    <row r="237" spans="1:13" s="351" customFormat="1" ht="90" customHeight="1">
      <c r="A237" s="122"/>
      <c r="B237" s="709" t="s">
        <v>1030</v>
      </c>
      <c r="C237" s="136" t="s">
        <v>3</v>
      </c>
      <c r="D237" s="121" t="s">
        <v>109</v>
      </c>
      <c r="E237" s="121" t="s">
        <v>84</v>
      </c>
      <c r="F237" s="737" t="s">
        <v>919</v>
      </c>
      <c r="G237" s="738" t="s">
        <v>110</v>
      </c>
      <c r="H237" s="738" t="s">
        <v>100</v>
      </c>
      <c r="I237" s="739" t="s">
        <v>64</v>
      </c>
      <c r="J237" s="121"/>
      <c r="K237" s="137">
        <f>K238</f>
        <v>0</v>
      </c>
      <c r="L237" s="137">
        <f>L238</f>
        <v>60</v>
      </c>
      <c r="M237" s="137">
        <f>M238</f>
        <v>60</v>
      </c>
    </row>
    <row r="238" spans="1:13" s="351" customFormat="1" ht="93.75">
      <c r="A238" s="698"/>
      <c r="B238" s="709" t="s">
        <v>1002</v>
      </c>
      <c r="C238" s="699" t="s">
        <v>3</v>
      </c>
      <c r="D238" s="700" t="s">
        <v>109</v>
      </c>
      <c r="E238" s="700" t="s">
        <v>84</v>
      </c>
      <c r="F238" s="701" t="s">
        <v>919</v>
      </c>
      <c r="G238" s="702" t="s">
        <v>110</v>
      </c>
      <c r="H238" s="702" t="s">
        <v>100</v>
      </c>
      <c r="I238" s="703" t="s">
        <v>924</v>
      </c>
      <c r="J238" s="700"/>
      <c r="K238" s="697">
        <f>K239</f>
        <v>0</v>
      </c>
      <c r="L238" s="137">
        <f t="shared" si="53"/>
        <v>60</v>
      </c>
      <c r="M238" s="697">
        <f>M239</f>
        <v>60</v>
      </c>
    </row>
    <row r="239" spans="1:13" s="351" customFormat="1" ht="18.75">
      <c r="A239" s="698"/>
      <c r="B239" s="709" t="s">
        <v>144</v>
      </c>
      <c r="C239" s="699" t="s">
        <v>3</v>
      </c>
      <c r="D239" s="700" t="s">
        <v>109</v>
      </c>
      <c r="E239" s="700" t="s">
        <v>84</v>
      </c>
      <c r="F239" s="701" t="s">
        <v>919</v>
      </c>
      <c r="G239" s="702" t="s">
        <v>110</v>
      </c>
      <c r="H239" s="702" t="s">
        <v>100</v>
      </c>
      <c r="I239" s="703" t="s">
        <v>924</v>
      </c>
      <c r="J239" s="700" t="s">
        <v>145</v>
      </c>
      <c r="K239" s="697">
        <v>0</v>
      </c>
      <c r="L239" s="137">
        <f t="shared" si="53"/>
        <v>60</v>
      </c>
      <c r="M239" s="697">
        <v>60</v>
      </c>
    </row>
    <row r="240" spans="1:13" s="351" customFormat="1" ht="107.45" customHeight="1">
      <c r="A240" s="698"/>
      <c r="B240" s="709" t="s">
        <v>1032</v>
      </c>
      <c r="C240" s="699" t="s">
        <v>3</v>
      </c>
      <c r="D240" s="700" t="s">
        <v>109</v>
      </c>
      <c r="E240" s="700" t="s">
        <v>84</v>
      </c>
      <c r="F240" s="701" t="s">
        <v>919</v>
      </c>
      <c r="G240" s="702" t="s">
        <v>110</v>
      </c>
      <c r="H240" s="702" t="s">
        <v>125</v>
      </c>
      <c r="I240" s="703" t="s">
        <v>64</v>
      </c>
      <c r="J240" s="700"/>
      <c r="K240" s="697">
        <f>K241</f>
        <v>0</v>
      </c>
      <c r="L240" s="137">
        <f>L241</f>
        <v>495.34399999999999</v>
      </c>
      <c r="M240" s="697">
        <f>M241</f>
        <v>495.34399999999999</v>
      </c>
    </row>
    <row r="241" spans="1:13" s="351" customFormat="1" ht="93.75">
      <c r="A241" s="698"/>
      <c r="B241" s="709" t="s">
        <v>1002</v>
      </c>
      <c r="C241" s="699" t="s">
        <v>3</v>
      </c>
      <c r="D241" s="700" t="s">
        <v>109</v>
      </c>
      <c r="E241" s="700" t="s">
        <v>84</v>
      </c>
      <c r="F241" s="701" t="s">
        <v>919</v>
      </c>
      <c r="G241" s="702" t="s">
        <v>110</v>
      </c>
      <c r="H241" s="702" t="s">
        <v>125</v>
      </c>
      <c r="I241" s="703" t="s">
        <v>924</v>
      </c>
      <c r="J241" s="700"/>
      <c r="K241" s="697">
        <f>K242</f>
        <v>0</v>
      </c>
      <c r="L241" s="137">
        <f t="shared" ref="L241:L242" si="54">M241-K241</f>
        <v>495.34399999999999</v>
      </c>
      <c r="M241" s="697">
        <f>M242</f>
        <v>495.34399999999999</v>
      </c>
    </row>
    <row r="242" spans="1:13" s="351" customFormat="1" ht="18.75">
      <c r="A242" s="698"/>
      <c r="B242" s="709" t="s">
        <v>144</v>
      </c>
      <c r="C242" s="699" t="s">
        <v>3</v>
      </c>
      <c r="D242" s="700" t="s">
        <v>109</v>
      </c>
      <c r="E242" s="700" t="s">
        <v>84</v>
      </c>
      <c r="F242" s="701" t="s">
        <v>919</v>
      </c>
      <c r="G242" s="702" t="s">
        <v>110</v>
      </c>
      <c r="H242" s="702" t="s">
        <v>125</v>
      </c>
      <c r="I242" s="703" t="s">
        <v>924</v>
      </c>
      <c r="J242" s="700" t="s">
        <v>145</v>
      </c>
      <c r="K242" s="697">
        <v>0</v>
      </c>
      <c r="L242" s="137">
        <f t="shared" si="54"/>
        <v>495.34399999999999</v>
      </c>
      <c r="M242" s="697">
        <v>495.34399999999999</v>
      </c>
    </row>
    <row r="243" spans="1:13" s="722" customFormat="1" ht="37.5">
      <c r="A243" s="698"/>
      <c r="B243" s="709" t="s">
        <v>750</v>
      </c>
      <c r="C243" s="699" t="s">
        <v>3</v>
      </c>
      <c r="D243" s="700" t="s">
        <v>109</v>
      </c>
      <c r="E243" s="700" t="s">
        <v>84</v>
      </c>
      <c r="F243" s="701" t="s">
        <v>89</v>
      </c>
      <c r="G243" s="702" t="s">
        <v>62</v>
      </c>
      <c r="H243" s="702" t="s">
        <v>63</v>
      </c>
      <c r="I243" s="703" t="s">
        <v>64</v>
      </c>
      <c r="J243" s="700"/>
      <c r="K243" s="697">
        <f t="shared" ref="K243:M245" si="55">K244</f>
        <v>0</v>
      </c>
      <c r="L243" s="697">
        <f t="shared" si="55"/>
        <v>6465.5</v>
      </c>
      <c r="M243" s="697">
        <f t="shared" si="55"/>
        <v>6465.5</v>
      </c>
    </row>
    <row r="244" spans="1:13" s="722" customFormat="1" ht="18.75">
      <c r="A244" s="698"/>
      <c r="B244" s="770" t="s">
        <v>751</v>
      </c>
      <c r="C244" s="699" t="s">
        <v>3</v>
      </c>
      <c r="D244" s="700" t="s">
        <v>109</v>
      </c>
      <c r="E244" s="700" t="s">
        <v>84</v>
      </c>
      <c r="F244" s="701" t="s">
        <v>89</v>
      </c>
      <c r="G244" s="702" t="s">
        <v>65</v>
      </c>
      <c r="H244" s="702" t="s">
        <v>63</v>
      </c>
      <c r="I244" s="703" t="s">
        <v>64</v>
      </c>
      <c r="J244" s="700"/>
      <c r="K244" s="697">
        <f t="shared" si="55"/>
        <v>0</v>
      </c>
      <c r="L244" s="697">
        <f t="shared" si="55"/>
        <v>6465.5</v>
      </c>
      <c r="M244" s="697">
        <f t="shared" si="55"/>
        <v>6465.5</v>
      </c>
    </row>
    <row r="245" spans="1:13" s="722" customFormat="1" ht="37.5">
      <c r="A245" s="698"/>
      <c r="B245" s="709" t="s">
        <v>1028</v>
      </c>
      <c r="C245" s="699" t="s">
        <v>3</v>
      </c>
      <c r="D245" s="700" t="s">
        <v>109</v>
      </c>
      <c r="E245" s="700" t="s">
        <v>84</v>
      </c>
      <c r="F245" s="701" t="s">
        <v>89</v>
      </c>
      <c r="G245" s="702" t="s">
        <v>65</v>
      </c>
      <c r="H245" s="702" t="s">
        <v>63</v>
      </c>
      <c r="I245" s="703" t="s">
        <v>1029</v>
      </c>
      <c r="J245" s="771"/>
      <c r="K245" s="697">
        <f t="shared" si="55"/>
        <v>0</v>
      </c>
      <c r="L245" s="697">
        <f t="shared" si="55"/>
        <v>6465.5</v>
      </c>
      <c r="M245" s="697">
        <f t="shared" si="55"/>
        <v>6465.5</v>
      </c>
    </row>
    <row r="246" spans="1:13" s="772" customFormat="1" ht="18.75">
      <c r="A246" s="698"/>
      <c r="B246" s="709" t="s">
        <v>144</v>
      </c>
      <c r="C246" s="699" t="s">
        <v>3</v>
      </c>
      <c r="D246" s="700" t="s">
        <v>109</v>
      </c>
      <c r="E246" s="700" t="s">
        <v>84</v>
      </c>
      <c r="F246" s="701" t="s">
        <v>89</v>
      </c>
      <c r="G246" s="702" t="s">
        <v>65</v>
      </c>
      <c r="H246" s="702" t="s">
        <v>63</v>
      </c>
      <c r="I246" s="703" t="s">
        <v>1029</v>
      </c>
      <c r="J246" s="771">
        <v>500</v>
      </c>
      <c r="K246" s="697">
        <v>0</v>
      </c>
      <c r="L246" s="697">
        <f t="shared" ref="L246" si="56">M246-K246</f>
        <v>6465.5</v>
      </c>
      <c r="M246" s="697">
        <v>6465.5</v>
      </c>
    </row>
    <row r="247" spans="1:13" ht="18.75" customHeight="1">
      <c r="A247" s="122"/>
      <c r="B247" s="135"/>
      <c r="C247" s="136"/>
      <c r="D247" s="121"/>
      <c r="E247" s="121"/>
      <c r="F247" s="737"/>
      <c r="G247" s="738"/>
      <c r="H247" s="738"/>
      <c r="I247" s="739"/>
      <c r="J247" s="769"/>
      <c r="K247" s="137"/>
      <c r="L247" s="665"/>
      <c r="M247" s="137"/>
    </row>
    <row r="248" spans="1:13" ht="56.25" customHeight="1">
      <c r="A248" s="350">
        <v>2</v>
      </c>
      <c r="B248" s="123" t="s">
        <v>10</v>
      </c>
      <c r="C248" s="130" t="s">
        <v>354</v>
      </c>
      <c r="D248" s="131"/>
      <c r="E248" s="131"/>
      <c r="F248" s="132"/>
      <c r="G248" s="133"/>
      <c r="H248" s="133"/>
      <c r="I248" s="134"/>
      <c r="J248" s="131"/>
      <c r="K248" s="160">
        <f>K249+K270</f>
        <v>42268.315999999992</v>
      </c>
      <c r="L248" s="160">
        <f>L249+L270</f>
        <v>-1652.8000000000002</v>
      </c>
      <c r="M248" s="160">
        <f>M249+M270</f>
        <v>40615.515999999996</v>
      </c>
    </row>
    <row r="249" spans="1:13" s="355" customFormat="1" ht="18.75" customHeight="1">
      <c r="A249" s="122"/>
      <c r="B249" s="135" t="s">
        <v>56</v>
      </c>
      <c r="C249" s="136" t="s">
        <v>354</v>
      </c>
      <c r="D249" s="121" t="s">
        <v>57</v>
      </c>
      <c r="E249" s="121"/>
      <c r="F249" s="734"/>
      <c r="G249" s="735"/>
      <c r="H249" s="735"/>
      <c r="I249" s="736"/>
      <c r="J249" s="121"/>
      <c r="K249" s="137">
        <f>K250+K261</f>
        <v>28315.515999999996</v>
      </c>
      <c r="L249" s="137">
        <f>L250+L261</f>
        <v>0</v>
      </c>
      <c r="M249" s="137">
        <f>M250+M261</f>
        <v>28315.515999999996</v>
      </c>
    </row>
    <row r="250" spans="1:13" s="356" customFormat="1" ht="66.599999999999994" customHeight="1">
      <c r="A250" s="122"/>
      <c r="B250" s="135" t="s">
        <v>151</v>
      </c>
      <c r="C250" s="136" t="s">
        <v>354</v>
      </c>
      <c r="D250" s="121" t="s">
        <v>57</v>
      </c>
      <c r="E250" s="121" t="s">
        <v>102</v>
      </c>
      <c r="F250" s="734"/>
      <c r="G250" s="735"/>
      <c r="H250" s="735"/>
      <c r="I250" s="736"/>
      <c r="J250" s="121"/>
      <c r="K250" s="137">
        <f t="shared" ref="K250:M253" si="57">K251</f>
        <v>25048.015999999996</v>
      </c>
      <c r="L250" s="137">
        <f t="shared" si="57"/>
        <v>0</v>
      </c>
      <c r="M250" s="137">
        <f t="shared" si="57"/>
        <v>25048.015999999996</v>
      </c>
    </row>
    <row r="251" spans="1:13" s="351" customFormat="1" ht="59.25" customHeight="1">
      <c r="A251" s="122"/>
      <c r="B251" s="135" t="s">
        <v>245</v>
      </c>
      <c r="C251" s="136" t="s">
        <v>354</v>
      </c>
      <c r="D251" s="121" t="s">
        <v>57</v>
      </c>
      <c r="E251" s="121" t="s">
        <v>102</v>
      </c>
      <c r="F251" s="734" t="s">
        <v>246</v>
      </c>
      <c r="G251" s="735" t="s">
        <v>62</v>
      </c>
      <c r="H251" s="735" t="s">
        <v>63</v>
      </c>
      <c r="I251" s="736" t="s">
        <v>64</v>
      </c>
      <c r="J251" s="121"/>
      <c r="K251" s="137">
        <f t="shared" si="57"/>
        <v>25048.015999999996</v>
      </c>
      <c r="L251" s="137">
        <f t="shared" si="57"/>
        <v>0</v>
      </c>
      <c r="M251" s="137">
        <f t="shared" si="57"/>
        <v>25048.015999999996</v>
      </c>
    </row>
    <row r="252" spans="1:13" s="351" customFormat="1" ht="37.5" customHeight="1">
      <c r="A252" s="122"/>
      <c r="B252" s="135" t="s">
        <v>404</v>
      </c>
      <c r="C252" s="136" t="s">
        <v>354</v>
      </c>
      <c r="D252" s="121" t="s">
        <v>57</v>
      </c>
      <c r="E252" s="121" t="s">
        <v>102</v>
      </c>
      <c r="F252" s="143" t="s">
        <v>246</v>
      </c>
      <c r="G252" s="144" t="s">
        <v>65</v>
      </c>
      <c r="H252" s="735" t="s">
        <v>63</v>
      </c>
      <c r="I252" s="736" t="s">
        <v>64</v>
      </c>
      <c r="J252" s="121"/>
      <c r="K252" s="137">
        <f t="shared" ref="K252" si="58">K253+K258</f>
        <v>25048.015999999996</v>
      </c>
      <c r="L252" s="137">
        <f t="shared" ref="L252" si="59">L253+L258</f>
        <v>0</v>
      </c>
      <c r="M252" s="137">
        <f t="shared" ref="M252" si="60">M253+M258</f>
        <v>25048.015999999996</v>
      </c>
    </row>
    <row r="253" spans="1:13" s="351" customFormat="1" ht="56.25" customHeight="1">
      <c r="A253" s="122"/>
      <c r="B253" s="135" t="s">
        <v>355</v>
      </c>
      <c r="C253" s="136" t="s">
        <v>354</v>
      </c>
      <c r="D253" s="121" t="s">
        <v>57</v>
      </c>
      <c r="E253" s="121" t="s">
        <v>102</v>
      </c>
      <c r="F253" s="143" t="s">
        <v>246</v>
      </c>
      <c r="G253" s="144" t="s">
        <v>65</v>
      </c>
      <c r="H253" s="735" t="s">
        <v>57</v>
      </c>
      <c r="I253" s="736" t="s">
        <v>64</v>
      </c>
      <c r="J253" s="121"/>
      <c r="K253" s="137">
        <f t="shared" si="57"/>
        <v>24340.715999999997</v>
      </c>
      <c r="L253" s="137">
        <f t="shared" si="57"/>
        <v>0</v>
      </c>
      <c r="M253" s="137">
        <f t="shared" si="57"/>
        <v>24340.715999999997</v>
      </c>
    </row>
    <row r="254" spans="1:13" s="351" customFormat="1" ht="37.5" customHeight="1">
      <c r="A254" s="122"/>
      <c r="B254" s="135" t="s">
        <v>67</v>
      </c>
      <c r="C254" s="136" t="s">
        <v>354</v>
      </c>
      <c r="D254" s="121" t="s">
        <v>57</v>
      </c>
      <c r="E254" s="121" t="s">
        <v>102</v>
      </c>
      <c r="F254" s="143" t="s">
        <v>246</v>
      </c>
      <c r="G254" s="144" t="s">
        <v>65</v>
      </c>
      <c r="H254" s="735" t="s">
        <v>57</v>
      </c>
      <c r="I254" s="736" t="s">
        <v>68</v>
      </c>
      <c r="J254" s="121"/>
      <c r="K254" s="137">
        <f>SUM(K255:K257)</f>
        <v>24340.715999999997</v>
      </c>
      <c r="L254" s="137">
        <f>SUM(L255:L257)</f>
        <v>0</v>
      </c>
      <c r="M254" s="137">
        <f>SUM(M255:M257)</f>
        <v>24340.715999999997</v>
      </c>
    </row>
    <row r="255" spans="1:13" s="351" customFormat="1" ht="112.5" customHeight="1">
      <c r="A255" s="122"/>
      <c r="B255" s="135" t="s">
        <v>69</v>
      </c>
      <c r="C255" s="136" t="s">
        <v>354</v>
      </c>
      <c r="D255" s="121" t="s">
        <v>57</v>
      </c>
      <c r="E255" s="121" t="s">
        <v>102</v>
      </c>
      <c r="F255" s="143" t="s">
        <v>246</v>
      </c>
      <c r="G255" s="144" t="s">
        <v>65</v>
      </c>
      <c r="H255" s="735" t="s">
        <v>57</v>
      </c>
      <c r="I255" s="736" t="s">
        <v>68</v>
      </c>
      <c r="J255" s="121" t="s">
        <v>70</v>
      </c>
      <c r="K255" s="137">
        <f>22851.3+707.3</f>
        <v>23558.6</v>
      </c>
      <c r="L255" s="137">
        <f>M255-K255</f>
        <v>0</v>
      </c>
      <c r="M255" s="137">
        <f>22851.3+707.3</f>
        <v>23558.6</v>
      </c>
    </row>
    <row r="256" spans="1:13" s="351" customFormat="1" ht="56.25" customHeight="1">
      <c r="A256" s="122"/>
      <c r="B256" s="135" t="s">
        <v>75</v>
      </c>
      <c r="C256" s="136" t="s">
        <v>354</v>
      </c>
      <c r="D256" s="121" t="s">
        <v>57</v>
      </c>
      <c r="E256" s="121" t="s">
        <v>102</v>
      </c>
      <c r="F256" s="143" t="s">
        <v>246</v>
      </c>
      <c r="G256" s="144" t="s">
        <v>65</v>
      </c>
      <c r="H256" s="735" t="s">
        <v>57</v>
      </c>
      <c r="I256" s="736" t="s">
        <v>68</v>
      </c>
      <c r="J256" s="121" t="s">
        <v>76</v>
      </c>
      <c r="K256" s="137">
        <f>766.8+3.016+7.5</f>
        <v>777.31599999999992</v>
      </c>
      <c r="L256" s="137">
        <f>M256-K256</f>
        <v>0</v>
      </c>
      <c r="M256" s="137">
        <f>766.8+3.016+7.5</f>
        <v>777.31599999999992</v>
      </c>
    </row>
    <row r="257" spans="1:13" s="356" customFormat="1" ht="18.75" customHeight="1">
      <c r="A257" s="122"/>
      <c r="B257" s="135" t="s">
        <v>77</v>
      </c>
      <c r="C257" s="136" t="s">
        <v>354</v>
      </c>
      <c r="D257" s="121" t="s">
        <v>57</v>
      </c>
      <c r="E257" s="121" t="s">
        <v>102</v>
      </c>
      <c r="F257" s="143" t="s">
        <v>246</v>
      </c>
      <c r="G257" s="144" t="s">
        <v>65</v>
      </c>
      <c r="H257" s="735" t="s">
        <v>57</v>
      </c>
      <c r="I257" s="736" t="s">
        <v>68</v>
      </c>
      <c r="J257" s="121" t="s">
        <v>78</v>
      </c>
      <c r="K257" s="137">
        <v>4.8</v>
      </c>
      <c r="L257" s="137">
        <f>M257-K257</f>
        <v>0</v>
      </c>
      <c r="M257" s="137">
        <v>4.8</v>
      </c>
    </row>
    <row r="258" spans="1:13" s="356" customFormat="1" ht="58.5" customHeight="1">
      <c r="A258" s="122"/>
      <c r="B258" s="135" t="s">
        <v>387</v>
      </c>
      <c r="C258" s="136" t="s">
        <v>354</v>
      </c>
      <c r="D258" s="121" t="s">
        <v>57</v>
      </c>
      <c r="E258" s="121" t="s">
        <v>102</v>
      </c>
      <c r="F258" s="143" t="s">
        <v>246</v>
      </c>
      <c r="G258" s="144" t="s">
        <v>65</v>
      </c>
      <c r="H258" s="735" t="s">
        <v>72</v>
      </c>
      <c r="I258" s="736" t="s">
        <v>64</v>
      </c>
      <c r="J258" s="121"/>
      <c r="K258" s="137">
        <f t="shared" ref="K258:M259" si="61">K259</f>
        <v>707.3</v>
      </c>
      <c r="L258" s="137">
        <f t="shared" si="61"/>
        <v>0</v>
      </c>
      <c r="M258" s="137">
        <f t="shared" si="61"/>
        <v>707.3</v>
      </c>
    </row>
    <row r="259" spans="1:13" s="118" customFormat="1" ht="37.5" customHeight="1">
      <c r="A259" s="122"/>
      <c r="B259" s="135" t="s">
        <v>463</v>
      </c>
      <c r="C259" s="136" t="s">
        <v>354</v>
      </c>
      <c r="D259" s="121" t="s">
        <v>57</v>
      </c>
      <c r="E259" s="121" t="s">
        <v>102</v>
      </c>
      <c r="F259" s="143" t="s">
        <v>246</v>
      </c>
      <c r="G259" s="144" t="s">
        <v>65</v>
      </c>
      <c r="H259" s="735" t="s">
        <v>72</v>
      </c>
      <c r="I259" s="736" t="s">
        <v>462</v>
      </c>
      <c r="J259" s="121"/>
      <c r="K259" s="137">
        <f t="shared" si="61"/>
        <v>707.3</v>
      </c>
      <c r="L259" s="137">
        <f t="shared" si="61"/>
        <v>0</v>
      </c>
      <c r="M259" s="137">
        <f t="shared" si="61"/>
        <v>707.3</v>
      </c>
    </row>
    <row r="260" spans="1:13" s="118" customFormat="1" ht="113.25" customHeight="1">
      <c r="A260" s="122"/>
      <c r="B260" s="135" t="s">
        <v>69</v>
      </c>
      <c r="C260" s="136" t="s">
        <v>354</v>
      </c>
      <c r="D260" s="121" t="s">
        <v>57</v>
      </c>
      <c r="E260" s="121" t="s">
        <v>102</v>
      </c>
      <c r="F260" s="143" t="s">
        <v>246</v>
      </c>
      <c r="G260" s="144" t="s">
        <v>65</v>
      </c>
      <c r="H260" s="735" t="s">
        <v>72</v>
      </c>
      <c r="I260" s="736" t="s">
        <v>462</v>
      </c>
      <c r="J260" s="121" t="s">
        <v>70</v>
      </c>
      <c r="K260" s="137">
        <v>707.3</v>
      </c>
      <c r="L260" s="137">
        <f>M260-K260</f>
        <v>0</v>
      </c>
      <c r="M260" s="137">
        <v>707.3</v>
      </c>
    </row>
    <row r="261" spans="1:13" s="351" customFormat="1" ht="18.75" customHeight="1">
      <c r="A261" s="122"/>
      <c r="B261" s="135" t="s">
        <v>91</v>
      </c>
      <c r="C261" s="136" t="s">
        <v>354</v>
      </c>
      <c r="D261" s="121" t="s">
        <v>57</v>
      </c>
      <c r="E261" s="121" t="s">
        <v>92</v>
      </c>
      <c r="F261" s="143"/>
      <c r="G261" s="144"/>
      <c r="H261" s="735"/>
      <c r="I261" s="736"/>
      <c r="J261" s="121"/>
      <c r="K261" s="137">
        <f t="shared" ref="K261:M265" si="62">K262</f>
        <v>3267.5</v>
      </c>
      <c r="L261" s="137">
        <f t="shared" si="62"/>
        <v>0</v>
      </c>
      <c r="M261" s="137">
        <f t="shared" si="62"/>
        <v>3267.5</v>
      </c>
    </row>
    <row r="262" spans="1:13" s="351" customFormat="1" ht="60.75" customHeight="1">
      <c r="A262" s="122"/>
      <c r="B262" s="135" t="s">
        <v>245</v>
      </c>
      <c r="C262" s="136" t="s">
        <v>354</v>
      </c>
      <c r="D262" s="121" t="s">
        <v>57</v>
      </c>
      <c r="E262" s="121" t="s">
        <v>92</v>
      </c>
      <c r="F262" s="143" t="s">
        <v>246</v>
      </c>
      <c r="G262" s="144" t="s">
        <v>62</v>
      </c>
      <c r="H262" s="735" t="s">
        <v>63</v>
      </c>
      <c r="I262" s="736" t="s">
        <v>64</v>
      </c>
      <c r="J262" s="121"/>
      <c r="K262" s="137">
        <f t="shared" si="62"/>
        <v>3267.5</v>
      </c>
      <c r="L262" s="137">
        <f t="shared" si="62"/>
        <v>0</v>
      </c>
      <c r="M262" s="137">
        <f t="shared" si="62"/>
        <v>3267.5</v>
      </c>
    </row>
    <row r="263" spans="1:13" s="118" customFormat="1" ht="37.5" customHeight="1">
      <c r="A263" s="122"/>
      <c r="B263" s="135" t="s">
        <v>404</v>
      </c>
      <c r="C263" s="136" t="s">
        <v>354</v>
      </c>
      <c r="D263" s="121" t="s">
        <v>57</v>
      </c>
      <c r="E263" s="121" t="s">
        <v>92</v>
      </c>
      <c r="F263" s="143" t="s">
        <v>246</v>
      </c>
      <c r="G263" s="144" t="s">
        <v>65</v>
      </c>
      <c r="H263" s="735" t="s">
        <v>63</v>
      </c>
      <c r="I263" s="736" t="s">
        <v>64</v>
      </c>
      <c r="J263" s="121"/>
      <c r="K263" s="137">
        <f>K264+K267</f>
        <v>3267.5</v>
      </c>
      <c r="L263" s="137">
        <f>L264+L267</f>
        <v>0</v>
      </c>
      <c r="M263" s="137">
        <f>M264+M267</f>
        <v>3267.5</v>
      </c>
    </row>
    <row r="264" spans="1:13" s="351" customFormat="1" ht="37.5" customHeight="1">
      <c r="A264" s="122"/>
      <c r="B264" s="135" t="s">
        <v>428</v>
      </c>
      <c r="C264" s="136" t="s">
        <v>354</v>
      </c>
      <c r="D264" s="121" t="s">
        <v>57</v>
      </c>
      <c r="E264" s="121" t="s">
        <v>92</v>
      </c>
      <c r="F264" s="143" t="s">
        <v>246</v>
      </c>
      <c r="G264" s="144" t="s">
        <v>65</v>
      </c>
      <c r="H264" s="735" t="s">
        <v>84</v>
      </c>
      <c r="I264" s="736" t="s">
        <v>64</v>
      </c>
      <c r="J264" s="121"/>
      <c r="K264" s="137">
        <f>K265</f>
        <v>3249.5</v>
      </c>
      <c r="L264" s="137">
        <f>L265</f>
        <v>0</v>
      </c>
      <c r="M264" s="137">
        <f>M265</f>
        <v>3249.5</v>
      </c>
    </row>
    <row r="265" spans="1:13" s="356" customFormat="1" ht="60" customHeight="1">
      <c r="A265" s="122"/>
      <c r="B265" s="135" t="s">
        <v>429</v>
      </c>
      <c r="C265" s="136" t="s">
        <v>354</v>
      </c>
      <c r="D265" s="121" t="s">
        <v>57</v>
      </c>
      <c r="E265" s="121" t="s">
        <v>92</v>
      </c>
      <c r="F265" s="143" t="s">
        <v>246</v>
      </c>
      <c r="G265" s="144" t="s">
        <v>65</v>
      </c>
      <c r="H265" s="735" t="s">
        <v>84</v>
      </c>
      <c r="I265" s="736" t="s">
        <v>126</v>
      </c>
      <c r="J265" s="121"/>
      <c r="K265" s="137">
        <f t="shared" si="62"/>
        <v>3249.5</v>
      </c>
      <c r="L265" s="137">
        <f t="shared" si="62"/>
        <v>0</v>
      </c>
      <c r="M265" s="137">
        <f t="shared" si="62"/>
        <v>3249.5</v>
      </c>
    </row>
    <row r="266" spans="1:13" s="356" customFormat="1" ht="56.25" customHeight="1">
      <c r="A266" s="122"/>
      <c r="B266" s="135" t="s">
        <v>75</v>
      </c>
      <c r="C266" s="136" t="s">
        <v>354</v>
      </c>
      <c r="D266" s="121" t="s">
        <v>57</v>
      </c>
      <c r="E266" s="121" t="s">
        <v>92</v>
      </c>
      <c r="F266" s="143" t="s">
        <v>246</v>
      </c>
      <c r="G266" s="144" t="s">
        <v>65</v>
      </c>
      <c r="H266" s="735" t="s">
        <v>84</v>
      </c>
      <c r="I266" s="736" t="s">
        <v>126</v>
      </c>
      <c r="J266" s="121" t="s">
        <v>76</v>
      </c>
      <c r="K266" s="137">
        <f>2843.2+213.3+193</f>
        <v>3249.5</v>
      </c>
      <c r="L266" s="137">
        <f>M266-K266</f>
        <v>0</v>
      </c>
      <c r="M266" s="137">
        <f>2843.2+213.3+193</f>
        <v>3249.5</v>
      </c>
    </row>
    <row r="267" spans="1:13" s="356" customFormat="1" ht="33.75" customHeight="1">
      <c r="A267" s="122"/>
      <c r="B267" s="135" t="s">
        <v>799</v>
      </c>
      <c r="C267" s="136" t="s">
        <v>354</v>
      </c>
      <c r="D267" s="121" t="s">
        <v>57</v>
      </c>
      <c r="E267" s="121" t="s">
        <v>92</v>
      </c>
      <c r="F267" s="143" t="s">
        <v>246</v>
      </c>
      <c r="G267" s="144" t="s">
        <v>65</v>
      </c>
      <c r="H267" s="735" t="s">
        <v>86</v>
      </c>
      <c r="I267" s="736" t="s">
        <v>64</v>
      </c>
      <c r="J267" s="121"/>
      <c r="K267" s="137">
        <f t="shared" ref="K267:M268" si="63">K268</f>
        <v>18</v>
      </c>
      <c r="L267" s="137">
        <f t="shared" si="63"/>
        <v>0</v>
      </c>
      <c r="M267" s="137">
        <f t="shared" si="63"/>
        <v>18</v>
      </c>
    </row>
    <row r="268" spans="1:13" s="356" customFormat="1" ht="23.45" customHeight="1">
      <c r="A268" s="122"/>
      <c r="B268" s="135" t="s">
        <v>797</v>
      </c>
      <c r="C268" s="136" t="s">
        <v>354</v>
      </c>
      <c r="D268" s="121" t="s">
        <v>57</v>
      </c>
      <c r="E268" s="121" t="s">
        <v>92</v>
      </c>
      <c r="F268" s="143" t="s">
        <v>246</v>
      </c>
      <c r="G268" s="144" t="s">
        <v>65</v>
      </c>
      <c r="H268" s="735" t="s">
        <v>86</v>
      </c>
      <c r="I268" s="736" t="s">
        <v>798</v>
      </c>
      <c r="J268" s="121"/>
      <c r="K268" s="137">
        <f t="shared" si="63"/>
        <v>18</v>
      </c>
      <c r="L268" s="137">
        <f t="shared" si="63"/>
        <v>0</v>
      </c>
      <c r="M268" s="137">
        <f t="shared" si="63"/>
        <v>18</v>
      </c>
    </row>
    <row r="269" spans="1:13" s="356" customFormat="1" ht="56.25" customHeight="1">
      <c r="A269" s="122"/>
      <c r="B269" s="135" t="s">
        <v>75</v>
      </c>
      <c r="C269" s="136" t="s">
        <v>354</v>
      </c>
      <c r="D269" s="121" t="s">
        <v>57</v>
      </c>
      <c r="E269" s="121" t="s">
        <v>92</v>
      </c>
      <c r="F269" s="143" t="s">
        <v>246</v>
      </c>
      <c r="G269" s="144" t="s">
        <v>65</v>
      </c>
      <c r="H269" s="735" t="s">
        <v>86</v>
      </c>
      <c r="I269" s="736" t="s">
        <v>798</v>
      </c>
      <c r="J269" s="121" t="s">
        <v>76</v>
      </c>
      <c r="K269" s="137">
        <v>18</v>
      </c>
      <c r="L269" s="137">
        <f>M269-K269</f>
        <v>0</v>
      </c>
      <c r="M269" s="137">
        <v>18</v>
      </c>
    </row>
    <row r="270" spans="1:13" s="356" customFormat="1" ht="56.25" customHeight="1">
      <c r="A270" s="122"/>
      <c r="B270" s="135" t="s">
        <v>222</v>
      </c>
      <c r="C270" s="136" t="s">
        <v>354</v>
      </c>
      <c r="D270" s="121" t="s">
        <v>109</v>
      </c>
      <c r="E270" s="121"/>
      <c r="F270" s="143"/>
      <c r="G270" s="144"/>
      <c r="H270" s="735"/>
      <c r="I270" s="736"/>
      <c r="J270" s="121"/>
      <c r="K270" s="137">
        <f>K271+K277</f>
        <v>13952.8</v>
      </c>
      <c r="L270" s="137">
        <f>L271+L277</f>
        <v>-1652.8000000000002</v>
      </c>
      <c r="M270" s="137">
        <f>M271+M277</f>
        <v>12300</v>
      </c>
    </row>
    <row r="271" spans="1:13" s="356" customFormat="1" ht="56.25" customHeight="1">
      <c r="A271" s="122"/>
      <c r="B271" s="141" t="s">
        <v>223</v>
      </c>
      <c r="C271" s="136" t="s">
        <v>354</v>
      </c>
      <c r="D271" s="121" t="s">
        <v>109</v>
      </c>
      <c r="E271" s="121" t="s">
        <v>57</v>
      </c>
      <c r="F271" s="143"/>
      <c r="G271" s="144"/>
      <c r="H271" s="735"/>
      <c r="I271" s="736"/>
      <c r="J271" s="121"/>
      <c r="K271" s="137">
        <f t="shared" ref="K271:M273" si="64">K272</f>
        <v>5500</v>
      </c>
      <c r="L271" s="137">
        <f t="shared" si="64"/>
        <v>0</v>
      </c>
      <c r="M271" s="137">
        <f t="shared" si="64"/>
        <v>5500</v>
      </c>
    </row>
    <row r="272" spans="1:13" s="356" customFormat="1" ht="55.15" customHeight="1">
      <c r="A272" s="122"/>
      <c r="B272" s="135" t="s">
        <v>245</v>
      </c>
      <c r="C272" s="136" t="s">
        <v>354</v>
      </c>
      <c r="D272" s="121" t="s">
        <v>109</v>
      </c>
      <c r="E272" s="121" t="s">
        <v>57</v>
      </c>
      <c r="F272" s="143" t="s">
        <v>246</v>
      </c>
      <c r="G272" s="144" t="s">
        <v>62</v>
      </c>
      <c r="H272" s="735" t="s">
        <v>63</v>
      </c>
      <c r="I272" s="736" t="s">
        <v>64</v>
      </c>
      <c r="J272" s="121"/>
      <c r="K272" s="137">
        <f t="shared" si="64"/>
        <v>5500</v>
      </c>
      <c r="L272" s="137">
        <f t="shared" si="64"/>
        <v>0</v>
      </c>
      <c r="M272" s="137">
        <f t="shared" si="64"/>
        <v>5500</v>
      </c>
    </row>
    <row r="273" spans="1:13" s="356" customFormat="1" ht="37.5" customHeight="1">
      <c r="A273" s="122"/>
      <c r="B273" s="135" t="s">
        <v>404</v>
      </c>
      <c r="C273" s="136" t="s">
        <v>354</v>
      </c>
      <c r="D273" s="121" t="s">
        <v>109</v>
      </c>
      <c r="E273" s="121" t="s">
        <v>57</v>
      </c>
      <c r="F273" s="143" t="s">
        <v>246</v>
      </c>
      <c r="G273" s="144" t="s">
        <v>65</v>
      </c>
      <c r="H273" s="735" t="s">
        <v>63</v>
      </c>
      <c r="I273" s="736" t="s">
        <v>64</v>
      </c>
      <c r="J273" s="121"/>
      <c r="K273" s="137">
        <f t="shared" si="64"/>
        <v>5500</v>
      </c>
      <c r="L273" s="137">
        <f t="shared" si="64"/>
        <v>0</v>
      </c>
      <c r="M273" s="137">
        <f t="shared" si="64"/>
        <v>5500</v>
      </c>
    </row>
    <row r="274" spans="1:13" s="356" customFormat="1" ht="37.5" customHeight="1">
      <c r="A274" s="122"/>
      <c r="B274" s="135" t="s">
        <v>356</v>
      </c>
      <c r="C274" s="136" t="s">
        <v>354</v>
      </c>
      <c r="D274" s="121" t="s">
        <v>109</v>
      </c>
      <c r="E274" s="121" t="s">
        <v>57</v>
      </c>
      <c r="F274" s="143" t="s">
        <v>246</v>
      </c>
      <c r="G274" s="144" t="s">
        <v>65</v>
      </c>
      <c r="H274" s="735" t="s">
        <v>59</v>
      </c>
      <c r="I274" s="736" t="s">
        <v>64</v>
      </c>
      <c r="J274" s="121"/>
      <c r="K274" s="137">
        <f>K275</f>
        <v>5500</v>
      </c>
      <c r="L274" s="137">
        <f>L275</f>
        <v>0</v>
      </c>
      <c r="M274" s="137">
        <f>M275</f>
        <v>5500</v>
      </c>
    </row>
    <row r="275" spans="1:13" s="356" customFormat="1" ht="37.5" customHeight="1">
      <c r="A275" s="122"/>
      <c r="B275" s="135" t="s">
        <v>298</v>
      </c>
      <c r="C275" s="136" t="s">
        <v>354</v>
      </c>
      <c r="D275" s="121" t="s">
        <v>109</v>
      </c>
      <c r="E275" s="121" t="s">
        <v>57</v>
      </c>
      <c r="F275" s="143" t="s">
        <v>246</v>
      </c>
      <c r="G275" s="144" t="s">
        <v>65</v>
      </c>
      <c r="H275" s="735" t="s">
        <v>59</v>
      </c>
      <c r="I275" s="736" t="s">
        <v>578</v>
      </c>
      <c r="J275" s="121"/>
      <c r="K275" s="137">
        <f t="shared" ref="K275:M275" si="65">K276</f>
        <v>5500</v>
      </c>
      <c r="L275" s="137">
        <f t="shared" si="65"/>
        <v>0</v>
      </c>
      <c r="M275" s="137">
        <f t="shared" si="65"/>
        <v>5500</v>
      </c>
    </row>
    <row r="276" spans="1:13" s="356" customFormat="1" ht="18.75" customHeight="1">
      <c r="A276" s="122"/>
      <c r="B276" s="135" t="s">
        <v>144</v>
      </c>
      <c r="C276" s="136" t="s">
        <v>354</v>
      </c>
      <c r="D276" s="121" t="s">
        <v>109</v>
      </c>
      <c r="E276" s="121" t="s">
        <v>57</v>
      </c>
      <c r="F276" s="143" t="s">
        <v>246</v>
      </c>
      <c r="G276" s="144" t="s">
        <v>65</v>
      </c>
      <c r="H276" s="735" t="s">
        <v>59</v>
      </c>
      <c r="I276" s="736" t="s">
        <v>578</v>
      </c>
      <c r="J276" s="121" t="s">
        <v>145</v>
      </c>
      <c r="K276" s="137">
        <v>5500</v>
      </c>
      <c r="L276" s="137">
        <f>M276-K276</f>
        <v>0</v>
      </c>
      <c r="M276" s="137">
        <v>5500</v>
      </c>
    </row>
    <row r="277" spans="1:13" s="356" customFormat="1" ht="37.5" customHeight="1">
      <c r="A277" s="122"/>
      <c r="B277" s="135" t="s">
        <v>918</v>
      </c>
      <c r="C277" s="136" t="s">
        <v>354</v>
      </c>
      <c r="D277" s="121" t="s">
        <v>109</v>
      </c>
      <c r="E277" s="121" t="s">
        <v>84</v>
      </c>
      <c r="F277" s="143"/>
      <c r="G277" s="144"/>
      <c r="H277" s="735"/>
      <c r="I277" s="736"/>
      <c r="J277" s="121"/>
      <c r="K277" s="137">
        <f t="shared" ref="K277:M280" si="66">K278</f>
        <v>8452.7999999999993</v>
      </c>
      <c r="L277" s="137">
        <f t="shared" si="66"/>
        <v>-1652.8000000000002</v>
      </c>
      <c r="M277" s="137">
        <f t="shared" si="66"/>
        <v>6799.9999999999991</v>
      </c>
    </row>
    <row r="278" spans="1:13" s="356" customFormat="1" ht="56.45" customHeight="1">
      <c r="A278" s="122"/>
      <c r="B278" s="135" t="s">
        <v>245</v>
      </c>
      <c r="C278" s="136" t="s">
        <v>354</v>
      </c>
      <c r="D278" s="121" t="s">
        <v>109</v>
      </c>
      <c r="E278" s="121" t="s">
        <v>84</v>
      </c>
      <c r="F278" s="143" t="s">
        <v>246</v>
      </c>
      <c r="G278" s="144" t="s">
        <v>62</v>
      </c>
      <c r="H278" s="735" t="s">
        <v>63</v>
      </c>
      <c r="I278" s="736" t="s">
        <v>64</v>
      </c>
      <c r="J278" s="121"/>
      <c r="K278" s="137">
        <f t="shared" si="66"/>
        <v>8452.7999999999993</v>
      </c>
      <c r="L278" s="137">
        <f t="shared" si="66"/>
        <v>-1652.8000000000002</v>
      </c>
      <c r="M278" s="137">
        <f t="shared" si="66"/>
        <v>6799.9999999999991</v>
      </c>
    </row>
    <row r="279" spans="1:13" s="356" customFormat="1" ht="37.5" customHeight="1">
      <c r="A279" s="122"/>
      <c r="B279" s="135" t="s">
        <v>404</v>
      </c>
      <c r="C279" s="136" t="s">
        <v>354</v>
      </c>
      <c r="D279" s="121" t="s">
        <v>109</v>
      </c>
      <c r="E279" s="121" t="s">
        <v>84</v>
      </c>
      <c r="F279" s="143" t="s">
        <v>246</v>
      </c>
      <c r="G279" s="144" t="s">
        <v>65</v>
      </c>
      <c r="H279" s="735" t="s">
        <v>63</v>
      </c>
      <c r="I279" s="736" t="s">
        <v>64</v>
      </c>
      <c r="J279" s="121"/>
      <c r="K279" s="137">
        <f t="shared" si="66"/>
        <v>8452.7999999999993</v>
      </c>
      <c r="L279" s="137">
        <f t="shared" si="66"/>
        <v>-1652.8000000000002</v>
      </c>
      <c r="M279" s="137">
        <f t="shared" si="66"/>
        <v>6799.9999999999991</v>
      </c>
    </row>
    <row r="280" spans="1:13" s="356" customFormat="1" ht="37.5" customHeight="1">
      <c r="A280" s="122"/>
      <c r="B280" s="135" t="s">
        <v>356</v>
      </c>
      <c r="C280" s="136" t="s">
        <v>354</v>
      </c>
      <c r="D280" s="121" t="s">
        <v>109</v>
      </c>
      <c r="E280" s="121" t="s">
        <v>84</v>
      </c>
      <c r="F280" s="143" t="s">
        <v>246</v>
      </c>
      <c r="G280" s="144" t="s">
        <v>65</v>
      </c>
      <c r="H280" s="735" t="s">
        <v>59</v>
      </c>
      <c r="I280" s="736" t="s">
        <v>64</v>
      </c>
      <c r="J280" s="121"/>
      <c r="K280" s="137">
        <f>K281</f>
        <v>8452.7999999999993</v>
      </c>
      <c r="L280" s="137">
        <f t="shared" si="66"/>
        <v>-1652.8000000000002</v>
      </c>
      <c r="M280" s="137">
        <f t="shared" si="66"/>
        <v>6799.9999999999991</v>
      </c>
    </row>
    <row r="281" spans="1:13" s="356" customFormat="1" ht="55.9" customHeight="1">
      <c r="A281" s="122"/>
      <c r="B281" s="135" t="s">
        <v>1024</v>
      </c>
      <c r="C281" s="136" t="s">
        <v>354</v>
      </c>
      <c r="D281" s="121" t="s">
        <v>109</v>
      </c>
      <c r="E281" s="121" t="s">
        <v>84</v>
      </c>
      <c r="F281" s="143" t="s">
        <v>246</v>
      </c>
      <c r="G281" s="144" t="s">
        <v>65</v>
      </c>
      <c r="H281" s="735" t="s">
        <v>59</v>
      </c>
      <c r="I281" s="736" t="s">
        <v>1023</v>
      </c>
      <c r="J281" s="121"/>
      <c r="K281" s="137">
        <f>K282</f>
        <v>8452.7999999999993</v>
      </c>
      <c r="L281" s="137">
        <f>L282</f>
        <v>-1652.8000000000002</v>
      </c>
      <c r="M281" s="137">
        <f>M282</f>
        <v>6799.9999999999991</v>
      </c>
    </row>
    <row r="282" spans="1:13" s="356" customFormat="1" ht="18.75">
      <c r="A282" s="122"/>
      <c r="B282" s="135" t="s">
        <v>144</v>
      </c>
      <c r="C282" s="136" t="s">
        <v>354</v>
      </c>
      <c r="D282" s="121" t="s">
        <v>109</v>
      </c>
      <c r="E282" s="121" t="s">
        <v>84</v>
      </c>
      <c r="F282" s="143" t="s">
        <v>246</v>
      </c>
      <c r="G282" s="144" t="s">
        <v>65</v>
      </c>
      <c r="H282" s="735" t="s">
        <v>59</v>
      </c>
      <c r="I282" s="736" t="s">
        <v>1023</v>
      </c>
      <c r="J282" s="121" t="s">
        <v>145</v>
      </c>
      <c r="K282" s="137">
        <v>8452.7999999999993</v>
      </c>
      <c r="L282" s="137">
        <f>M282-K282</f>
        <v>-1652.8000000000002</v>
      </c>
      <c r="M282" s="137">
        <f>8452.8-173.5-1479.3</f>
        <v>6799.9999999999991</v>
      </c>
    </row>
    <row r="283" spans="1:13" s="356" customFormat="1" ht="18.75" customHeight="1">
      <c r="A283" s="122"/>
      <c r="B283" s="135"/>
      <c r="C283" s="136"/>
      <c r="D283" s="121"/>
      <c r="E283" s="121"/>
      <c r="F283" s="143"/>
      <c r="G283" s="144"/>
      <c r="H283" s="735"/>
      <c r="I283" s="736"/>
      <c r="J283" s="121"/>
      <c r="K283" s="137"/>
      <c r="L283" s="137"/>
      <c r="M283" s="137"/>
    </row>
    <row r="284" spans="1:13" s="357" customFormat="1" ht="56.25" customHeight="1">
      <c r="A284" s="350">
        <v>3</v>
      </c>
      <c r="B284" s="129" t="s">
        <v>55</v>
      </c>
      <c r="C284" s="130" t="s">
        <v>150</v>
      </c>
      <c r="D284" s="131"/>
      <c r="E284" s="131"/>
      <c r="F284" s="132"/>
      <c r="G284" s="133"/>
      <c r="H284" s="133"/>
      <c r="I284" s="134"/>
      <c r="J284" s="131"/>
      <c r="K284" s="160">
        <f t="shared" ref="K284:M287" si="67">K285</f>
        <v>4258.2</v>
      </c>
      <c r="L284" s="160">
        <f t="shared" si="67"/>
        <v>8.5265128291212022E-14</v>
      </c>
      <c r="M284" s="160">
        <f t="shared" si="67"/>
        <v>4258.2</v>
      </c>
    </row>
    <row r="285" spans="1:13" s="357" customFormat="1" ht="18.75" customHeight="1">
      <c r="A285" s="122"/>
      <c r="B285" s="135" t="s">
        <v>56</v>
      </c>
      <c r="C285" s="136" t="s">
        <v>150</v>
      </c>
      <c r="D285" s="121" t="s">
        <v>57</v>
      </c>
      <c r="E285" s="121"/>
      <c r="F285" s="734"/>
      <c r="G285" s="735"/>
      <c r="H285" s="735"/>
      <c r="I285" s="736"/>
      <c r="J285" s="121"/>
      <c r="K285" s="137">
        <f t="shared" si="67"/>
        <v>4258.2</v>
      </c>
      <c r="L285" s="137">
        <f t="shared" si="67"/>
        <v>8.5265128291212022E-14</v>
      </c>
      <c r="M285" s="137">
        <f t="shared" si="67"/>
        <v>4258.2</v>
      </c>
    </row>
    <row r="286" spans="1:13" s="357" customFormat="1" ht="75" customHeight="1">
      <c r="A286" s="122"/>
      <c r="B286" s="135" t="s">
        <v>151</v>
      </c>
      <c r="C286" s="136" t="s">
        <v>150</v>
      </c>
      <c r="D286" s="121" t="s">
        <v>57</v>
      </c>
      <c r="E286" s="121" t="s">
        <v>102</v>
      </c>
      <c r="F286" s="734"/>
      <c r="G286" s="735"/>
      <c r="H286" s="735"/>
      <c r="I286" s="736"/>
      <c r="J286" s="121"/>
      <c r="K286" s="137">
        <f t="shared" si="67"/>
        <v>4258.2</v>
      </c>
      <c r="L286" s="137">
        <f t="shared" si="67"/>
        <v>8.5265128291212022E-14</v>
      </c>
      <c r="M286" s="137">
        <f t="shared" si="67"/>
        <v>4258.2</v>
      </c>
    </row>
    <row r="287" spans="1:13" s="357" customFormat="1" ht="39" customHeight="1">
      <c r="A287" s="122"/>
      <c r="B287" s="138" t="s">
        <v>152</v>
      </c>
      <c r="C287" s="136" t="s">
        <v>150</v>
      </c>
      <c r="D287" s="121" t="s">
        <v>57</v>
      </c>
      <c r="E287" s="121" t="s">
        <v>102</v>
      </c>
      <c r="F287" s="734" t="s">
        <v>153</v>
      </c>
      <c r="G287" s="735" t="s">
        <v>62</v>
      </c>
      <c r="H287" s="735" t="s">
        <v>63</v>
      </c>
      <c r="I287" s="736" t="s">
        <v>64</v>
      </c>
      <c r="J287" s="121"/>
      <c r="K287" s="137">
        <f t="shared" si="67"/>
        <v>4258.2</v>
      </c>
      <c r="L287" s="137">
        <f t="shared" si="67"/>
        <v>8.5265128291212022E-14</v>
      </c>
      <c r="M287" s="137">
        <f t="shared" si="67"/>
        <v>4258.2</v>
      </c>
    </row>
    <row r="288" spans="1:13" s="357" customFormat="1" ht="41.25" customHeight="1">
      <c r="A288" s="122"/>
      <c r="B288" s="138" t="s">
        <v>154</v>
      </c>
      <c r="C288" s="136" t="s">
        <v>150</v>
      </c>
      <c r="D288" s="121" t="s">
        <v>57</v>
      </c>
      <c r="E288" s="121" t="s">
        <v>102</v>
      </c>
      <c r="F288" s="734" t="s">
        <v>153</v>
      </c>
      <c r="G288" s="735" t="s">
        <v>65</v>
      </c>
      <c r="H288" s="735" t="s">
        <v>63</v>
      </c>
      <c r="I288" s="736" t="s">
        <v>64</v>
      </c>
      <c r="J288" s="121"/>
      <c r="K288" s="137">
        <f>K289+K293</f>
        <v>4258.2</v>
      </c>
      <c r="L288" s="137">
        <f>L289+L293</f>
        <v>8.5265128291212022E-14</v>
      </c>
      <c r="M288" s="137">
        <f>M289+M293</f>
        <v>4258.2</v>
      </c>
    </row>
    <row r="289" spans="1:13" s="357" customFormat="1" ht="37.5" customHeight="1">
      <c r="A289" s="122"/>
      <c r="B289" s="135" t="s">
        <v>67</v>
      </c>
      <c r="C289" s="136" t="s">
        <v>150</v>
      </c>
      <c r="D289" s="121" t="s">
        <v>57</v>
      </c>
      <c r="E289" s="121" t="s">
        <v>102</v>
      </c>
      <c r="F289" s="734" t="s">
        <v>153</v>
      </c>
      <c r="G289" s="735" t="s">
        <v>65</v>
      </c>
      <c r="H289" s="735" t="s">
        <v>63</v>
      </c>
      <c r="I289" s="736" t="s">
        <v>68</v>
      </c>
      <c r="J289" s="121"/>
      <c r="K289" s="137">
        <f>K290+K291+K292</f>
        <v>3343.9</v>
      </c>
      <c r="L289" s="137">
        <f>L290+L291+L292</f>
        <v>8.5265128291212022E-14</v>
      </c>
      <c r="M289" s="137">
        <f>M290+M291+M292</f>
        <v>3343.9</v>
      </c>
    </row>
    <row r="290" spans="1:13" s="357" customFormat="1" ht="112.5" customHeight="1">
      <c r="A290" s="122"/>
      <c r="B290" s="138" t="s">
        <v>69</v>
      </c>
      <c r="C290" s="136" t="s">
        <v>150</v>
      </c>
      <c r="D290" s="121" t="s">
        <v>57</v>
      </c>
      <c r="E290" s="121" t="s">
        <v>102</v>
      </c>
      <c r="F290" s="734" t="s">
        <v>153</v>
      </c>
      <c r="G290" s="735" t="s">
        <v>65</v>
      </c>
      <c r="H290" s="735" t="s">
        <v>63</v>
      </c>
      <c r="I290" s="736" t="s">
        <v>68</v>
      </c>
      <c r="J290" s="121" t="s">
        <v>70</v>
      </c>
      <c r="K290" s="137">
        <v>3098.4</v>
      </c>
      <c r="L290" s="137">
        <f>M290-K290</f>
        <v>2.9000000000000909</v>
      </c>
      <c r="M290" s="137">
        <f>3098.4+2.9</f>
        <v>3101.3</v>
      </c>
    </row>
    <row r="291" spans="1:13" s="357" customFormat="1" ht="56.25" customHeight="1">
      <c r="A291" s="122"/>
      <c r="B291" s="135" t="s">
        <v>75</v>
      </c>
      <c r="C291" s="136" t="s">
        <v>150</v>
      </c>
      <c r="D291" s="121" t="s">
        <v>57</v>
      </c>
      <c r="E291" s="121" t="s">
        <v>102</v>
      </c>
      <c r="F291" s="734" t="s">
        <v>153</v>
      </c>
      <c r="G291" s="735" t="s">
        <v>65</v>
      </c>
      <c r="H291" s="735" t="s">
        <v>63</v>
      </c>
      <c r="I291" s="736" t="s">
        <v>68</v>
      </c>
      <c r="J291" s="121" t="s">
        <v>76</v>
      </c>
      <c r="K291" s="137">
        <v>235.5</v>
      </c>
      <c r="L291" s="137">
        <f>M291-K291</f>
        <v>-2.9000000000000057</v>
      </c>
      <c r="M291" s="137">
        <f>235.5-2.9</f>
        <v>232.6</v>
      </c>
    </row>
    <row r="292" spans="1:13" s="357" customFormat="1" ht="18.75" customHeight="1">
      <c r="A292" s="122"/>
      <c r="B292" s="135" t="s">
        <v>77</v>
      </c>
      <c r="C292" s="136" t="s">
        <v>150</v>
      </c>
      <c r="D292" s="121" t="s">
        <v>57</v>
      </c>
      <c r="E292" s="121" t="s">
        <v>102</v>
      </c>
      <c r="F292" s="734" t="s">
        <v>153</v>
      </c>
      <c r="G292" s="735" t="s">
        <v>65</v>
      </c>
      <c r="H292" s="735" t="s">
        <v>63</v>
      </c>
      <c r="I292" s="736" t="s">
        <v>68</v>
      </c>
      <c r="J292" s="121" t="s">
        <v>78</v>
      </c>
      <c r="K292" s="137">
        <v>10</v>
      </c>
      <c r="L292" s="137">
        <f>M292-K292</f>
        <v>0</v>
      </c>
      <c r="M292" s="137">
        <v>10</v>
      </c>
    </row>
    <row r="293" spans="1:13" s="357" customFormat="1" ht="37.5" customHeight="1">
      <c r="A293" s="122"/>
      <c r="B293" s="135" t="s">
        <v>258</v>
      </c>
      <c r="C293" s="136" t="s">
        <v>150</v>
      </c>
      <c r="D293" s="121" t="s">
        <v>57</v>
      </c>
      <c r="E293" s="121" t="s">
        <v>102</v>
      </c>
      <c r="F293" s="734" t="s">
        <v>153</v>
      </c>
      <c r="G293" s="735" t="s">
        <v>65</v>
      </c>
      <c r="H293" s="735" t="s">
        <v>63</v>
      </c>
      <c r="I293" s="736" t="s">
        <v>155</v>
      </c>
      <c r="J293" s="121"/>
      <c r="K293" s="137">
        <f t="shared" ref="K293:M293" si="68">K294</f>
        <v>914.3</v>
      </c>
      <c r="L293" s="137">
        <f t="shared" si="68"/>
        <v>0</v>
      </c>
      <c r="M293" s="137">
        <f t="shared" si="68"/>
        <v>914.3</v>
      </c>
    </row>
    <row r="294" spans="1:13" s="357" customFormat="1" ht="112.5" customHeight="1">
      <c r="A294" s="405"/>
      <c r="B294" s="406" t="s">
        <v>69</v>
      </c>
      <c r="C294" s="407" t="s">
        <v>150</v>
      </c>
      <c r="D294" s="408" t="s">
        <v>57</v>
      </c>
      <c r="E294" s="408" t="s">
        <v>102</v>
      </c>
      <c r="F294" s="334" t="s">
        <v>153</v>
      </c>
      <c r="G294" s="335" t="s">
        <v>65</v>
      </c>
      <c r="H294" s="335" t="s">
        <v>63</v>
      </c>
      <c r="I294" s="336" t="s">
        <v>155</v>
      </c>
      <c r="J294" s="408" t="s">
        <v>70</v>
      </c>
      <c r="K294" s="666">
        <v>914.3</v>
      </c>
      <c r="L294" s="137">
        <f>M294-K294</f>
        <v>0</v>
      </c>
      <c r="M294" s="666">
        <v>914.3</v>
      </c>
    </row>
    <row r="295" spans="1:13" s="372" customFormat="1" ht="18.75" customHeight="1">
      <c r="A295" s="367"/>
      <c r="B295" s="332"/>
      <c r="C295" s="409"/>
      <c r="D295" s="410"/>
      <c r="E295" s="410"/>
      <c r="F295" s="411"/>
      <c r="G295" s="412"/>
      <c r="H295" s="412"/>
      <c r="I295" s="413"/>
      <c r="J295" s="410"/>
      <c r="K295" s="371"/>
      <c r="L295" s="667"/>
      <c r="M295" s="371"/>
    </row>
    <row r="296" spans="1:13" s="366" customFormat="1" ht="56.25" customHeight="1">
      <c r="A296" s="358">
        <v>4</v>
      </c>
      <c r="B296" s="359" t="s">
        <v>17</v>
      </c>
      <c r="C296" s="360" t="s">
        <v>588</v>
      </c>
      <c r="D296" s="361"/>
      <c r="E296" s="361"/>
      <c r="F296" s="362"/>
      <c r="G296" s="363"/>
      <c r="H296" s="363"/>
      <c r="I296" s="364"/>
      <c r="J296" s="361"/>
      <c r="K296" s="365" t="e">
        <f>K297+K358+K373+K351+K388</f>
        <v>#REF!</v>
      </c>
      <c r="L296" s="365">
        <f>L297+L358+L373+L351+L388</f>
        <v>9912.6849400000028</v>
      </c>
      <c r="M296" s="365">
        <f>M297+M358+M373+M351+M388</f>
        <v>161656.38493999999</v>
      </c>
    </row>
    <row r="297" spans="1:13" s="372" customFormat="1" ht="18.75" customHeight="1">
      <c r="A297" s="367"/>
      <c r="B297" s="332" t="s">
        <v>56</v>
      </c>
      <c r="C297" s="368" t="s">
        <v>588</v>
      </c>
      <c r="D297" s="369" t="s">
        <v>57</v>
      </c>
      <c r="E297" s="281"/>
      <c r="F297" s="370"/>
      <c r="G297" s="279"/>
      <c r="H297" s="279"/>
      <c r="I297" s="280"/>
      <c r="J297" s="281"/>
      <c r="K297" s="371">
        <f>K298</f>
        <v>47731.898000000001</v>
      </c>
      <c r="L297" s="371">
        <f>L298</f>
        <v>2601.6259999999997</v>
      </c>
      <c r="M297" s="371">
        <f>M298</f>
        <v>50333.524000000005</v>
      </c>
    </row>
    <row r="298" spans="1:13" s="366" customFormat="1" ht="18.75" customHeight="1">
      <c r="A298" s="367"/>
      <c r="B298" s="332" t="s">
        <v>91</v>
      </c>
      <c r="C298" s="368" t="s">
        <v>588</v>
      </c>
      <c r="D298" s="369" t="s">
        <v>57</v>
      </c>
      <c r="E298" s="369" t="s">
        <v>92</v>
      </c>
      <c r="F298" s="370"/>
      <c r="G298" s="279"/>
      <c r="H298" s="279"/>
      <c r="I298" s="280"/>
      <c r="J298" s="281"/>
      <c r="K298" s="371">
        <f>K304+K339+K346+K299</f>
        <v>47731.898000000001</v>
      </c>
      <c r="L298" s="371">
        <f t="shared" ref="L298:M298" si="69">L304+L339+L346+L299</f>
        <v>2601.6259999999997</v>
      </c>
      <c r="M298" s="371">
        <f t="shared" si="69"/>
        <v>50333.524000000005</v>
      </c>
    </row>
    <row r="299" spans="1:13" s="366" customFormat="1" ht="59.45" customHeight="1">
      <c r="A299" s="367"/>
      <c r="B299" s="332" t="s">
        <v>101</v>
      </c>
      <c r="C299" s="368" t="s">
        <v>588</v>
      </c>
      <c r="D299" s="369" t="s">
        <v>57</v>
      </c>
      <c r="E299" s="369" t="s">
        <v>92</v>
      </c>
      <c r="F299" s="370" t="s">
        <v>102</v>
      </c>
      <c r="G299" s="279" t="s">
        <v>62</v>
      </c>
      <c r="H299" s="279" t="s">
        <v>63</v>
      </c>
      <c r="I299" s="280" t="s">
        <v>64</v>
      </c>
      <c r="J299" s="281"/>
      <c r="K299" s="371">
        <f>K300</f>
        <v>0</v>
      </c>
      <c r="L299" s="371">
        <f t="shared" ref="L299:M299" si="70">L300</f>
        <v>98</v>
      </c>
      <c r="M299" s="371">
        <f t="shared" si="70"/>
        <v>98</v>
      </c>
    </row>
    <row r="300" spans="1:13" s="366" customFormat="1" ht="41.45" customHeight="1">
      <c r="A300" s="367"/>
      <c r="B300" s="332" t="s">
        <v>146</v>
      </c>
      <c r="C300" s="368" t="s">
        <v>588</v>
      </c>
      <c r="D300" s="369" t="s">
        <v>57</v>
      </c>
      <c r="E300" s="369" t="s">
        <v>92</v>
      </c>
      <c r="F300" s="370" t="s">
        <v>102</v>
      </c>
      <c r="G300" s="279" t="s">
        <v>110</v>
      </c>
      <c r="H300" s="279" t="s">
        <v>63</v>
      </c>
      <c r="I300" s="280" t="s">
        <v>64</v>
      </c>
      <c r="J300" s="281"/>
      <c r="K300" s="371">
        <f t="shared" ref="K300:L300" si="71">K301</f>
        <v>0</v>
      </c>
      <c r="L300" s="371">
        <f t="shared" si="71"/>
        <v>98</v>
      </c>
      <c r="M300" s="371">
        <f>M301</f>
        <v>98</v>
      </c>
    </row>
    <row r="301" spans="1:13" s="366" customFormat="1" ht="37.9" customHeight="1">
      <c r="A301" s="367"/>
      <c r="B301" s="332" t="s">
        <v>311</v>
      </c>
      <c r="C301" s="368" t="s">
        <v>588</v>
      </c>
      <c r="D301" s="369" t="s">
        <v>57</v>
      </c>
      <c r="E301" s="369" t="s">
        <v>92</v>
      </c>
      <c r="F301" s="370" t="s">
        <v>102</v>
      </c>
      <c r="G301" s="279" t="s">
        <v>110</v>
      </c>
      <c r="H301" s="279" t="s">
        <v>57</v>
      </c>
      <c r="I301" s="280" t="s">
        <v>64</v>
      </c>
      <c r="J301" s="281"/>
      <c r="K301" s="371">
        <f t="shared" ref="K301:M302" si="72">K302</f>
        <v>0</v>
      </c>
      <c r="L301" s="371">
        <f t="shared" si="72"/>
        <v>98</v>
      </c>
      <c r="M301" s="371">
        <f t="shared" si="72"/>
        <v>98</v>
      </c>
    </row>
    <row r="302" spans="1:13" s="366" customFormat="1" ht="57" customHeight="1">
      <c r="A302" s="367"/>
      <c r="B302" s="332" t="s">
        <v>106</v>
      </c>
      <c r="C302" s="368" t="s">
        <v>588</v>
      </c>
      <c r="D302" s="369" t="s">
        <v>57</v>
      </c>
      <c r="E302" s="369" t="s">
        <v>92</v>
      </c>
      <c r="F302" s="370" t="s">
        <v>102</v>
      </c>
      <c r="G302" s="279" t="s">
        <v>110</v>
      </c>
      <c r="H302" s="279" t="s">
        <v>57</v>
      </c>
      <c r="I302" s="280" t="s">
        <v>107</v>
      </c>
      <c r="J302" s="281"/>
      <c r="K302" s="371">
        <f t="shared" si="72"/>
        <v>0</v>
      </c>
      <c r="L302" s="371">
        <f t="shared" si="72"/>
        <v>98</v>
      </c>
      <c r="M302" s="371">
        <f t="shared" si="72"/>
        <v>98</v>
      </c>
    </row>
    <row r="303" spans="1:13" s="366" customFormat="1" ht="56.45" customHeight="1">
      <c r="A303" s="367"/>
      <c r="B303" s="332" t="s">
        <v>75</v>
      </c>
      <c r="C303" s="368" t="s">
        <v>588</v>
      </c>
      <c r="D303" s="369" t="s">
        <v>57</v>
      </c>
      <c r="E303" s="369" t="s">
        <v>92</v>
      </c>
      <c r="F303" s="370" t="s">
        <v>102</v>
      </c>
      <c r="G303" s="279" t="s">
        <v>110</v>
      </c>
      <c r="H303" s="279" t="s">
        <v>57</v>
      </c>
      <c r="I303" s="280" t="s">
        <v>107</v>
      </c>
      <c r="J303" s="281" t="s">
        <v>76</v>
      </c>
      <c r="K303" s="371">
        <v>0</v>
      </c>
      <c r="L303" s="371">
        <f>M303-K303</f>
        <v>98</v>
      </c>
      <c r="M303" s="371">
        <f>98</f>
        <v>98</v>
      </c>
    </row>
    <row r="304" spans="1:13" s="372" customFormat="1" ht="57" customHeight="1">
      <c r="A304" s="367"/>
      <c r="B304" s="332" t="s">
        <v>247</v>
      </c>
      <c r="C304" s="368" t="s">
        <v>588</v>
      </c>
      <c r="D304" s="369" t="s">
        <v>57</v>
      </c>
      <c r="E304" s="369" t="s">
        <v>92</v>
      </c>
      <c r="F304" s="308" t="s">
        <v>248</v>
      </c>
      <c r="G304" s="279" t="s">
        <v>62</v>
      </c>
      <c r="H304" s="279" t="s">
        <v>63</v>
      </c>
      <c r="I304" s="280" t="s">
        <v>64</v>
      </c>
      <c r="J304" s="281"/>
      <c r="K304" s="371">
        <f>K305+K313+K333</f>
        <v>39900.998</v>
      </c>
      <c r="L304" s="371">
        <f>L305+L313+L333</f>
        <v>2503.6259999999997</v>
      </c>
      <c r="M304" s="371">
        <f>M305+M313+M333</f>
        <v>42404.624000000003</v>
      </c>
    </row>
    <row r="305" spans="1:14" s="372" customFormat="1" ht="37.9" customHeight="1">
      <c r="A305" s="367"/>
      <c r="B305" s="332" t="s">
        <v>249</v>
      </c>
      <c r="C305" s="368" t="s">
        <v>588</v>
      </c>
      <c r="D305" s="369" t="s">
        <v>57</v>
      </c>
      <c r="E305" s="369" t="s">
        <v>92</v>
      </c>
      <c r="F305" s="373" t="s">
        <v>248</v>
      </c>
      <c r="G305" s="374" t="s">
        <v>65</v>
      </c>
      <c r="H305" s="374" t="s">
        <v>63</v>
      </c>
      <c r="I305" s="375" t="s">
        <v>64</v>
      </c>
      <c r="J305" s="281"/>
      <c r="K305" s="371">
        <f>K306+K309</f>
        <v>16656</v>
      </c>
      <c r="L305" s="371">
        <f>L306+L309</f>
        <v>133.79999999999927</v>
      </c>
      <c r="M305" s="371">
        <f>M306+M309</f>
        <v>16789.800000000003</v>
      </c>
    </row>
    <row r="306" spans="1:14" s="372" customFormat="1" ht="90.6" customHeight="1">
      <c r="A306" s="367"/>
      <c r="B306" s="332" t="s">
        <v>349</v>
      </c>
      <c r="C306" s="368" t="s">
        <v>588</v>
      </c>
      <c r="D306" s="369" t="s">
        <v>57</v>
      </c>
      <c r="E306" s="369" t="s">
        <v>92</v>
      </c>
      <c r="F306" s="278" t="s">
        <v>248</v>
      </c>
      <c r="G306" s="279" t="s">
        <v>65</v>
      </c>
      <c r="H306" s="279" t="s">
        <v>57</v>
      </c>
      <c r="I306" s="280" t="s">
        <v>64</v>
      </c>
      <c r="J306" s="281"/>
      <c r="K306" s="371">
        <f t="shared" ref="K306:M307" si="73">K307</f>
        <v>333.4</v>
      </c>
      <c r="L306" s="371">
        <f t="shared" si="73"/>
        <v>0</v>
      </c>
      <c r="M306" s="371">
        <f t="shared" si="73"/>
        <v>333.4</v>
      </c>
    </row>
    <row r="307" spans="1:14" s="372" customFormat="1" ht="56.25" customHeight="1">
      <c r="A307" s="367"/>
      <c r="B307" s="332" t="s">
        <v>250</v>
      </c>
      <c r="C307" s="368" t="s">
        <v>588</v>
      </c>
      <c r="D307" s="369" t="s">
        <v>57</v>
      </c>
      <c r="E307" s="369" t="s">
        <v>92</v>
      </c>
      <c r="F307" s="278" t="s">
        <v>248</v>
      </c>
      <c r="G307" s="279" t="s">
        <v>65</v>
      </c>
      <c r="H307" s="279" t="s">
        <v>57</v>
      </c>
      <c r="I307" s="280" t="s">
        <v>350</v>
      </c>
      <c r="J307" s="281"/>
      <c r="K307" s="371">
        <f t="shared" si="73"/>
        <v>333.4</v>
      </c>
      <c r="L307" s="371">
        <f t="shared" si="73"/>
        <v>0</v>
      </c>
      <c r="M307" s="371">
        <f t="shared" si="73"/>
        <v>333.4</v>
      </c>
    </row>
    <row r="308" spans="1:14" s="366" customFormat="1" ht="56.25" customHeight="1">
      <c r="A308" s="367"/>
      <c r="B308" s="327" t="s">
        <v>75</v>
      </c>
      <c r="C308" s="368" t="s">
        <v>588</v>
      </c>
      <c r="D308" s="369" t="s">
        <v>57</v>
      </c>
      <c r="E308" s="369" t="s">
        <v>92</v>
      </c>
      <c r="F308" s="278" t="s">
        <v>248</v>
      </c>
      <c r="G308" s="279" t="s">
        <v>65</v>
      </c>
      <c r="H308" s="279" t="s">
        <v>57</v>
      </c>
      <c r="I308" s="280" t="s">
        <v>350</v>
      </c>
      <c r="J308" s="281" t="s">
        <v>76</v>
      </c>
      <c r="K308" s="371">
        <f>333.4-110.4+110.4</f>
        <v>333.4</v>
      </c>
      <c r="L308" s="137">
        <f>M308-K308</f>
        <v>0</v>
      </c>
      <c r="M308" s="371">
        <f>333.4-110.4+110.4</f>
        <v>333.4</v>
      </c>
    </row>
    <row r="309" spans="1:14" s="366" customFormat="1" ht="37.5" customHeight="1">
      <c r="A309" s="367"/>
      <c r="B309" s="327" t="s">
        <v>403</v>
      </c>
      <c r="C309" s="368" t="s">
        <v>588</v>
      </c>
      <c r="D309" s="369" t="s">
        <v>57</v>
      </c>
      <c r="E309" s="369" t="s">
        <v>92</v>
      </c>
      <c r="F309" s="278" t="s">
        <v>248</v>
      </c>
      <c r="G309" s="279" t="s">
        <v>65</v>
      </c>
      <c r="H309" s="279" t="s">
        <v>59</v>
      </c>
      <c r="I309" s="280" t="s">
        <v>64</v>
      </c>
      <c r="J309" s="281"/>
      <c r="K309" s="371">
        <f>K310</f>
        <v>16322.6</v>
      </c>
      <c r="L309" s="371">
        <f>L310</f>
        <v>133.79999999999927</v>
      </c>
      <c r="M309" s="371">
        <f>M310</f>
        <v>16456.400000000001</v>
      </c>
    </row>
    <row r="310" spans="1:14" s="366" customFormat="1" ht="37.5" customHeight="1">
      <c r="A310" s="367"/>
      <c r="B310" s="327" t="s">
        <v>402</v>
      </c>
      <c r="C310" s="368" t="s">
        <v>588</v>
      </c>
      <c r="D310" s="369" t="s">
        <v>57</v>
      </c>
      <c r="E310" s="369" t="s">
        <v>92</v>
      </c>
      <c r="F310" s="278" t="s">
        <v>248</v>
      </c>
      <c r="G310" s="279" t="s">
        <v>65</v>
      </c>
      <c r="H310" s="279" t="s">
        <v>59</v>
      </c>
      <c r="I310" s="280" t="s">
        <v>401</v>
      </c>
      <c r="J310" s="281"/>
      <c r="K310" s="371">
        <f>SUM(K311:K312)</f>
        <v>16322.6</v>
      </c>
      <c r="L310" s="371">
        <f>SUM(L311:L312)</f>
        <v>133.79999999999927</v>
      </c>
      <c r="M310" s="371">
        <f>SUM(M311:M312)</f>
        <v>16456.400000000001</v>
      </c>
    </row>
    <row r="311" spans="1:14" s="366" customFormat="1" ht="56.25" customHeight="1">
      <c r="A311" s="367"/>
      <c r="B311" s="327" t="s">
        <v>75</v>
      </c>
      <c r="C311" s="368" t="s">
        <v>588</v>
      </c>
      <c r="D311" s="369" t="s">
        <v>57</v>
      </c>
      <c r="E311" s="369" t="s">
        <v>92</v>
      </c>
      <c r="F311" s="278" t="s">
        <v>248</v>
      </c>
      <c r="G311" s="279" t="s">
        <v>65</v>
      </c>
      <c r="H311" s="279" t="s">
        <v>59</v>
      </c>
      <c r="I311" s="280" t="s">
        <v>401</v>
      </c>
      <c r="J311" s="281" t="s">
        <v>76</v>
      </c>
      <c r="K311" s="371">
        <f>3368.3+47.4+60.4+2918+35+11.2+26.9+21.6+3117.7</f>
        <v>9606.5</v>
      </c>
      <c r="L311" s="137">
        <f>M311-K311</f>
        <v>133.79999999999927</v>
      </c>
      <c r="M311" s="371">
        <f>3368.3+47.4+60.4+2918+35+11.2+26.9+21.6+3117.7+63+70.8</f>
        <v>9740.2999999999993</v>
      </c>
    </row>
    <row r="312" spans="1:14" s="366" customFormat="1" ht="56.25" customHeight="1">
      <c r="A312" s="367"/>
      <c r="B312" s="135" t="s">
        <v>225</v>
      </c>
      <c r="C312" s="368" t="s">
        <v>588</v>
      </c>
      <c r="D312" s="369" t="s">
        <v>57</v>
      </c>
      <c r="E312" s="369" t="s">
        <v>92</v>
      </c>
      <c r="F312" s="278" t="s">
        <v>248</v>
      </c>
      <c r="G312" s="279" t="s">
        <v>65</v>
      </c>
      <c r="H312" s="279" t="s">
        <v>59</v>
      </c>
      <c r="I312" s="280" t="s">
        <v>401</v>
      </c>
      <c r="J312" s="281" t="s">
        <v>226</v>
      </c>
      <c r="K312" s="371">
        <f>3090+3626.1</f>
        <v>6716.1</v>
      </c>
      <c r="L312" s="137">
        <f>M312-K312</f>
        <v>0</v>
      </c>
      <c r="M312" s="371">
        <f>3090+3626.1</f>
        <v>6716.1</v>
      </c>
    </row>
    <row r="313" spans="1:14" s="366" customFormat="1" ht="37.5" customHeight="1">
      <c r="A313" s="367"/>
      <c r="B313" s="332" t="s">
        <v>251</v>
      </c>
      <c r="C313" s="368" t="s">
        <v>588</v>
      </c>
      <c r="D313" s="369" t="s">
        <v>57</v>
      </c>
      <c r="E313" s="369" t="s">
        <v>92</v>
      </c>
      <c r="F313" s="308" t="s">
        <v>248</v>
      </c>
      <c r="G313" s="279" t="s">
        <v>110</v>
      </c>
      <c r="H313" s="279" t="s">
        <v>63</v>
      </c>
      <c r="I313" s="280" t="s">
        <v>64</v>
      </c>
      <c r="J313" s="281"/>
      <c r="K313" s="371">
        <f>K314+K327+K330</f>
        <v>22655.597999999994</v>
      </c>
      <c r="L313" s="371">
        <f>L314+L327+L330</f>
        <v>-11.921999999999656</v>
      </c>
      <c r="M313" s="371">
        <f>M314+M327+M330</f>
        <v>22643.675999999999</v>
      </c>
    </row>
    <row r="314" spans="1:14" s="372" customFormat="1" ht="71.45" customHeight="1">
      <c r="A314" s="367"/>
      <c r="B314" s="332" t="s">
        <v>353</v>
      </c>
      <c r="C314" s="368" t="s">
        <v>588</v>
      </c>
      <c r="D314" s="369" t="s">
        <v>57</v>
      </c>
      <c r="E314" s="369" t="s">
        <v>92</v>
      </c>
      <c r="F314" s="308" t="s">
        <v>248</v>
      </c>
      <c r="G314" s="279" t="s">
        <v>110</v>
      </c>
      <c r="H314" s="279" t="s">
        <v>57</v>
      </c>
      <c r="I314" s="280" t="s">
        <v>64</v>
      </c>
      <c r="J314" s="281"/>
      <c r="K314" s="371">
        <f>K315+K319+K323+K325</f>
        <v>21818.799999999996</v>
      </c>
      <c r="L314" s="371">
        <f t="shared" ref="L314:M314" si="74">L315+L319+L323+L325</f>
        <v>-31.347999999999601</v>
      </c>
      <c r="M314" s="371">
        <f t="shared" si="74"/>
        <v>21787.452000000001</v>
      </c>
    </row>
    <row r="315" spans="1:14" s="366" customFormat="1" ht="37.5" customHeight="1">
      <c r="A315" s="367"/>
      <c r="B315" s="332" t="s">
        <v>67</v>
      </c>
      <c r="C315" s="368" t="s">
        <v>588</v>
      </c>
      <c r="D315" s="369" t="s">
        <v>57</v>
      </c>
      <c r="E315" s="369" t="s">
        <v>92</v>
      </c>
      <c r="F315" s="376" t="s">
        <v>248</v>
      </c>
      <c r="G315" s="374" t="s">
        <v>110</v>
      </c>
      <c r="H315" s="374" t="s">
        <v>57</v>
      </c>
      <c r="I315" s="375" t="s">
        <v>68</v>
      </c>
      <c r="J315" s="281"/>
      <c r="K315" s="371">
        <f>K316+K317+K318</f>
        <v>12882.399999999998</v>
      </c>
      <c r="L315" s="371">
        <f>L316+L317+L318</f>
        <v>6.6999999999999886</v>
      </c>
      <c r="M315" s="371">
        <f>M316+M317+M318</f>
        <v>12889.099999999999</v>
      </c>
    </row>
    <row r="316" spans="1:14" s="372" customFormat="1" ht="103.9" customHeight="1">
      <c r="A316" s="367"/>
      <c r="B316" s="332" t="s">
        <v>69</v>
      </c>
      <c r="C316" s="368" t="s">
        <v>588</v>
      </c>
      <c r="D316" s="369" t="s">
        <v>57</v>
      </c>
      <c r="E316" s="369" t="s">
        <v>92</v>
      </c>
      <c r="F316" s="308" t="s">
        <v>248</v>
      </c>
      <c r="G316" s="279" t="s">
        <v>110</v>
      </c>
      <c r="H316" s="279" t="s">
        <v>57</v>
      </c>
      <c r="I316" s="280" t="s">
        <v>68</v>
      </c>
      <c r="J316" s="281" t="s">
        <v>70</v>
      </c>
      <c r="K316" s="371">
        <v>12567.3</v>
      </c>
      <c r="L316" s="137">
        <f>M316-K316</f>
        <v>0</v>
      </c>
      <c r="M316" s="371">
        <v>12567.3</v>
      </c>
    </row>
    <row r="317" spans="1:14" s="372" customFormat="1" ht="56.25" customHeight="1">
      <c r="A317" s="367"/>
      <c r="B317" s="327" t="s">
        <v>75</v>
      </c>
      <c r="C317" s="368" t="s">
        <v>588</v>
      </c>
      <c r="D317" s="369" t="s">
        <v>57</v>
      </c>
      <c r="E317" s="369" t="s">
        <v>92</v>
      </c>
      <c r="F317" s="308" t="s">
        <v>248</v>
      </c>
      <c r="G317" s="279" t="s">
        <v>110</v>
      </c>
      <c r="H317" s="279" t="s">
        <v>57</v>
      </c>
      <c r="I317" s="280" t="s">
        <v>68</v>
      </c>
      <c r="J317" s="281" t="s">
        <v>76</v>
      </c>
      <c r="K317" s="371">
        <v>313.8</v>
      </c>
      <c r="L317" s="137">
        <f>M317-K317</f>
        <v>6.6999999999999886</v>
      </c>
      <c r="M317" s="371">
        <f>313.8+6.7</f>
        <v>320.5</v>
      </c>
      <c r="N317" s="414"/>
    </row>
    <row r="318" spans="1:14" s="372" customFormat="1" ht="18.75" customHeight="1">
      <c r="A318" s="367"/>
      <c r="B318" s="332" t="s">
        <v>77</v>
      </c>
      <c r="C318" s="368" t="s">
        <v>588</v>
      </c>
      <c r="D318" s="369" t="s">
        <v>57</v>
      </c>
      <c r="E318" s="369" t="s">
        <v>92</v>
      </c>
      <c r="F318" s="308" t="s">
        <v>248</v>
      </c>
      <c r="G318" s="279" t="s">
        <v>110</v>
      </c>
      <c r="H318" s="279" t="s">
        <v>57</v>
      </c>
      <c r="I318" s="280" t="s">
        <v>68</v>
      </c>
      <c r="J318" s="281" t="s">
        <v>78</v>
      </c>
      <c r="K318" s="371">
        <v>1.3</v>
      </c>
      <c r="L318" s="137">
        <f>M318-K318</f>
        <v>0</v>
      </c>
      <c r="M318" s="371">
        <v>1.3</v>
      </c>
    </row>
    <row r="319" spans="1:14" s="372" customFormat="1" ht="36" customHeight="1">
      <c r="A319" s="367"/>
      <c r="B319" s="138" t="s">
        <v>795</v>
      </c>
      <c r="C319" s="368" t="s">
        <v>588</v>
      </c>
      <c r="D319" s="369" t="s">
        <v>57</v>
      </c>
      <c r="E319" s="369" t="s">
        <v>92</v>
      </c>
      <c r="F319" s="308" t="s">
        <v>248</v>
      </c>
      <c r="G319" s="279" t="s">
        <v>110</v>
      </c>
      <c r="H319" s="279" t="s">
        <v>57</v>
      </c>
      <c r="I319" s="280" t="s">
        <v>112</v>
      </c>
      <c r="J319" s="281"/>
      <c r="K319" s="371">
        <f>K320+K321+K322</f>
        <v>8901.9</v>
      </c>
      <c r="L319" s="371">
        <f>L320+L321+L322</f>
        <v>-160.24799999999959</v>
      </c>
      <c r="M319" s="371">
        <f>M320+M321+M322</f>
        <v>8741.652</v>
      </c>
      <c r="N319" s="414"/>
    </row>
    <row r="320" spans="1:14" s="372" customFormat="1" ht="112.5" customHeight="1">
      <c r="A320" s="367"/>
      <c r="B320" s="332" t="s">
        <v>69</v>
      </c>
      <c r="C320" s="368" t="s">
        <v>588</v>
      </c>
      <c r="D320" s="369" t="s">
        <v>57</v>
      </c>
      <c r="E320" s="369" t="s">
        <v>92</v>
      </c>
      <c r="F320" s="308" t="s">
        <v>248</v>
      </c>
      <c r="G320" s="279" t="s">
        <v>110</v>
      </c>
      <c r="H320" s="279" t="s">
        <v>57</v>
      </c>
      <c r="I320" s="280" t="s">
        <v>112</v>
      </c>
      <c r="J320" s="281" t="s">
        <v>70</v>
      </c>
      <c r="K320" s="371">
        <f>5359.6+1455</f>
        <v>6814.6</v>
      </c>
      <c r="L320" s="137">
        <f>M320-K320</f>
        <v>-1.7479999999995925</v>
      </c>
      <c r="M320" s="371">
        <f>5359.6+1455-1.748</f>
        <v>6812.8520000000008</v>
      </c>
      <c r="N320" s="414"/>
    </row>
    <row r="321" spans="1:14" s="372" customFormat="1" ht="56.25" customHeight="1">
      <c r="A321" s="367"/>
      <c r="B321" s="327" t="s">
        <v>75</v>
      </c>
      <c r="C321" s="368" t="s">
        <v>588</v>
      </c>
      <c r="D321" s="369" t="s">
        <v>57</v>
      </c>
      <c r="E321" s="369" t="s">
        <v>92</v>
      </c>
      <c r="F321" s="376" t="s">
        <v>248</v>
      </c>
      <c r="G321" s="374" t="s">
        <v>110</v>
      </c>
      <c r="H321" s="374" t="s">
        <v>57</v>
      </c>
      <c r="I321" s="375" t="s">
        <v>112</v>
      </c>
      <c r="J321" s="281" t="s">
        <v>76</v>
      </c>
      <c r="K321" s="371">
        <f>344.2+1718.5</f>
        <v>2062.6999999999998</v>
      </c>
      <c r="L321" s="137">
        <f t="shared" ref="L321:L322" si="75">M321-K321</f>
        <v>-158.5</v>
      </c>
      <c r="M321" s="371">
        <f>344.2+1718.5-158.5</f>
        <v>1904.1999999999998</v>
      </c>
    </row>
    <row r="322" spans="1:14" s="372" customFormat="1" ht="18.75" customHeight="1">
      <c r="A322" s="367"/>
      <c r="B322" s="332" t="s">
        <v>77</v>
      </c>
      <c r="C322" s="368" t="s">
        <v>588</v>
      </c>
      <c r="D322" s="369" t="s">
        <v>57</v>
      </c>
      <c r="E322" s="369" t="s">
        <v>92</v>
      </c>
      <c r="F322" s="308" t="s">
        <v>248</v>
      </c>
      <c r="G322" s="279" t="s">
        <v>110</v>
      </c>
      <c r="H322" s="279" t="s">
        <v>57</v>
      </c>
      <c r="I322" s="280" t="s">
        <v>112</v>
      </c>
      <c r="J322" s="281" t="s">
        <v>78</v>
      </c>
      <c r="K322" s="371">
        <v>24.6</v>
      </c>
      <c r="L322" s="137">
        <f t="shared" si="75"/>
        <v>0</v>
      </c>
      <c r="M322" s="371">
        <v>24.6</v>
      </c>
      <c r="N322" s="414"/>
    </row>
    <row r="323" spans="1:14" s="372" customFormat="1" ht="56.25" customHeight="1">
      <c r="A323" s="367"/>
      <c r="B323" s="327" t="s">
        <v>431</v>
      </c>
      <c r="C323" s="368" t="s">
        <v>588</v>
      </c>
      <c r="D323" s="369" t="s">
        <v>57</v>
      </c>
      <c r="E323" s="369" t="s">
        <v>92</v>
      </c>
      <c r="F323" s="308" t="s">
        <v>248</v>
      </c>
      <c r="G323" s="279" t="s">
        <v>110</v>
      </c>
      <c r="H323" s="279" t="s">
        <v>57</v>
      </c>
      <c r="I323" s="280" t="s">
        <v>430</v>
      </c>
      <c r="J323" s="281"/>
      <c r="K323" s="371">
        <f>K324</f>
        <v>34.5</v>
      </c>
      <c r="L323" s="371">
        <f>L324</f>
        <v>34.5</v>
      </c>
      <c r="M323" s="371">
        <f>M324</f>
        <v>69</v>
      </c>
      <c r="N323" s="414"/>
    </row>
    <row r="324" spans="1:14" s="372" customFormat="1" ht="56.25" customHeight="1">
      <c r="A324" s="367"/>
      <c r="B324" s="327" t="s">
        <v>75</v>
      </c>
      <c r="C324" s="368" t="s">
        <v>588</v>
      </c>
      <c r="D324" s="369" t="s">
        <v>57</v>
      </c>
      <c r="E324" s="369" t="s">
        <v>92</v>
      </c>
      <c r="F324" s="308" t="s">
        <v>248</v>
      </c>
      <c r="G324" s="279" t="s">
        <v>110</v>
      </c>
      <c r="H324" s="279" t="s">
        <v>57</v>
      </c>
      <c r="I324" s="794" t="s">
        <v>430</v>
      </c>
      <c r="J324" s="281" t="s">
        <v>76</v>
      </c>
      <c r="K324" s="371">
        <v>34.5</v>
      </c>
      <c r="L324" s="137">
        <f>M324-K324</f>
        <v>34.5</v>
      </c>
      <c r="M324" s="371">
        <f>34.5+34.5</f>
        <v>69</v>
      </c>
      <c r="N324" s="414"/>
    </row>
    <row r="325" spans="1:14" s="372" customFormat="1" ht="58.15" customHeight="1">
      <c r="A325" s="789"/>
      <c r="B325" s="790" t="s">
        <v>478</v>
      </c>
      <c r="C325" s="431" t="s">
        <v>588</v>
      </c>
      <c r="D325" s="797" t="s">
        <v>57</v>
      </c>
      <c r="E325" s="797" t="s">
        <v>92</v>
      </c>
      <c r="F325" s="308" t="s">
        <v>248</v>
      </c>
      <c r="G325" s="279" t="s">
        <v>110</v>
      </c>
      <c r="H325" s="279" t="s">
        <v>57</v>
      </c>
      <c r="I325" s="798" t="s">
        <v>477</v>
      </c>
      <c r="J325" s="791"/>
      <c r="K325" s="792">
        <f>K326</f>
        <v>0</v>
      </c>
      <c r="L325" s="137">
        <f>L326</f>
        <v>87.7</v>
      </c>
      <c r="M325" s="793">
        <f>M326</f>
        <v>87.7</v>
      </c>
      <c r="N325" s="414"/>
    </row>
    <row r="326" spans="1:14" s="372" customFormat="1" ht="56.25" customHeight="1">
      <c r="A326" s="789"/>
      <c r="B326" s="790" t="s">
        <v>75</v>
      </c>
      <c r="C326" s="795" t="s">
        <v>588</v>
      </c>
      <c r="D326" s="796" t="s">
        <v>57</v>
      </c>
      <c r="E326" s="796" t="s">
        <v>92</v>
      </c>
      <c r="F326" s="308" t="s">
        <v>248</v>
      </c>
      <c r="G326" s="279" t="s">
        <v>110</v>
      </c>
      <c r="H326" s="279" t="s">
        <v>57</v>
      </c>
      <c r="I326" s="415" t="s">
        <v>477</v>
      </c>
      <c r="J326" s="791" t="s">
        <v>76</v>
      </c>
      <c r="K326" s="792">
        <v>0</v>
      </c>
      <c r="L326" s="137">
        <f>M326-K326</f>
        <v>87.7</v>
      </c>
      <c r="M326" s="793">
        <f>87.7</f>
        <v>87.7</v>
      </c>
      <c r="N326" s="414"/>
    </row>
    <row r="327" spans="1:14" s="422" customFormat="1" ht="37.5" customHeight="1">
      <c r="A327" s="416"/>
      <c r="B327" s="417" t="s">
        <v>428</v>
      </c>
      <c r="C327" s="418" t="s">
        <v>588</v>
      </c>
      <c r="D327" s="419" t="s">
        <v>57</v>
      </c>
      <c r="E327" s="419" t="s">
        <v>92</v>
      </c>
      <c r="F327" s="308" t="s">
        <v>248</v>
      </c>
      <c r="G327" s="309" t="s">
        <v>110</v>
      </c>
      <c r="H327" s="309" t="s">
        <v>59</v>
      </c>
      <c r="I327" s="310" t="s">
        <v>64</v>
      </c>
      <c r="J327" s="311"/>
      <c r="K327" s="420">
        <f t="shared" ref="K327:M328" si="76">K328</f>
        <v>758.8</v>
      </c>
      <c r="L327" s="420">
        <f t="shared" si="76"/>
        <v>14.799999999999955</v>
      </c>
      <c r="M327" s="420">
        <f t="shared" si="76"/>
        <v>773.59999999999991</v>
      </c>
      <c r="N327" s="421"/>
    </row>
    <row r="328" spans="1:14" s="422" customFormat="1" ht="60.75" customHeight="1">
      <c r="A328" s="423"/>
      <c r="B328" s="424" t="s">
        <v>429</v>
      </c>
      <c r="C328" s="368" t="s">
        <v>588</v>
      </c>
      <c r="D328" s="369" t="s">
        <v>57</v>
      </c>
      <c r="E328" s="369" t="s">
        <v>92</v>
      </c>
      <c r="F328" s="378" t="s">
        <v>248</v>
      </c>
      <c r="G328" s="309" t="s">
        <v>110</v>
      </c>
      <c r="H328" s="309" t="s">
        <v>59</v>
      </c>
      <c r="I328" s="310" t="s">
        <v>126</v>
      </c>
      <c r="J328" s="313"/>
      <c r="K328" s="425">
        <f t="shared" si="76"/>
        <v>758.8</v>
      </c>
      <c r="L328" s="425">
        <f t="shared" si="76"/>
        <v>14.799999999999955</v>
      </c>
      <c r="M328" s="425">
        <f t="shared" si="76"/>
        <v>773.59999999999991</v>
      </c>
      <c r="N328" s="421"/>
    </row>
    <row r="329" spans="1:14" s="422" customFormat="1" ht="56.25" customHeight="1">
      <c r="A329" s="423"/>
      <c r="B329" s="426" t="s">
        <v>75</v>
      </c>
      <c r="C329" s="368" t="s">
        <v>588</v>
      </c>
      <c r="D329" s="369" t="s">
        <v>57</v>
      </c>
      <c r="E329" s="369" t="s">
        <v>92</v>
      </c>
      <c r="F329" s="378" t="s">
        <v>248</v>
      </c>
      <c r="G329" s="317" t="s">
        <v>110</v>
      </c>
      <c r="H329" s="317" t="s">
        <v>59</v>
      </c>
      <c r="I329" s="427" t="s">
        <v>126</v>
      </c>
      <c r="J329" s="428" t="s">
        <v>76</v>
      </c>
      <c r="K329" s="668">
        <v>758.8</v>
      </c>
      <c r="L329" s="137">
        <f>M329-K329</f>
        <v>14.799999999999955</v>
      </c>
      <c r="M329" s="668">
        <f>758.8+14.8</f>
        <v>773.59999999999991</v>
      </c>
      <c r="N329" s="421"/>
    </row>
    <row r="330" spans="1:14" s="422" customFormat="1" ht="37.5" customHeight="1">
      <c r="A330" s="423"/>
      <c r="B330" s="429" t="s">
        <v>464</v>
      </c>
      <c r="C330" s="368" t="s">
        <v>588</v>
      </c>
      <c r="D330" s="369" t="s">
        <v>57</v>
      </c>
      <c r="E330" s="369" t="s">
        <v>92</v>
      </c>
      <c r="F330" s="378" t="s">
        <v>248</v>
      </c>
      <c r="G330" s="309" t="s">
        <v>110</v>
      </c>
      <c r="H330" s="309" t="s">
        <v>84</v>
      </c>
      <c r="I330" s="310" t="s">
        <v>64</v>
      </c>
      <c r="J330" s="313"/>
      <c r="K330" s="425">
        <f t="shared" ref="K330:M330" si="77">K331</f>
        <v>77.99799999999999</v>
      </c>
      <c r="L330" s="425">
        <f t="shared" si="77"/>
        <v>4.6259999999999906</v>
      </c>
      <c r="M330" s="425">
        <f t="shared" si="77"/>
        <v>82.623999999999981</v>
      </c>
      <c r="N330" s="421"/>
    </row>
    <row r="331" spans="1:14" s="422" customFormat="1" ht="37.5" customHeight="1">
      <c r="A331" s="423"/>
      <c r="B331" s="429" t="s">
        <v>402</v>
      </c>
      <c r="C331" s="368" t="s">
        <v>588</v>
      </c>
      <c r="D331" s="369" t="s">
        <v>57</v>
      </c>
      <c r="E331" s="369" t="s">
        <v>92</v>
      </c>
      <c r="F331" s="316" t="s">
        <v>248</v>
      </c>
      <c r="G331" s="317" t="s">
        <v>110</v>
      </c>
      <c r="H331" s="317" t="s">
        <v>84</v>
      </c>
      <c r="I331" s="427" t="s">
        <v>401</v>
      </c>
      <c r="J331" s="313"/>
      <c r="K331" s="425">
        <f>K332</f>
        <v>77.99799999999999</v>
      </c>
      <c r="L331" s="425">
        <f>L332</f>
        <v>4.6259999999999906</v>
      </c>
      <c r="M331" s="425">
        <f>M332</f>
        <v>82.623999999999981</v>
      </c>
      <c r="N331" s="421"/>
    </row>
    <row r="332" spans="1:14" s="422" customFormat="1" ht="18.75" customHeight="1">
      <c r="A332" s="430"/>
      <c r="B332" s="332" t="s">
        <v>77</v>
      </c>
      <c r="C332" s="431" t="s">
        <v>588</v>
      </c>
      <c r="D332" s="369" t="s">
        <v>57</v>
      </c>
      <c r="E332" s="369" t="s">
        <v>92</v>
      </c>
      <c r="F332" s="308" t="s">
        <v>248</v>
      </c>
      <c r="G332" s="309" t="s">
        <v>110</v>
      </c>
      <c r="H332" s="309" t="s">
        <v>84</v>
      </c>
      <c r="I332" s="310" t="s">
        <v>401</v>
      </c>
      <c r="J332" s="313" t="s">
        <v>78</v>
      </c>
      <c r="K332" s="668">
        <f>20.5+50+2+0.6+4.898</f>
        <v>77.99799999999999</v>
      </c>
      <c r="L332" s="137">
        <f>M332-K332</f>
        <v>4.6259999999999906</v>
      </c>
      <c r="M332" s="668">
        <f>20.5+50+2+0.6+4.898+4.627-0.001</f>
        <v>82.623999999999981</v>
      </c>
      <c r="N332" s="421">
        <v>-1E-3</v>
      </c>
    </row>
    <row r="333" spans="1:14" s="422" customFormat="1" ht="37.5" customHeight="1">
      <c r="A333" s="430"/>
      <c r="B333" s="377" t="s">
        <v>404</v>
      </c>
      <c r="C333" s="431" t="s">
        <v>588</v>
      </c>
      <c r="D333" s="369" t="s">
        <v>57</v>
      </c>
      <c r="E333" s="369" t="s">
        <v>92</v>
      </c>
      <c r="F333" s="308" t="s">
        <v>248</v>
      </c>
      <c r="G333" s="309" t="s">
        <v>50</v>
      </c>
      <c r="H333" s="309" t="s">
        <v>63</v>
      </c>
      <c r="I333" s="310" t="s">
        <v>64</v>
      </c>
      <c r="J333" s="313"/>
      <c r="K333" s="692">
        <f t="shared" ref="K333:M334" si="78">K334</f>
        <v>589.4</v>
      </c>
      <c r="L333" s="137">
        <f t="shared" si="78"/>
        <v>2381.748</v>
      </c>
      <c r="M333" s="692">
        <f t="shared" si="78"/>
        <v>2971.1480000000001</v>
      </c>
      <c r="N333" s="421"/>
    </row>
    <row r="334" spans="1:14" s="422" customFormat="1" ht="37.5" customHeight="1">
      <c r="A334" s="430"/>
      <c r="B334" s="377" t="s">
        <v>464</v>
      </c>
      <c r="C334" s="431" t="s">
        <v>588</v>
      </c>
      <c r="D334" s="369" t="s">
        <v>57</v>
      </c>
      <c r="E334" s="369" t="s">
        <v>92</v>
      </c>
      <c r="F334" s="308" t="s">
        <v>248</v>
      </c>
      <c r="G334" s="309" t="s">
        <v>50</v>
      </c>
      <c r="H334" s="309" t="s">
        <v>248</v>
      </c>
      <c r="I334" s="310" t="s">
        <v>64</v>
      </c>
      <c r="J334" s="313"/>
      <c r="K334" s="137">
        <f t="shared" si="78"/>
        <v>589.4</v>
      </c>
      <c r="L334" s="137">
        <f t="shared" si="78"/>
        <v>2381.748</v>
      </c>
      <c r="M334" s="137">
        <f t="shared" si="78"/>
        <v>2971.1480000000001</v>
      </c>
      <c r="N334" s="421"/>
    </row>
    <row r="335" spans="1:14" s="422" customFormat="1" ht="37.5" customHeight="1">
      <c r="A335" s="430"/>
      <c r="B335" s="429" t="s">
        <v>402</v>
      </c>
      <c r="C335" s="431" t="s">
        <v>588</v>
      </c>
      <c r="D335" s="369" t="s">
        <v>57</v>
      </c>
      <c r="E335" s="369" t="s">
        <v>92</v>
      </c>
      <c r="F335" s="308" t="s">
        <v>248</v>
      </c>
      <c r="G335" s="309" t="s">
        <v>50</v>
      </c>
      <c r="H335" s="309" t="s">
        <v>248</v>
      </c>
      <c r="I335" s="310" t="s">
        <v>401</v>
      </c>
      <c r="J335" s="313"/>
      <c r="K335" s="137">
        <f>K336+K338+K337</f>
        <v>589.4</v>
      </c>
      <c r="L335" s="137">
        <f t="shared" ref="L335:M335" si="79">L336+L338+L337</f>
        <v>2381.748</v>
      </c>
      <c r="M335" s="137">
        <f t="shared" si="79"/>
        <v>2971.1480000000001</v>
      </c>
      <c r="N335" s="421"/>
    </row>
    <row r="336" spans="1:14" s="422" customFormat="1" ht="56.25" customHeight="1">
      <c r="A336" s="430"/>
      <c r="B336" s="327" t="s">
        <v>75</v>
      </c>
      <c r="C336" s="431" t="s">
        <v>588</v>
      </c>
      <c r="D336" s="369" t="s">
        <v>57</v>
      </c>
      <c r="E336" s="369" t="s">
        <v>92</v>
      </c>
      <c r="F336" s="308" t="s">
        <v>248</v>
      </c>
      <c r="G336" s="309" t="s">
        <v>50</v>
      </c>
      <c r="H336" s="309" t="s">
        <v>248</v>
      </c>
      <c r="I336" s="310" t="s">
        <v>401</v>
      </c>
      <c r="J336" s="313" t="s">
        <v>76</v>
      </c>
      <c r="K336" s="759">
        <f>525+56.4</f>
        <v>581.4</v>
      </c>
      <c r="L336" s="137">
        <f>M336-K336</f>
        <v>0</v>
      </c>
      <c r="M336" s="759">
        <f>525+56.4</f>
        <v>581.4</v>
      </c>
      <c r="N336" s="421"/>
    </row>
    <row r="337" spans="1:14" s="422" customFormat="1" ht="51" customHeight="1">
      <c r="A337" s="430"/>
      <c r="B337" s="327" t="s">
        <v>225</v>
      </c>
      <c r="C337" s="431" t="s">
        <v>588</v>
      </c>
      <c r="D337" s="369" t="s">
        <v>57</v>
      </c>
      <c r="E337" s="369" t="s">
        <v>92</v>
      </c>
      <c r="F337" s="378" t="s">
        <v>248</v>
      </c>
      <c r="G337" s="309" t="s">
        <v>50</v>
      </c>
      <c r="H337" s="309" t="s">
        <v>248</v>
      </c>
      <c r="I337" s="310" t="s">
        <v>401</v>
      </c>
      <c r="J337" s="313" t="s">
        <v>226</v>
      </c>
      <c r="K337" s="759">
        <v>0</v>
      </c>
      <c r="L337" s="137">
        <f>M337-K337</f>
        <v>2380</v>
      </c>
      <c r="M337" s="759">
        <f>2380</f>
        <v>2380</v>
      </c>
      <c r="N337" s="421"/>
    </row>
    <row r="338" spans="1:14" s="422" customFormat="1" ht="18.75">
      <c r="A338" s="430"/>
      <c r="B338" s="332" t="s">
        <v>77</v>
      </c>
      <c r="C338" s="431" t="s">
        <v>588</v>
      </c>
      <c r="D338" s="369" t="s">
        <v>57</v>
      </c>
      <c r="E338" s="369" t="s">
        <v>92</v>
      </c>
      <c r="F338" s="378" t="s">
        <v>248</v>
      </c>
      <c r="G338" s="309" t="s">
        <v>50</v>
      </c>
      <c r="H338" s="309" t="s">
        <v>248</v>
      </c>
      <c r="I338" s="310" t="s">
        <v>401</v>
      </c>
      <c r="J338" s="313" t="s">
        <v>78</v>
      </c>
      <c r="K338" s="759">
        <v>8</v>
      </c>
      <c r="L338" s="137">
        <f>M338-K338</f>
        <v>1.7479999999999993</v>
      </c>
      <c r="M338" s="759">
        <f>8+1.748</f>
        <v>9.7479999999999993</v>
      </c>
      <c r="N338" s="421"/>
    </row>
    <row r="339" spans="1:14" s="372" customFormat="1" ht="61.5" customHeight="1">
      <c r="A339" s="367"/>
      <c r="B339" s="377" t="s">
        <v>60</v>
      </c>
      <c r="C339" s="368" t="s">
        <v>588</v>
      </c>
      <c r="D339" s="369" t="s">
        <v>57</v>
      </c>
      <c r="E339" s="369" t="s">
        <v>92</v>
      </c>
      <c r="F339" s="378" t="s">
        <v>61</v>
      </c>
      <c r="G339" s="279" t="s">
        <v>62</v>
      </c>
      <c r="H339" s="279" t="s">
        <v>63</v>
      </c>
      <c r="I339" s="280" t="s">
        <v>64</v>
      </c>
      <c r="J339" s="281"/>
      <c r="K339" s="371">
        <f t="shared" ref="K339:M341" si="80">K340</f>
        <v>5076.9000000000005</v>
      </c>
      <c r="L339" s="687">
        <f t="shared" si="80"/>
        <v>0</v>
      </c>
      <c r="M339" s="371">
        <f t="shared" si="80"/>
        <v>5076.9000000000005</v>
      </c>
      <c r="N339" s="414"/>
    </row>
    <row r="340" spans="1:14" s="372" customFormat="1" ht="37.5" customHeight="1">
      <c r="A340" s="367"/>
      <c r="B340" s="327" t="s">
        <v>404</v>
      </c>
      <c r="C340" s="368" t="s">
        <v>588</v>
      </c>
      <c r="D340" s="369" t="s">
        <v>57</v>
      </c>
      <c r="E340" s="369" t="s">
        <v>92</v>
      </c>
      <c r="F340" s="308" t="s">
        <v>61</v>
      </c>
      <c r="G340" s="279" t="s">
        <v>65</v>
      </c>
      <c r="H340" s="279" t="s">
        <v>63</v>
      </c>
      <c r="I340" s="280" t="s">
        <v>64</v>
      </c>
      <c r="J340" s="281"/>
      <c r="K340" s="371">
        <f t="shared" si="80"/>
        <v>5076.9000000000005</v>
      </c>
      <c r="L340" s="371">
        <f t="shared" si="80"/>
        <v>0</v>
      </c>
      <c r="M340" s="371">
        <f t="shared" si="80"/>
        <v>5076.9000000000005</v>
      </c>
      <c r="N340" s="414"/>
    </row>
    <row r="341" spans="1:14" s="372" customFormat="1" ht="75" customHeight="1">
      <c r="A341" s="367"/>
      <c r="B341" s="332" t="s">
        <v>351</v>
      </c>
      <c r="C341" s="368" t="s">
        <v>588</v>
      </c>
      <c r="D341" s="369" t="s">
        <v>57</v>
      </c>
      <c r="E341" s="369" t="s">
        <v>92</v>
      </c>
      <c r="F341" s="308" t="s">
        <v>61</v>
      </c>
      <c r="G341" s="279" t="s">
        <v>65</v>
      </c>
      <c r="H341" s="279" t="s">
        <v>102</v>
      </c>
      <c r="I341" s="280" t="s">
        <v>64</v>
      </c>
      <c r="J341" s="281"/>
      <c r="K341" s="371">
        <f t="shared" si="80"/>
        <v>5076.9000000000005</v>
      </c>
      <c r="L341" s="371">
        <f t="shared" si="80"/>
        <v>0</v>
      </c>
      <c r="M341" s="371">
        <f t="shared" si="80"/>
        <v>5076.9000000000005</v>
      </c>
      <c r="N341" s="414"/>
    </row>
    <row r="342" spans="1:14" s="372" customFormat="1" ht="37.5" customHeight="1">
      <c r="A342" s="367"/>
      <c r="B342" s="138" t="s">
        <v>795</v>
      </c>
      <c r="C342" s="368" t="s">
        <v>588</v>
      </c>
      <c r="D342" s="369" t="s">
        <v>57</v>
      </c>
      <c r="E342" s="369" t="s">
        <v>92</v>
      </c>
      <c r="F342" s="308" t="s">
        <v>61</v>
      </c>
      <c r="G342" s="279" t="s">
        <v>65</v>
      </c>
      <c r="H342" s="279" t="s">
        <v>102</v>
      </c>
      <c r="I342" s="280" t="s">
        <v>112</v>
      </c>
      <c r="J342" s="281"/>
      <c r="K342" s="492">
        <f>K343+K344+K345</f>
        <v>5076.9000000000005</v>
      </c>
      <c r="L342" s="371">
        <f>L343+L344+L345</f>
        <v>0</v>
      </c>
      <c r="M342" s="492">
        <f>M343+M344+M345</f>
        <v>5076.9000000000005</v>
      </c>
      <c r="N342" s="414"/>
    </row>
    <row r="343" spans="1:14" s="372" customFormat="1" ht="112.5" customHeight="1">
      <c r="A343" s="367"/>
      <c r="B343" s="332" t="s">
        <v>69</v>
      </c>
      <c r="C343" s="368" t="s">
        <v>588</v>
      </c>
      <c r="D343" s="369" t="s">
        <v>57</v>
      </c>
      <c r="E343" s="369" t="s">
        <v>92</v>
      </c>
      <c r="F343" s="308" t="s">
        <v>61</v>
      </c>
      <c r="G343" s="279" t="s">
        <v>65</v>
      </c>
      <c r="H343" s="279" t="s">
        <v>102</v>
      </c>
      <c r="I343" s="280" t="s">
        <v>112</v>
      </c>
      <c r="J343" s="281" t="s">
        <v>70</v>
      </c>
      <c r="K343" s="669">
        <v>4593.1000000000004</v>
      </c>
      <c r="L343" s="710">
        <f t="shared" ref="L343:L345" si="81">M343-K343</f>
        <v>0</v>
      </c>
      <c r="M343" s="669">
        <v>4593.1000000000004</v>
      </c>
      <c r="N343" s="414"/>
    </row>
    <row r="344" spans="1:14" s="372" customFormat="1" ht="56.25" customHeight="1">
      <c r="A344" s="367"/>
      <c r="B344" s="327" t="s">
        <v>75</v>
      </c>
      <c r="C344" s="368" t="s">
        <v>588</v>
      </c>
      <c r="D344" s="369" t="s">
        <v>57</v>
      </c>
      <c r="E344" s="369" t="s">
        <v>92</v>
      </c>
      <c r="F344" s="308" t="s">
        <v>61</v>
      </c>
      <c r="G344" s="279" t="s">
        <v>65</v>
      </c>
      <c r="H344" s="279" t="s">
        <v>102</v>
      </c>
      <c r="I344" s="280" t="s">
        <v>112</v>
      </c>
      <c r="J344" s="281" t="s">
        <v>76</v>
      </c>
      <c r="K344" s="669">
        <v>483.7</v>
      </c>
      <c r="L344" s="710">
        <f t="shared" si="81"/>
        <v>0</v>
      </c>
      <c r="M344" s="669">
        <v>483.7</v>
      </c>
      <c r="N344" s="414"/>
    </row>
    <row r="345" spans="1:14" s="372" customFormat="1" ht="18.75" customHeight="1">
      <c r="A345" s="367"/>
      <c r="B345" s="332" t="s">
        <v>77</v>
      </c>
      <c r="C345" s="368" t="s">
        <v>588</v>
      </c>
      <c r="D345" s="369" t="s">
        <v>57</v>
      </c>
      <c r="E345" s="369" t="s">
        <v>92</v>
      </c>
      <c r="F345" s="308" t="s">
        <v>61</v>
      </c>
      <c r="G345" s="279" t="s">
        <v>65</v>
      </c>
      <c r="H345" s="279" t="s">
        <v>102</v>
      </c>
      <c r="I345" s="280" t="s">
        <v>112</v>
      </c>
      <c r="J345" s="281" t="s">
        <v>78</v>
      </c>
      <c r="K345" s="669">
        <v>0.1</v>
      </c>
      <c r="L345" s="710">
        <f t="shared" si="81"/>
        <v>0</v>
      </c>
      <c r="M345" s="669">
        <v>0.1</v>
      </c>
      <c r="N345" s="414"/>
    </row>
    <row r="346" spans="1:14" s="372" customFormat="1" ht="112.5" customHeight="1">
      <c r="A346" s="367"/>
      <c r="B346" s="332" t="s">
        <v>923</v>
      </c>
      <c r="C346" s="368" t="s">
        <v>588</v>
      </c>
      <c r="D346" s="369" t="s">
        <v>57</v>
      </c>
      <c r="E346" s="369" t="s">
        <v>92</v>
      </c>
      <c r="F346" s="308" t="s">
        <v>919</v>
      </c>
      <c r="G346" s="279" t="s">
        <v>62</v>
      </c>
      <c r="H346" s="279" t="s">
        <v>63</v>
      </c>
      <c r="I346" s="280" t="s">
        <v>64</v>
      </c>
      <c r="J346" s="281"/>
      <c r="K346" s="669">
        <f t="shared" ref="K346:M347" si="82">K347</f>
        <v>2754</v>
      </c>
      <c r="L346" s="760">
        <f t="shared" si="82"/>
        <v>0</v>
      </c>
      <c r="M346" s="669">
        <f t="shared" si="82"/>
        <v>2754</v>
      </c>
      <c r="N346" s="414"/>
    </row>
    <row r="347" spans="1:14" s="372" customFormat="1" ht="112.5" customHeight="1">
      <c r="A347" s="367"/>
      <c r="B347" s="332" t="s">
        <v>920</v>
      </c>
      <c r="C347" s="368" t="s">
        <v>588</v>
      </c>
      <c r="D347" s="369" t="s">
        <v>57</v>
      </c>
      <c r="E347" s="369" t="s">
        <v>92</v>
      </c>
      <c r="F347" s="308" t="s">
        <v>919</v>
      </c>
      <c r="G347" s="279" t="s">
        <v>110</v>
      </c>
      <c r="H347" s="279" t="s">
        <v>63</v>
      </c>
      <c r="I347" s="280" t="s">
        <v>64</v>
      </c>
      <c r="J347" s="281"/>
      <c r="K347" s="669">
        <f t="shared" si="82"/>
        <v>2754</v>
      </c>
      <c r="L347" s="760">
        <f>L348</f>
        <v>0</v>
      </c>
      <c r="M347" s="669">
        <f t="shared" si="82"/>
        <v>2754</v>
      </c>
      <c r="N347" s="414"/>
    </row>
    <row r="348" spans="1:14" s="372" customFormat="1" ht="37.5" customHeight="1">
      <c r="A348" s="367"/>
      <c r="B348" s="332" t="s">
        <v>1016</v>
      </c>
      <c r="C348" s="368" t="s">
        <v>588</v>
      </c>
      <c r="D348" s="369" t="s">
        <v>57</v>
      </c>
      <c r="E348" s="369" t="s">
        <v>92</v>
      </c>
      <c r="F348" s="308" t="s">
        <v>919</v>
      </c>
      <c r="G348" s="279" t="s">
        <v>110</v>
      </c>
      <c r="H348" s="279" t="s">
        <v>248</v>
      </c>
      <c r="I348" s="280" t="s">
        <v>64</v>
      </c>
      <c r="J348" s="281"/>
      <c r="K348" s="762">
        <f>K349</f>
        <v>2754</v>
      </c>
      <c r="L348" s="761">
        <f>L349</f>
        <v>0</v>
      </c>
      <c r="M348" s="762">
        <f>M349</f>
        <v>2754</v>
      </c>
      <c r="N348" s="414"/>
    </row>
    <row r="349" spans="1:14" s="372" customFormat="1" ht="37.5" customHeight="1">
      <c r="A349" s="367"/>
      <c r="B349" s="332" t="s">
        <v>749</v>
      </c>
      <c r="C349" s="368" t="s">
        <v>588</v>
      </c>
      <c r="D349" s="369" t="s">
        <v>57</v>
      </c>
      <c r="E349" s="369" t="s">
        <v>92</v>
      </c>
      <c r="F349" s="308" t="s">
        <v>919</v>
      </c>
      <c r="G349" s="279" t="s">
        <v>110</v>
      </c>
      <c r="H349" s="279" t="s">
        <v>248</v>
      </c>
      <c r="I349" s="280" t="s">
        <v>90</v>
      </c>
      <c r="J349" s="370"/>
      <c r="K349" s="669">
        <f>K350</f>
        <v>2754</v>
      </c>
      <c r="L349" s="669">
        <f>L350</f>
        <v>0</v>
      </c>
      <c r="M349" s="669">
        <f>M350</f>
        <v>2754</v>
      </c>
      <c r="N349" s="414"/>
    </row>
    <row r="350" spans="1:14" s="372" customFormat="1" ht="18.75" customHeight="1">
      <c r="A350" s="367"/>
      <c r="B350" s="332" t="s">
        <v>77</v>
      </c>
      <c r="C350" s="368" t="s">
        <v>588</v>
      </c>
      <c r="D350" s="369" t="s">
        <v>57</v>
      </c>
      <c r="E350" s="369" t="s">
        <v>92</v>
      </c>
      <c r="F350" s="308" t="s">
        <v>919</v>
      </c>
      <c r="G350" s="279" t="s">
        <v>110</v>
      </c>
      <c r="H350" s="279" t="s">
        <v>248</v>
      </c>
      <c r="I350" s="280" t="s">
        <v>90</v>
      </c>
      <c r="J350" s="281" t="s">
        <v>78</v>
      </c>
      <c r="K350" s="687">
        <v>2754</v>
      </c>
      <c r="L350" s="763">
        <f t="shared" ref="L350" si="83">M350-K350</f>
        <v>0</v>
      </c>
      <c r="M350" s="687">
        <v>2754</v>
      </c>
      <c r="N350" s="414"/>
    </row>
    <row r="351" spans="1:14" s="372" customFormat="1" ht="18.75" customHeight="1">
      <c r="A351" s="367"/>
      <c r="B351" s="327" t="s">
        <v>113</v>
      </c>
      <c r="C351" s="368" t="s">
        <v>588</v>
      </c>
      <c r="D351" s="369" t="s">
        <v>72</v>
      </c>
      <c r="E351" s="369"/>
      <c r="F351" s="308"/>
      <c r="G351" s="279"/>
      <c r="H351" s="279"/>
      <c r="I351" s="280"/>
      <c r="J351" s="281"/>
      <c r="K351" s="371">
        <f t="shared" ref="K351:M356" si="84">K352</f>
        <v>2037.1999999999998</v>
      </c>
      <c r="L351" s="687">
        <f t="shared" si="84"/>
        <v>0</v>
      </c>
      <c r="M351" s="371">
        <f t="shared" si="84"/>
        <v>2037.1999999999998</v>
      </c>
      <c r="N351" s="414"/>
    </row>
    <row r="352" spans="1:14" s="372" customFormat="1" ht="37.5" customHeight="1">
      <c r="A352" s="367"/>
      <c r="B352" s="432" t="s">
        <v>127</v>
      </c>
      <c r="C352" s="368" t="s">
        <v>588</v>
      </c>
      <c r="D352" s="369" t="s">
        <v>72</v>
      </c>
      <c r="E352" s="369" t="s">
        <v>121</v>
      </c>
      <c r="F352" s="308"/>
      <c r="G352" s="279"/>
      <c r="H352" s="279"/>
      <c r="I352" s="280"/>
      <c r="J352" s="281"/>
      <c r="K352" s="371">
        <f t="shared" si="84"/>
        <v>2037.1999999999998</v>
      </c>
      <c r="L352" s="371">
        <f t="shared" si="84"/>
        <v>0</v>
      </c>
      <c r="M352" s="371">
        <f t="shared" si="84"/>
        <v>2037.1999999999998</v>
      </c>
      <c r="N352" s="414"/>
    </row>
    <row r="353" spans="1:14" s="372" customFormat="1" ht="56.25" customHeight="1">
      <c r="A353" s="367"/>
      <c r="B353" s="332" t="s">
        <v>247</v>
      </c>
      <c r="C353" s="368" t="s">
        <v>588</v>
      </c>
      <c r="D353" s="369" t="s">
        <v>72</v>
      </c>
      <c r="E353" s="369" t="s">
        <v>121</v>
      </c>
      <c r="F353" s="308" t="s">
        <v>248</v>
      </c>
      <c r="G353" s="279" t="s">
        <v>62</v>
      </c>
      <c r="H353" s="279" t="s">
        <v>63</v>
      </c>
      <c r="I353" s="280" t="s">
        <v>64</v>
      </c>
      <c r="J353" s="281"/>
      <c r="K353" s="371">
        <f t="shared" si="84"/>
        <v>2037.1999999999998</v>
      </c>
      <c r="L353" s="371">
        <f t="shared" si="84"/>
        <v>0</v>
      </c>
      <c r="M353" s="371">
        <f t="shared" si="84"/>
        <v>2037.1999999999998</v>
      </c>
      <c r="N353" s="414"/>
    </row>
    <row r="354" spans="1:14" s="372" customFormat="1" ht="41.25" customHeight="1">
      <c r="A354" s="367"/>
      <c r="B354" s="332" t="s">
        <v>249</v>
      </c>
      <c r="C354" s="368" t="s">
        <v>588</v>
      </c>
      <c r="D354" s="369" t="s">
        <v>72</v>
      </c>
      <c r="E354" s="369" t="s">
        <v>121</v>
      </c>
      <c r="F354" s="308" t="s">
        <v>248</v>
      </c>
      <c r="G354" s="279" t="s">
        <v>65</v>
      </c>
      <c r="H354" s="279" t="s">
        <v>63</v>
      </c>
      <c r="I354" s="280" t="s">
        <v>64</v>
      </c>
      <c r="J354" s="281"/>
      <c r="K354" s="371">
        <f t="shared" si="84"/>
        <v>2037.1999999999998</v>
      </c>
      <c r="L354" s="371">
        <f t="shared" si="84"/>
        <v>0</v>
      </c>
      <c r="M354" s="371">
        <f t="shared" si="84"/>
        <v>2037.1999999999998</v>
      </c>
      <c r="N354" s="414"/>
    </row>
    <row r="355" spans="1:14" s="372" customFormat="1" ht="96.75" customHeight="1">
      <c r="A355" s="367"/>
      <c r="B355" s="332" t="s">
        <v>349</v>
      </c>
      <c r="C355" s="368" t="s">
        <v>588</v>
      </c>
      <c r="D355" s="369" t="s">
        <v>72</v>
      </c>
      <c r="E355" s="369" t="s">
        <v>121</v>
      </c>
      <c r="F355" s="308" t="s">
        <v>248</v>
      </c>
      <c r="G355" s="279" t="s">
        <v>65</v>
      </c>
      <c r="H355" s="279" t="s">
        <v>57</v>
      </c>
      <c r="I355" s="280" t="s">
        <v>64</v>
      </c>
      <c r="J355" s="281"/>
      <c r="K355" s="371">
        <f t="shared" si="84"/>
        <v>2037.1999999999998</v>
      </c>
      <c r="L355" s="371">
        <f t="shared" si="84"/>
        <v>0</v>
      </c>
      <c r="M355" s="371">
        <f t="shared" si="84"/>
        <v>2037.1999999999998</v>
      </c>
      <c r="N355" s="414"/>
    </row>
    <row r="356" spans="1:14" s="372" customFormat="1" ht="37.5" customHeight="1">
      <c r="A356" s="367"/>
      <c r="B356" s="332" t="s">
        <v>459</v>
      </c>
      <c r="C356" s="368" t="s">
        <v>588</v>
      </c>
      <c r="D356" s="369" t="s">
        <v>72</v>
      </c>
      <c r="E356" s="369" t="s">
        <v>121</v>
      </c>
      <c r="F356" s="308" t="s">
        <v>248</v>
      </c>
      <c r="G356" s="279" t="s">
        <v>65</v>
      </c>
      <c r="H356" s="279" t="s">
        <v>57</v>
      </c>
      <c r="I356" s="280" t="s">
        <v>458</v>
      </c>
      <c r="J356" s="281"/>
      <c r="K356" s="371">
        <f t="shared" si="84"/>
        <v>2037.1999999999998</v>
      </c>
      <c r="L356" s="371">
        <f t="shared" si="84"/>
        <v>0</v>
      </c>
      <c r="M356" s="371">
        <f t="shared" si="84"/>
        <v>2037.1999999999998</v>
      </c>
      <c r="N356" s="414"/>
    </row>
    <row r="357" spans="1:14" s="372" customFormat="1" ht="56.25" customHeight="1">
      <c r="A357" s="367"/>
      <c r="B357" s="327" t="s">
        <v>75</v>
      </c>
      <c r="C357" s="368" t="s">
        <v>588</v>
      </c>
      <c r="D357" s="369" t="s">
        <v>72</v>
      </c>
      <c r="E357" s="369" t="s">
        <v>121</v>
      </c>
      <c r="F357" s="308" t="s">
        <v>248</v>
      </c>
      <c r="G357" s="279" t="s">
        <v>65</v>
      </c>
      <c r="H357" s="279" t="s">
        <v>57</v>
      </c>
      <c r="I357" s="280" t="s">
        <v>458</v>
      </c>
      <c r="J357" s="281" t="s">
        <v>76</v>
      </c>
      <c r="K357" s="371">
        <f>1002.1+1035.1</f>
        <v>2037.1999999999998</v>
      </c>
      <c r="L357" s="137">
        <f>M357-K357</f>
        <v>0</v>
      </c>
      <c r="M357" s="371">
        <f>1002.1+1035.1</f>
        <v>2037.1999999999998</v>
      </c>
      <c r="N357" s="414"/>
    </row>
    <row r="358" spans="1:14" s="372" customFormat="1" ht="18.75" customHeight="1">
      <c r="A358" s="367"/>
      <c r="B358" s="332" t="s">
        <v>199</v>
      </c>
      <c r="C358" s="368" t="s">
        <v>588</v>
      </c>
      <c r="D358" s="369" t="s">
        <v>86</v>
      </c>
      <c r="E358" s="369"/>
      <c r="F358" s="278"/>
      <c r="G358" s="279"/>
      <c r="H358" s="279"/>
      <c r="I358" s="333"/>
      <c r="J358" s="281"/>
      <c r="K358" s="371">
        <f t="shared" ref="K358:M366" si="85">K359</f>
        <v>16449.302</v>
      </c>
      <c r="L358" s="371">
        <f t="shared" si="85"/>
        <v>1.2589399999999991</v>
      </c>
      <c r="M358" s="371">
        <f t="shared" si="85"/>
        <v>16450.560939999999</v>
      </c>
      <c r="N358" s="414"/>
    </row>
    <row r="359" spans="1:14" s="372" customFormat="1" ht="18.75" customHeight="1">
      <c r="A359" s="367"/>
      <c r="B359" s="332" t="s">
        <v>398</v>
      </c>
      <c r="C359" s="368" t="s">
        <v>588</v>
      </c>
      <c r="D359" s="369" t="s">
        <v>86</v>
      </c>
      <c r="E359" s="369" t="s">
        <v>59</v>
      </c>
      <c r="F359" s="278"/>
      <c r="G359" s="279"/>
      <c r="H359" s="279"/>
      <c r="I359" s="333"/>
      <c r="J359" s="281"/>
      <c r="K359" s="371">
        <f>K360+K365</f>
        <v>16449.302</v>
      </c>
      <c r="L359" s="371">
        <f>L360+L365</f>
        <v>1.2589399999999991</v>
      </c>
      <c r="M359" s="371">
        <f>M360+M365</f>
        <v>16450.560939999999</v>
      </c>
      <c r="N359" s="414"/>
    </row>
    <row r="360" spans="1:14" s="372" customFormat="1" ht="75">
      <c r="A360" s="367"/>
      <c r="B360" s="332" t="s">
        <v>247</v>
      </c>
      <c r="C360" s="368" t="s">
        <v>588</v>
      </c>
      <c r="D360" s="369" t="s">
        <v>86</v>
      </c>
      <c r="E360" s="369" t="s">
        <v>59</v>
      </c>
      <c r="F360" s="278" t="s">
        <v>248</v>
      </c>
      <c r="G360" s="279" t="s">
        <v>62</v>
      </c>
      <c r="H360" s="279" t="s">
        <v>63</v>
      </c>
      <c r="I360" s="280" t="s">
        <v>64</v>
      </c>
      <c r="J360" s="281"/>
      <c r="K360" s="371">
        <f t="shared" ref="K360:M363" si="86">K361</f>
        <v>8.8019999999999996</v>
      </c>
      <c r="L360" s="371">
        <f t="shared" si="86"/>
        <v>1.2589399999999991</v>
      </c>
      <c r="M360" s="371">
        <f t="shared" si="86"/>
        <v>10.060939999999999</v>
      </c>
      <c r="N360" s="414"/>
    </row>
    <row r="361" spans="1:14" s="372" customFormat="1" ht="56.25">
      <c r="A361" s="367"/>
      <c r="B361" s="332" t="s">
        <v>249</v>
      </c>
      <c r="C361" s="368" t="s">
        <v>588</v>
      </c>
      <c r="D361" s="369" t="s">
        <v>86</v>
      </c>
      <c r="E361" s="369" t="s">
        <v>59</v>
      </c>
      <c r="F361" s="278" t="s">
        <v>248</v>
      </c>
      <c r="G361" s="279" t="s">
        <v>65</v>
      </c>
      <c r="H361" s="279" t="s">
        <v>63</v>
      </c>
      <c r="I361" s="280" t="s">
        <v>64</v>
      </c>
      <c r="J361" s="281"/>
      <c r="K361" s="371">
        <f t="shared" si="86"/>
        <v>8.8019999999999996</v>
      </c>
      <c r="L361" s="371">
        <f t="shared" si="86"/>
        <v>1.2589399999999991</v>
      </c>
      <c r="M361" s="371">
        <f t="shared" si="86"/>
        <v>10.060939999999999</v>
      </c>
      <c r="N361" s="414"/>
    </row>
    <row r="362" spans="1:14" s="372" customFormat="1" ht="37.5">
      <c r="A362" s="367"/>
      <c r="B362" s="327" t="s">
        <v>403</v>
      </c>
      <c r="C362" s="368" t="s">
        <v>588</v>
      </c>
      <c r="D362" s="369" t="s">
        <v>86</v>
      </c>
      <c r="E362" s="369" t="s">
        <v>59</v>
      </c>
      <c r="F362" s="278" t="s">
        <v>248</v>
      </c>
      <c r="G362" s="279" t="s">
        <v>65</v>
      </c>
      <c r="H362" s="279" t="s">
        <v>59</v>
      </c>
      <c r="I362" s="280" t="s">
        <v>64</v>
      </c>
      <c r="J362" s="281"/>
      <c r="K362" s="371">
        <f t="shared" si="86"/>
        <v>8.8019999999999996</v>
      </c>
      <c r="L362" s="371">
        <f t="shared" si="86"/>
        <v>1.2589399999999991</v>
      </c>
      <c r="M362" s="371">
        <f t="shared" si="86"/>
        <v>10.060939999999999</v>
      </c>
      <c r="N362" s="414"/>
    </row>
    <row r="363" spans="1:14" s="372" customFormat="1" ht="37.5">
      <c r="A363" s="367"/>
      <c r="B363" s="327" t="s">
        <v>402</v>
      </c>
      <c r="C363" s="368" t="s">
        <v>588</v>
      </c>
      <c r="D363" s="369" t="s">
        <v>86</v>
      </c>
      <c r="E363" s="369" t="s">
        <v>59</v>
      </c>
      <c r="F363" s="278" t="s">
        <v>248</v>
      </c>
      <c r="G363" s="279" t="s">
        <v>65</v>
      </c>
      <c r="H363" s="279" t="s">
        <v>59</v>
      </c>
      <c r="I363" s="333" t="s">
        <v>401</v>
      </c>
      <c r="J363" s="281"/>
      <c r="K363" s="371">
        <f t="shared" si="86"/>
        <v>8.8019999999999996</v>
      </c>
      <c r="L363" s="371">
        <f t="shared" si="86"/>
        <v>1.2589399999999991</v>
      </c>
      <c r="M363" s="371">
        <f t="shared" si="86"/>
        <v>10.060939999999999</v>
      </c>
      <c r="N363" s="414"/>
    </row>
    <row r="364" spans="1:14" s="372" customFormat="1" ht="54.6" customHeight="1">
      <c r="A364" s="367"/>
      <c r="B364" s="327" t="s">
        <v>75</v>
      </c>
      <c r="C364" s="368" t="s">
        <v>588</v>
      </c>
      <c r="D364" s="369" t="s">
        <v>86</v>
      </c>
      <c r="E364" s="369" t="s">
        <v>59</v>
      </c>
      <c r="F364" s="278" t="s">
        <v>248</v>
      </c>
      <c r="G364" s="279" t="s">
        <v>65</v>
      </c>
      <c r="H364" s="279" t="s">
        <v>59</v>
      </c>
      <c r="I364" s="333" t="s">
        <v>401</v>
      </c>
      <c r="J364" s="281" t="s">
        <v>76</v>
      </c>
      <c r="K364" s="371">
        <v>8.8019999999999996</v>
      </c>
      <c r="L364" s="137">
        <f>M364-K364</f>
        <v>1.2589399999999991</v>
      </c>
      <c r="M364" s="371">
        <f>8.802+1.25894</f>
        <v>10.060939999999999</v>
      </c>
      <c r="N364" s="414"/>
    </row>
    <row r="365" spans="1:14" s="372" customFormat="1" ht="78.75" customHeight="1">
      <c r="A365" s="367"/>
      <c r="B365" s="379" t="s">
        <v>397</v>
      </c>
      <c r="C365" s="368" t="s">
        <v>588</v>
      </c>
      <c r="D365" s="369" t="s">
        <v>86</v>
      </c>
      <c r="E365" s="369" t="s">
        <v>59</v>
      </c>
      <c r="F365" s="278" t="s">
        <v>125</v>
      </c>
      <c r="G365" s="279" t="s">
        <v>62</v>
      </c>
      <c r="H365" s="279" t="s">
        <v>63</v>
      </c>
      <c r="I365" s="333" t="s">
        <v>64</v>
      </c>
      <c r="J365" s="281"/>
      <c r="K365" s="371">
        <f t="shared" si="85"/>
        <v>16440.5</v>
      </c>
      <c r="L365" s="371">
        <f t="shared" si="85"/>
        <v>0</v>
      </c>
      <c r="M365" s="371">
        <f t="shared" si="85"/>
        <v>16440.5</v>
      </c>
      <c r="N365" s="414"/>
    </row>
    <row r="366" spans="1:14" s="372" customFormat="1" ht="56.25" customHeight="1">
      <c r="A366" s="367"/>
      <c r="B366" s="327" t="s">
        <v>399</v>
      </c>
      <c r="C366" s="368" t="s">
        <v>588</v>
      </c>
      <c r="D366" s="369" t="s">
        <v>86</v>
      </c>
      <c r="E366" s="369" t="s">
        <v>59</v>
      </c>
      <c r="F366" s="278" t="s">
        <v>125</v>
      </c>
      <c r="G366" s="279" t="s">
        <v>65</v>
      </c>
      <c r="H366" s="279" t="s">
        <v>63</v>
      </c>
      <c r="I366" s="333" t="s">
        <v>64</v>
      </c>
      <c r="J366" s="281"/>
      <c r="K366" s="371">
        <f t="shared" si="85"/>
        <v>16440.5</v>
      </c>
      <c r="L366" s="371">
        <f t="shared" si="85"/>
        <v>0</v>
      </c>
      <c r="M366" s="371">
        <f t="shared" si="85"/>
        <v>16440.5</v>
      </c>
      <c r="N366" s="414"/>
    </row>
    <row r="367" spans="1:14" s="372" customFormat="1" ht="56.25" customHeight="1">
      <c r="A367" s="367"/>
      <c r="B367" s="327" t="s">
        <v>460</v>
      </c>
      <c r="C367" s="368" t="s">
        <v>588</v>
      </c>
      <c r="D367" s="369" t="s">
        <v>86</v>
      </c>
      <c r="E367" s="369" t="s">
        <v>59</v>
      </c>
      <c r="F367" s="278" t="s">
        <v>125</v>
      </c>
      <c r="G367" s="279" t="s">
        <v>65</v>
      </c>
      <c r="H367" s="279" t="s">
        <v>57</v>
      </c>
      <c r="I367" s="333" t="s">
        <v>64</v>
      </c>
      <c r="J367" s="281"/>
      <c r="K367" s="371">
        <f>+K371+K368</f>
        <v>16440.5</v>
      </c>
      <c r="L367" s="371">
        <f>+L371+L368</f>
        <v>0</v>
      </c>
      <c r="M367" s="371">
        <f>+M371+M368</f>
        <v>16440.5</v>
      </c>
      <c r="N367" s="414"/>
    </row>
    <row r="368" spans="1:14" s="372" customFormat="1" ht="56.25" customHeight="1">
      <c r="A368" s="367"/>
      <c r="B368" s="327" t="s">
        <v>763</v>
      </c>
      <c r="C368" s="368" t="s">
        <v>588</v>
      </c>
      <c r="D368" s="369" t="s">
        <v>86</v>
      </c>
      <c r="E368" s="369" t="s">
        <v>59</v>
      </c>
      <c r="F368" s="278" t="s">
        <v>125</v>
      </c>
      <c r="G368" s="279" t="s">
        <v>65</v>
      </c>
      <c r="H368" s="279" t="s">
        <v>57</v>
      </c>
      <c r="I368" s="333" t="s">
        <v>762</v>
      </c>
      <c r="J368" s="281"/>
      <c r="K368" s="371">
        <f t="shared" ref="K368" si="87">K370+K369</f>
        <v>3808.9</v>
      </c>
      <c r="L368" s="371">
        <f t="shared" ref="L368:M368" si="88">L370+L369</f>
        <v>0</v>
      </c>
      <c r="M368" s="371">
        <f t="shared" si="88"/>
        <v>3808.9</v>
      </c>
      <c r="N368" s="414"/>
    </row>
    <row r="369" spans="1:14" s="372" customFormat="1" ht="56.25" customHeight="1">
      <c r="A369" s="367"/>
      <c r="B369" s="327" t="s">
        <v>75</v>
      </c>
      <c r="C369" s="368" t="s">
        <v>588</v>
      </c>
      <c r="D369" s="369" t="s">
        <v>86</v>
      </c>
      <c r="E369" s="369" t="s">
        <v>59</v>
      </c>
      <c r="F369" s="278" t="s">
        <v>125</v>
      </c>
      <c r="G369" s="279" t="s">
        <v>65</v>
      </c>
      <c r="H369" s="279" t="s">
        <v>57</v>
      </c>
      <c r="I369" s="333" t="s">
        <v>762</v>
      </c>
      <c r="J369" s="281" t="s">
        <v>76</v>
      </c>
      <c r="K369" s="371">
        <f>2532.3+819.5</f>
        <v>3351.8</v>
      </c>
      <c r="L369" s="137">
        <f>M369-K369</f>
        <v>0</v>
      </c>
      <c r="M369" s="371">
        <f>2532.3+819.5</f>
        <v>3351.8</v>
      </c>
      <c r="N369" s="414"/>
    </row>
    <row r="370" spans="1:14" s="372" customFormat="1" ht="56.25" customHeight="1">
      <c r="A370" s="367"/>
      <c r="B370" s="327" t="s">
        <v>225</v>
      </c>
      <c r="C370" s="368" t="s">
        <v>588</v>
      </c>
      <c r="D370" s="369" t="s">
        <v>86</v>
      </c>
      <c r="E370" s="369" t="s">
        <v>59</v>
      </c>
      <c r="F370" s="278" t="s">
        <v>125</v>
      </c>
      <c r="G370" s="279" t="s">
        <v>65</v>
      </c>
      <c r="H370" s="279" t="s">
        <v>57</v>
      </c>
      <c r="I370" s="333" t="s">
        <v>762</v>
      </c>
      <c r="J370" s="281" t="s">
        <v>226</v>
      </c>
      <c r="K370" s="371">
        <f>457.1+819.5+2532.3-2532.3-819.5</f>
        <v>457.09999999999991</v>
      </c>
      <c r="L370" s="137">
        <f>M370-K370</f>
        <v>0</v>
      </c>
      <c r="M370" s="371">
        <f>457.1+819.5+2532.3-2532.3-819.5</f>
        <v>457.09999999999991</v>
      </c>
      <c r="N370" s="414"/>
    </row>
    <row r="371" spans="1:14" s="372" customFormat="1" ht="75" customHeight="1">
      <c r="A371" s="367"/>
      <c r="B371" s="327" t="s">
        <v>1007</v>
      </c>
      <c r="C371" s="368" t="s">
        <v>588</v>
      </c>
      <c r="D371" s="369" t="s">
        <v>86</v>
      </c>
      <c r="E371" s="369" t="s">
        <v>59</v>
      </c>
      <c r="F371" s="278" t="s">
        <v>125</v>
      </c>
      <c r="G371" s="279" t="s">
        <v>65</v>
      </c>
      <c r="H371" s="279" t="s">
        <v>57</v>
      </c>
      <c r="I371" s="333" t="s">
        <v>589</v>
      </c>
      <c r="J371" s="281"/>
      <c r="K371" s="371">
        <f>K372</f>
        <v>12631.6</v>
      </c>
      <c r="L371" s="371">
        <f>L372</f>
        <v>0</v>
      </c>
      <c r="M371" s="371">
        <f>M372</f>
        <v>12631.6</v>
      </c>
      <c r="N371" s="414"/>
    </row>
    <row r="372" spans="1:14" s="372" customFormat="1" ht="56.25" customHeight="1">
      <c r="A372" s="367"/>
      <c r="B372" s="327" t="s">
        <v>225</v>
      </c>
      <c r="C372" s="368" t="s">
        <v>588</v>
      </c>
      <c r="D372" s="369" t="s">
        <v>86</v>
      </c>
      <c r="E372" s="369" t="s">
        <v>59</v>
      </c>
      <c r="F372" s="278" t="s">
        <v>125</v>
      </c>
      <c r="G372" s="279" t="s">
        <v>65</v>
      </c>
      <c r="H372" s="279" t="s">
        <v>57</v>
      </c>
      <c r="I372" s="333" t="s">
        <v>589</v>
      </c>
      <c r="J372" s="281" t="s">
        <v>226</v>
      </c>
      <c r="K372" s="371">
        <v>12631.6</v>
      </c>
      <c r="L372" s="137">
        <f>M372-K372</f>
        <v>0</v>
      </c>
      <c r="M372" s="371">
        <v>12631.6</v>
      </c>
      <c r="N372" s="414"/>
    </row>
    <row r="373" spans="1:14" s="372" customFormat="1" ht="18.75" customHeight="1">
      <c r="A373" s="367"/>
      <c r="B373" s="277" t="s">
        <v>201</v>
      </c>
      <c r="C373" s="368" t="s">
        <v>588</v>
      </c>
      <c r="D373" s="369" t="s">
        <v>246</v>
      </c>
      <c r="E373" s="369"/>
      <c r="F373" s="278"/>
      <c r="G373" s="279"/>
      <c r="H373" s="279"/>
      <c r="I373" s="333"/>
      <c r="J373" s="281"/>
      <c r="K373" s="371">
        <f>K382+K374</f>
        <v>32952.5</v>
      </c>
      <c r="L373" s="371">
        <f>L382+L374</f>
        <v>0</v>
      </c>
      <c r="M373" s="371">
        <f>M382+M374</f>
        <v>32952.5</v>
      </c>
      <c r="N373" s="414"/>
    </row>
    <row r="374" spans="1:14" s="372" customFormat="1" ht="18.75" customHeight="1">
      <c r="A374" s="367"/>
      <c r="B374" s="277" t="s">
        <v>203</v>
      </c>
      <c r="C374" s="368" t="s">
        <v>588</v>
      </c>
      <c r="D374" s="369" t="s">
        <v>246</v>
      </c>
      <c r="E374" s="369" t="s">
        <v>57</v>
      </c>
      <c r="F374" s="278"/>
      <c r="G374" s="279"/>
      <c r="H374" s="279"/>
      <c r="I374" s="280"/>
      <c r="J374" s="281"/>
      <c r="K374" s="371">
        <f t="shared" ref="K374:M378" si="89">K375</f>
        <v>32514.799999999999</v>
      </c>
      <c r="L374" s="371">
        <f t="shared" si="89"/>
        <v>0</v>
      </c>
      <c r="M374" s="371">
        <f t="shared" si="89"/>
        <v>32514.799999999999</v>
      </c>
      <c r="N374" s="414"/>
    </row>
    <row r="375" spans="1:14" s="372" customFormat="1" ht="56.25" customHeight="1">
      <c r="A375" s="367"/>
      <c r="B375" s="277" t="s">
        <v>724</v>
      </c>
      <c r="C375" s="368" t="s">
        <v>588</v>
      </c>
      <c r="D375" s="369" t="s">
        <v>246</v>
      </c>
      <c r="E375" s="369" t="s">
        <v>57</v>
      </c>
      <c r="F375" s="278" t="s">
        <v>59</v>
      </c>
      <c r="G375" s="279" t="s">
        <v>62</v>
      </c>
      <c r="H375" s="279" t="s">
        <v>63</v>
      </c>
      <c r="I375" s="280" t="s">
        <v>64</v>
      </c>
      <c r="J375" s="281"/>
      <c r="K375" s="371">
        <f t="shared" si="89"/>
        <v>32514.799999999999</v>
      </c>
      <c r="L375" s="371">
        <f t="shared" si="89"/>
        <v>0</v>
      </c>
      <c r="M375" s="371">
        <f t="shared" si="89"/>
        <v>32514.799999999999</v>
      </c>
      <c r="N375" s="414"/>
    </row>
    <row r="376" spans="1:14" s="372" customFormat="1" ht="36.6" customHeight="1">
      <c r="A376" s="367"/>
      <c r="B376" s="277" t="s">
        <v>228</v>
      </c>
      <c r="C376" s="368" t="s">
        <v>588</v>
      </c>
      <c r="D376" s="369" t="s">
        <v>246</v>
      </c>
      <c r="E376" s="369" t="s">
        <v>57</v>
      </c>
      <c r="F376" s="278" t="s">
        <v>59</v>
      </c>
      <c r="G376" s="279" t="s">
        <v>65</v>
      </c>
      <c r="H376" s="279" t="s">
        <v>63</v>
      </c>
      <c r="I376" s="280" t="s">
        <v>64</v>
      </c>
      <c r="J376" s="281"/>
      <c r="K376" s="371">
        <f t="shared" si="89"/>
        <v>32514.799999999999</v>
      </c>
      <c r="L376" s="371">
        <f t="shared" si="89"/>
        <v>0</v>
      </c>
      <c r="M376" s="371">
        <f t="shared" si="89"/>
        <v>32514.799999999999</v>
      </c>
      <c r="N376" s="414"/>
    </row>
    <row r="377" spans="1:14" s="372" customFormat="1" ht="37.5" customHeight="1">
      <c r="A377" s="367"/>
      <c r="B377" s="277" t="s">
        <v>307</v>
      </c>
      <c r="C377" s="368" t="s">
        <v>588</v>
      </c>
      <c r="D377" s="369" t="s">
        <v>246</v>
      </c>
      <c r="E377" s="369" t="s">
        <v>57</v>
      </c>
      <c r="F377" s="278" t="s">
        <v>59</v>
      </c>
      <c r="G377" s="279" t="s">
        <v>65</v>
      </c>
      <c r="H377" s="279" t="s">
        <v>57</v>
      </c>
      <c r="I377" s="333" t="s">
        <v>64</v>
      </c>
      <c r="J377" s="281"/>
      <c r="K377" s="371">
        <f>K378+K380</f>
        <v>32514.799999999999</v>
      </c>
      <c r="L377" s="371">
        <f>L378+L380</f>
        <v>0</v>
      </c>
      <c r="M377" s="371">
        <f>M378+M380</f>
        <v>32514.799999999999</v>
      </c>
      <c r="N377" s="414"/>
    </row>
    <row r="378" spans="1:14" s="372" customFormat="1" ht="37.5" customHeight="1">
      <c r="A378" s="367"/>
      <c r="B378" s="135" t="s">
        <v>230</v>
      </c>
      <c r="C378" s="368" t="s">
        <v>588</v>
      </c>
      <c r="D378" s="369" t="s">
        <v>246</v>
      </c>
      <c r="E378" s="369" t="s">
        <v>57</v>
      </c>
      <c r="F378" s="278" t="s">
        <v>59</v>
      </c>
      <c r="G378" s="279" t="s">
        <v>65</v>
      </c>
      <c r="H378" s="279" t="s">
        <v>57</v>
      </c>
      <c r="I378" s="333" t="s">
        <v>314</v>
      </c>
      <c r="J378" s="281"/>
      <c r="K378" s="371">
        <f t="shared" si="89"/>
        <v>3192.7999999999997</v>
      </c>
      <c r="L378" s="371">
        <f>L379</f>
        <v>0</v>
      </c>
      <c r="M378" s="371">
        <f t="shared" si="89"/>
        <v>3192.7999999999997</v>
      </c>
      <c r="N378" s="414"/>
    </row>
    <row r="379" spans="1:14" s="372" customFormat="1" ht="56.25" customHeight="1">
      <c r="A379" s="367"/>
      <c r="B379" s="277" t="s">
        <v>225</v>
      </c>
      <c r="C379" s="368" t="s">
        <v>588</v>
      </c>
      <c r="D379" s="369" t="s">
        <v>246</v>
      </c>
      <c r="E379" s="369" t="s">
        <v>57</v>
      </c>
      <c r="F379" s="278" t="s">
        <v>59</v>
      </c>
      <c r="G379" s="279" t="s">
        <v>65</v>
      </c>
      <c r="H379" s="279" t="s">
        <v>57</v>
      </c>
      <c r="I379" s="333" t="s">
        <v>314</v>
      </c>
      <c r="J379" s="281" t="s">
        <v>226</v>
      </c>
      <c r="K379" s="371">
        <f>4067.7+5.1-880</f>
        <v>3192.7999999999997</v>
      </c>
      <c r="L379" s="137">
        <f>M379-K379</f>
        <v>0</v>
      </c>
      <c r="M379" s="371">
        <f>4067.7+5.1-880</f>
        <v>3192.7999999999997</v>
      </c>
      <c r="N379" s="414"/>
    </row>
    <row r="380" spans="1:14" s="372" customFormat="1" ht="112.5">
      <c r="A380" s="367"/>
      <c r="B380" s="277" t="s">
        <v>1025</v>
      </c>
      <c r="C380" s="368" t="s">
        <v>588</v>
      </c>
      <c r="D380" s="369" t="s">
        <v>246</v>
      </c>
      <c r="E380" s="369" t="s">
        <v>57</v>
      </c>
      <c r="F380" s="278" t="s">
        <v>59</v>
      </c>
      <c r="G380" s="279" t="s">
        <v>65</v>
      </c>
      <c r="H380" s="279" t="s">
        <v>57</v>
      </c>
      <c r="I380" s="333" t="s">
        <v>1022</v>
      </c>
      <c r="J380" s="281"/>
      <c r="K380" s="764">
        <f>K381</f>
        <v>29322</v>
      </c>
      <c r="L380" s="137">
        <f>L381</f>
        <v>0</v>
      </c>
      <c r="M380" s="764">
        <f>M381</f>
        <v>29322</v>
      </c>
      <c r="N380" s="414"/>
    </row>
    <row r="381" spans="1:14" s="372" customFormat="1" ht="56.25">
      <c r="A381" s="367"/>
      <c r="B381" s="277" t="s">
        <v>225</v>
      </c>
      <c r="C381" s="368" t="s">
        <v>588</v>
      </c>
      <c r="D381" s="369" t="s">
        <v>246</v>
      </c>
      <c r="E381" s="369" t="s">
        <v>57</v>
      </c>
      <c r="F381" s="278" t="s">
        <v>59</v>
      </c>
      <c r="G381" s="279" t="s">
        <v>65</v>
      </c>
      <c r="H381" s="279" t="s">
        <v>57</v>
      </c>
      <c r="I381" s="333" t="s">
        <v>1022</v>
      </c>
      <c r="J381" s="281" t="s">
        <v>226</v>
      </c>
      <c r="K381" s="764">
        <f>28442+880</f>
        <v>29322</v>
      </c>
      <c r="L381" s="137">
        <f>M381-K381</f>
        <v>0</v>
      </c>
      <c r="M381" s="764">
        <f>28442+880</f>
        <v>29322</v>
      </c>
      <c r="N381" s="414"/>
    </row>
    <row r="382" spans="1:14" s="372" customFormat="1" ht="18.75" customHeight="1">
      <c r="A382" s="367"/>
      <c r="B382" s="277" t="s">
        <v>205</v>
      </c>
      <c r="C382" s="368" t="s">
        <v>588</v>
      </c>
      <c r="D382" s="369" t="s">
        <v>246</v>
      </c>
      <c r="E382" s="369" t="s">
        <v>59</v>
      </c>
      <c r="F382" s="278"/>
      <c r="G382" s="279"/>
      <c r="H382" s="279"/>
      <c r="I382" s="333"/>
      <c r="J382" s="281"/>
      <c r="K382" s="371">
        <f t="shared" ref="K382:M386" si="90">K383</f>
        <v>437.7</v>
      </c>
      <c r="L382" s="687">
        <f t="shared" si="90"/>
        <v>0</v>
      </c>
      <c r="M382" s="371">
        <f t="shared" si="90"/>
        <v>437.7</v>
      </c>
      <c r="N382" s="414"/>
    </row>
    <row r="383" spans="1:14" s="372" customFormat="1" ht="56.25" customHeight="1">
      <c r="A383" s="367"/>
      <c r="B383" s="277" t="s">
        <v>227</v>
      </c>
      <c r="C383" s="368" t="s">
        <v>588</v>
      </c>
      <c r="D383" s="369" t="s">
        <v>246</v>
      </c>
      <c r="E383" s="369" t="s">
        <v>59</v>
      </c>
      <c r="F383" s="278" t="s">
        <v>59</v>
      </c>
      <c r="G383" s="279" t="s">
        <v>62</v>
      </c>
      <c r="H383" s="279" t="s">
        <v>63</v>
      </c>
      <c r="I383" s="280" t="s">
        <v>64</v>
      </c>
      <c r="J383" s="281"/>
      <c r="K383" s="371">
        <f t="shared" si="90"/>
        <v>437.7</v>
      </c>
      <c r="L383" s="371">
        <f t="shared" si="90"/>
        <v>0</v>
      </c>
      <c r="M383" s="371">
        <f t="shared" si="90"/>
        <v>437.7</v>
      </c>
      <c r="N383" s="414"/>
    </row>
    <row r="384" spans="1:14" s="372" customFormat="1" ht="37.5" customHeight="1">
      <c r="A384" s="367"/>
      <c r="B384" s="277" t="s">
        <v>228</v>
      </c>
      <c r="C384" s="368" t="s">
        <v>588</v>
      </c>
      <c r="D384" s="369" t="s">
        <v>246</v>
      </c>
      <c r="E384" s="369" t="s">
        <v>59</v>
      </c>
      <c r="F384" s="278" t="s">
        <v>59</v>
      </c>
      <c r="G384" s="279" t="s">
        <v>65</v>
      </c>
      <c r="H384" s="279" t="s">
        <v>63</v>
      </c>
      <c r="I384" s="280" t="s">
        <v>64</v>
      </c>
      <c r="J384" s="281"/>
      <c r="K384" s="371">
        <f t="shared" si="90"/>
        <v>437.7</v>
      </c>
      <c r="L384" s="371">
        <f t="shared" si="90"/>
        <v>0</v>
      </c>
      <c r="M384" s="371">
        <f t="shared" si="90"/>
        <v>437.7</v>
      </c>
      <c r="N384" s="414"/>
    </row>
    <row r="385" spans="1:15" s="372" customFormat="1" ht="18.75" customHeight="1">
      <c r="A385" s="367"/>
      <c r="B385" s="277" t="s">
        <v>312</v>
      </c>
      <c r="C385" s="368" t="s">
        <v>588</v>
      </c>
      <c r="D385" s="369" t="s">
        <v>246</v>
      </c>
      <c r="E385" s="369" t="s">
        <v>59</v>
      </c>
      <c r="F385" s="278" t="s">
        <v>59</v>
      </c>
      <c r="G385" s="279" t="s">
        <v>65</v>
      </c>
      <c r="H385" s="279" t="s">
        <v>59</v>
      </c>
      <c r="I385" s="280" t="s">
        <v>64</v>
      </c>
      <c r="J385" s="281"/>
      <c r="K385" s="371">
        <f t="shared" si="90"/>
        <v>437.7</v>
      </c>
      <c r="L385" s="371">
        <f t="shared" si="90"/>
        <v>0</v>
      </c>
      <c r="M385" s="371">
        <f t="shared" si="90"/>
        <v>437.7</v>
      </c>
      <c r="N385" s="414"/>
    </row>
    <row r="386" spans="1:15" s="372" customFormat="1" ht="37.5" customHeight="1">
      <c r="A386" s="367"/>
      <c r="B386" s="277" t="s">
        <v>230</v>
      </c>
      <c r="C386" s="368" t="s">
        <v>588</v>
      </c>
      <c r="D386" s="369" t="s">
        <v>246</v>
      </c>
      <c r="E386" s="369" t="s">
        <v>59</v>
      </c>
      <c r="F386" s="278" t="s">
        <v>59</v>
      </c>
      <c r="G386" s="279" t="s">
        <v>65</v>
      </c>
      <c r="H386" s="279" t="s">
        <v>59</v>
      </c>
      <c r="I386" s="280" t="s">
        <v>314</v>
      </c>
      <c r="J386" s="281"/>
      <c r="K386" s="371">
        <f t="shared" si="90"/>
        <v>437.7</v>
      </c>
      <c r="L386" s="371">
        <f t="shared" si="90"/>
        <v>0</v>
      </c>
      <c r="M386" s="371">
        <f t="shared" si="90"/>
        <v>437.7</v>
      </c>
      <c r="N386" s="414"/>
    </row>
    <row r="387" spans="1:15" s="372" customFormat="1" ht="56.25" customHeight="1">
      <c r="A387" s="367"/>
      <c r="B387" s="277" t="s">
        <v>225</v>
      </c>
      <c r="C387" s="368" t="s">
        <v>588</v>
      </c>
      <c r="D387" s="369" t="s">
        <v>246</v>
      </c>
      <c r="E387" s="369" t="s">
        <v>59</v>
      </c>
      <c r="F387" s="278" t="s">
        <v>59</v>
      </c>
      <c r="G387" s="279" t="s">
        <v>65</v>
      </c>
      <c r="H387" s="279" t="s">
        <v>59</v>
      </c>
      <c r="I387" s="280" t="s">
        <v>314</v>
      </c>
      <c r="J387" s="281" t="s">
        <v>226</v>
      </c>
      <c r="K387" s="492">
        <f>1322.9-1082.4+197.2</f>
        <v>437.7</v>
      </c>
      <c r="L387" s="137">
        <f>M387-K387</f>
        <v>0</v>
      </c>
      <c r="M387" s="492">
        <f>1322.9-1082.4+197.2</f>
        <v>437.7</v>
      </c>
      <c r="N387" s="414"/>
    </row>
    <row r="388" spans="1:15" s="383" customFormat="1" ht="18.75" customHeight="1">
      <c r="A388" s="380"/>
      <c r="B388" s="381" t="s">
        <v>140</v>
      </c>
      <c r="C388" s="382" t="s">
        <v>588</v>
      </c>
      <c r="D388" s="331" t="s">
        <v>125</v>
      </c>
      <c r="E388" s="369"/>
      <c r="F388" s="328"/>
      <c r="G388" s="329"/>
      <c r="H388" s="329"/>
      <c r="I388" s="330"/>
      <c r="J388" s="331"/>
      <c r="K388" s="433" t="e">
        <f t="shared" ref="K388:M391" si="91">K389</f>
        <v>#REF!</v>
      </c>
      <c r="L388" s="433">
        <f t="shared" si="91"/>
        <v>7309.8000000000029</v>
      </c>
      <c r="M388" s="433">
        <f t="shared" si="91"/>
        <v>59882.6</v>
      </c>
    </row>
    <row r="389" spans="1:15" s="383" customFormat="1" ht="18.75" customHeight="1">
      <c r="A389" s="380"/>
      <c r="B389" s="327" t="s">
        <v>215</v>
      </c>
      <c r="C389" s="382" t="s">
        <v>588</v>
      </c>
      <c r="D389" s="331" t="s">
        <v>125</v>
      </c>
      <c r="E389" s="331" t="s">
        <v>72</v>
      </c>
      <c r="F389" s="328"/>
      <c r="G389" s="329"/>
      <c r="H389" s="329"/>
      <c r="I389" s="330"/>
      <c r="J389" s="331"/>
      <c r="K389" s="433" t="e">
        <f t="shared" si="91"/>
        <v>#REF!</v>
      </c>
      <c r="L389" s="433">
        <f t="shared" si="91"/>
        <v>7309.8000000000029</v>
      </c>
      <c r="M389" s="433">
        <f t="shared" si="91"/>
        <v>59882.6</v>
      </c>
    </row>
    <row r="390" spans="1:15" s="383" customFormat="1" ht="56.25" customHeight="1">
      <c r="A390" s="380"/>
      <c r="B390" s="384" t="s">
        <v>252</v>
      </c>
      <c r="C390" s="382" t="s">
        <v>588</v>
      </c>
      <c r="D390" s="331" t="s">
        <v>125</v>
      </c>
      <c r="E390" s="331" t="s">
        <v>72</v>
      </c>
      <c r="F390" s="328" t="s">
        <v>100</v>
      </c>
      <c r="G390" s="329" t="s">
        <v>62</v>
      </c>
      <c r="H390" s="329" t="s">
        <v>63</v>
      </c>
      <c r="I390" s="330" t="s">
        <v>64</v>
      </c>
      <c r="J390" s="331"/>
      <c r="K390" s="433" t="e">
        <f t="shared" si="91"/>
        <v>#REF!</v>
      </c>
      <c r="L390" s="433">
        <f t="shared" si="91"/>
        <v>7309.8000000000029</v>
      </c>
      <c r="M390" s="433">
        <f t="shared" si="91"/>
        <v>59882.6</v>
      </c>
    </row>
    <row r="391" spans="1:15" s="383" customFormat="1" ht="37.5" customHeight="1">
      <c r="A391" s="380"/>
      <c r="B391" s="327" t="s">
        <v>404</v>
      </c>
      <c r="C391" s="382" t="s">
        <v>588</v>
      </c>
      <c r="D391" s="331" t="s">
        <v>125</v>
      </c>
      <c r="E391" s="331" t="s">
        <v>72</v>
      </c>
      <c r="F391" s="328" t="s">
        <v>100</v>
      </c>
      <c r="G391" s="329" t="s">
        <v>65</v>
      </c>
      <c r="H391" s="329" t="s">
        <v>63</v>
      </c>
      <c r="I391" s="330" t="s">
        <v>64</v>
      </c>
      <c r="J391" s="331"/>
      <c r="K391" s="433" t="e">
        <f t="shared" si="91"/>
        <v>#REF!</v>
      </c>
      <c r="L391" s="433">
        <f t="shared" si="91"/>
        <v>7309.8000000000029</v>
      </c>
      <c r="M391" s="433">
        <f t="shared" si="91"/>
        <v>59882.6</v>
      </c>
    </row>
    <row r="392" spans="1:15" s="385" customFormat="1" ht="93.75" customHeight="1">
      <c r="A392" s="380"/>
      <c r="B392" s="327" t="s">
        <v>352</v>
      </c>
      <c r="C392" s="382" t="s">
        <v>588</v>
      </c>
      <c r="D392" s="331" t="s">
        <v>125</v>
      </c>
      <c r="E392" s="331" t="s">
        <v>72</v>
      </c>
      <c r="F392" s="328" t="s">
        <v>100</v>
      </c>
      <c r="G392" s="329" t="s">
        <v>65</v>
      </c>
      <c r="H392" s="329" t="s">
        <v>59</v>
      </c>
      <c r="I392" s="330" t="s">
        <v>64</v>
      </c>
      <c r="J392" s="331"/>
      <c r="K392" s="433" t="e">
        <f>K395+#REF!</f>
        <v>#REF!</v>
      </c>
      <c r="L392" s="433">
        <f>L395+L393</f>
        <v>7309.8000000000029</v>
      </c>
      <c r="M392" s="433">
        <f>M395+M393</f>
        <v>59882.6</v>
      </c>
    </row>
    <row r="393" spans="1:15" s="385" customFormat="1" ht="108.6" customHeight="1">
      <c r="A393" s="380"/>
      <c r="B393" s="327" t="s">
        <v>590</v>
      </c>
      <c r="C393" s="382" t="s">
        <v>588</v>
      </c>
      <c r="D393" s="331" t="s">
        <v>125</v>
      </c>
      <c r="E393" s="331" t="s">
        <v>72</v>
      </c>
      <c r="F393" s="328" t="s">
        <v>100</v>
      </c>
      <c r="G393" s="329" t="s">
        <v>65</v>
      </c>
      <c r="H393" s="329" t="s">
        <v>59</v>
      </c>
      <c r="I393" s="330" t="s">
        <v>1034</v>
      </c>
      <c r="J393" s="331"/>
      <c r="K393" s="433">
        <f t="shared" ref="K393:M395" si="92">K394</f>
        <v>0</v>
      </c>
      <c r="L393" s="433">
        <f t="shared" si="92"/>
        <v>5500</v>
      </c>
      <c r="M393" s="433">
        <f t="shared" si="92"/>
        <v>5500</v>
      </c>
    </row>
    <row r="394" spans="1:15" s="385" customFormat="1" ht="56.45" customHeight="1">
      <c r="A394" s="380"/>
      <c r="B394" s="327" t="s">
        <v>225</v>
      </c>
      <c r="C394" s="382" t="s">
        <v>588</v>
      </c>
      <c r="D394" s="331" t="s">
        <v>125</v>
      </c>
      <c r="E394" s="331" t="s">
        <v>72</v>
      </c>
      <c r="F394" s="328" t="s">
        <v>100</v>
      </c>
      <c r="G394" s="329" t="s">
        <v>65</v>
      </c>
      <c r="H394" s="329" t="s">
        <v>59</v>
      </c>
      <c r="I394" s="330" t="s">
        <v>1034</v>
      </c>
      <c r="J394" s="331" t="s">
        <v>226</v>
      </c>
      <c r="K394" s="433">
        <v>0</v>
      </c>
      <c r="L394" s="433">
        <f>M394-K394</f>
        <v>5500</v>
      </c>
      <c r="M394" s="433">
        <v>5500</v>
      </c>
    </row>
    <row r="395" spans="1:15" s="372" customFormat="1" ht="110.25" customHeight="1">
      <c r="A395" s="367"/>
      <c r="B395" s="332" t="s">
        <v>590</v>
      </c>
      <c r="C395" s="368" t="s">
        <v>588</v>
      </c>
      <c r="D395" s="369" t="s">
        <v>125</v>
      </c>
      <c r="E395" s="369" t="s">
        <v>72</v>
      </c>
      <c r="F395" s="278" t="s">
        <v>100</v>
      </c>
      <c r="G395" s="279" t="s">
        <v>65</v>
      </c>
      <c r="H395" s="279" t="s">
        <v>59</v>
      </c>
      <c r="I395" s="333" t="s">
        <v>591</v>
      </c>
      <c r="J395" s="281"/>
      <c r="K395" s="371">
        <f t="shared" si="92"/>
        <v>52572.799999999996</v>
      </c>
      <c r="L395" s="371">
        <f t="shared" si="92"/>
        <v>1809.8000000000029</v>
      </c>
      <c r="M395" s="371">
        <f t="shared" si="92"/>
        <v>54382.6</v>
      </c>
      <c r="N395" s="414"/>
    </row>
    <row r="396" spans="1:15" s="372" customFormat="1" ht="56.25" customHeight="1">
      <c r="A396" s="367"/>
      <c r="B396" s="332" t="s">
        <v>225</v>
      </c>
      <c r="C396" s="368" t="s">
        <v>588</v>
      </c>
      <c r="D396" s="369" t="s">
        <v>125</v>
      </c>
      <c r="E396" s="369" t="s">
        <v>72</v>
      </c>
      <c r="F396" s="278" t="s">
        <v>100</v>
      </c>
      <c r="G396" s="279" t="s">
        <v>65</v>
      </c>
      <c r="H396" s="279" t="s">
        <v>59</v>
      </c>
      <c r="I396" s="333" t="s">
        <v>591</v>
      </c>
      <c r="J396" s="281" t="s">
        <v>226</v>
      </c>
      <c r="K396" s="371">
        <f>32481.8+10813.4+9277.6</f>
        <v>52572.799999999996</v>
      </c>
      <c r="L396" s="137">
        <f>M396-K396</f>
        <v>1809.8000000000029</v>
      </c>
      <c r="M396" s="780">
        <f>32481.8+10813.4+9277.6+1809.8</f>
        <v>54382.6</v>
      </c>
      <c r="N396" s="414"/>
    </row>
    <row r="397" spans="1:15" s="372" customFormat="1" ht="18" customHeight="1">
      <c r="A397" s="367"/>
      <c r="B397" s="332"/>
      <c r="C397" s="409"/>
      <c r="D397" s="410"/>
      <c r="E397" s="410"/>
      <c r="F397" s="411"/>
      <c r="G397" s="412"/>
      <c r="H397" s="412"/>
      <c r="I397" s="413"/>
      <c r="J397" s="410"/>
      <c r="K397" s="371"/>
      <c r="L397" s="816"/>
      <c r="M397" s="371"/>
    </row>
    <row r="398" spans="1:15" s="355" customFormat="1" ht="52.15" customHeight="1">
      <c r="A398" s="350">
        <v>5</v>
      </c>
      <c r="B398" s="129" t="s">
        <v>23</v>
      </c>
      <c r="C398" s="130" t="s">
        <v>609</v>
      </c>
      <c r="D398" s="131"/>
      <c r="E398" s="131"/>
      <c r="F398" s="132"/>
      <c r="G398" s="133"/>
      <c r="H398" s="133"/>
      <c r="I398" s="134"/>
      <c r="J398" s="131"/>
      <c r="K398" s="160">
        <f>K412+K547+K399</f>
        <v>1089627.6599999999</v>
      </c>
      <c r="L398" s="160">
        <f>L412+L547+L399</f>
        <v>16926.099999999991</v>
      </c>
      <c r="M398" s="160">
        <f>M412+M547+M399</f>
        <v>1106553.76</v>
      </c>
      <c r="N398" s="386"/>
      <c r="O398" s="386"/>
    </row>
    <row r="399" spans="1:15" s="355" customFormat="1" ht="24.75" customHeight="1">
      <c r="A399" s="350"/>
      <c r="B399" s="607" t="s">
        <v>56</v>
      </c>
      <c r="C399" s="620" t="s">
        <v>609</v>
      </c>
      <c r="D399" s="611" t="s">
        <v>57</v>
      </c>
      <c r="E399" s="271"/>
      <c r="F399" s="621"/>
      <c r="G399" s="285"/>
      <c r="H399" s="285"/>
      <c r="I399" s="286"/>
      <c r="J399" s="271"/>
      <c r="K399" s="538">
        <f t="shared" ref="K399:M400" si="93">K400</f>
        <v>303.39999999999998</v>
      </c>
      <c r="L399" s="538">
        <f t="shared" si="93"/>
        <v>0</v>
      </c>
      <c r="M399" s="538">
        <f t="shared" si="93"/>
        <v>303.39999999999998</v>
      </c>
      <c r="N399" s="386"/>
      <c r="O399" s="386"/>
    </row>
    <row r="400" spans="1:15" s="355" customFormat="1" ht="27" customHeight="1">
      <c r="A400" s="350"/>
      <c r="B400" s="607" t="s">
        <v>91</v>
      </c>
      <c r="C400" s="622" t="s">
        <v>609</v>
      </c>
      <c r="D400" s="611" t="s">
        <v>57</v>
      </c>
      <c r="E400" s="611" t="s">
        <v>92</v>
      </c>
      <c r="F400" s="621"/>
      <c r="G400" s="285"/>
      <c r="H400" s="285"/>
      <c r="I400" s="286"/>
      <c r="J400" s="271"/>
      <c r="K400" s="538">
        <f t="shared" si="93"/>
        <v>303.39999999999998</v>
      </c>
      <c r="L400" s="538">
        <f t="shared" si="93"/>
        <v>0</v>
      </c>
      <c r="M400" s="538">
        <f t="shared" si="93"/>
        <v>303.39999999999998</v>
      </c>
      <c r="N400" s="386"/>
      <c r="O400" s="386"/>
    </row>
    <row r="401" spans="1:15" s="355" customFormat="1" ht="52.15" customHeight="1">
      <c r="A401" s="350"/>
      <c r="B401" s="607" t="s">
        <v>227</v>
      </c>
      <c r="C401" s="620" t="s">
        <v>609</v>
      </c>
      <c r="D401" s="611" t="s">
        <v>57</v>
      </c>
      <c r="E401" s="611" t="s">
        <v>92</v>
      </c>
      <c r="F401" s="608" t="s">
        <v>59</v>
      </c>
      <c r="G401" s="609" t="s">
        <v>62</v>
      </c>
      <c r="H401" s="609" t="s">
        <v>63</v>
      </c>
      <c r="I401" s="610" t="s">
        <v>64</v>
      </c>
      <c r="J401" s="611"/>
      <c r="K401" s="538">
        <f>K402</f>
        <v>303.39999999999998</v>
      </c>
      <c r="L401" s="538">
        <f>L402</f>
        <v>0</v>
      </c>
      <c r="M401" s="538">
        <f>M402</f>
        <v>303.39999999999998</v>
      </c>
      <c r="N401" s="386"/>
      <c r="O401" s="386"/>
    </row>
    <row r="402" spans="1:15" s="355" customFormat="1" ht="52.15" customHeight="1">
      <c r="A402" s="350"/>
      <c r="B402" s="575" t="s">
        <v>234</v>
      </c>
      <c r="C402" s="620" t="s">
        <v>609</v>
      </c>
      <c r="D402" s="611" t="s">
        <v>57</v>
      </c>
      <c r="E402" s="611" t="s">
        <v>92</v>
      </c>
      <c r="F402" s="608" t="s">
        <v>59</v>
      </c>
      <c r="G402" s="609" t="s">
        <v>50</v>
      </c>
      <c r="H402" s="609" t="s">
        <v>63</v>
      </c>
      <c r="I402" s="610" t="s">
        <v>64</v>
      </c>
      <c r="J402" s="611"/>
      <c r="K402" s="538">
        <f>K403+K406+K409</f>
        <v>303.39999999999998</v>
      </c>
      <c r="L402" s="538">
        <f>L403+L406+L409</f>
        <v>0</v>
      </c>
      <c r="M402" s="538">
        <f>M403+M406+M409</f>
        <v>303.39999999999998</v>
      </c>
      <c r="N402" s="386"/>
      <c r="O402" s="386"/>
    </row>
    <row r="403" spans="1:15" s="355" customFormat="1" ht="36" customHeight="1">
      <c r="A403" s="350"/>
      <c r="B403" s="607" t="s">
        <v>428</v>
      </c>
      <c r="C403" s="620" t="s">
        <v>609</v>
      </c>
      <c r="D403" s="611" t="s">
        <v>57</v>
      </c>
      <c r="E403" s="611" t="s">
        <v>92</v>
      </c>
      <c r="F403" s="608" t="s">
        <v>59</v>
      </c>
      <c r="G403" s="609" t="s">
        <v>50</v>
      </c>
      <c r="H403" s="609" t="s">
        <v>84</v>
      </c>
      <c r="I403" s="610" t="s">
        <v>64</v>
      </c>
      <c r="J403" s="611"/>
      <c r="K403" s="538">
        <f t="shared" ref="K403:M404" si="94">K404</f>
        <v>175</v>
      </c>
      <c r="L403" s="538">
        <f t="shared" si="94"/>
        <v>0</v>
      </c>
      <c r="M403" s="538">
        <f t="shared" si="94"/>
        <v>175</v>
      </c>
      <c r="N403" s="386"/>
      <c r="O403" s="386"/>
    </row>
    <row r="404" spans="1:15" s="355" customFormat="1" ht="52.15" customHeight="1">
      <c r="A404" s="350"/>
      <c r="B404" s="575" t="s">
        <v>814</v>
      </c>
      <c r="C404" s="622" t="s">
        <v>609</v>
      </c>
      <c r="D404" s="611" t="s">
        <v>57</v>
      </c>
      <c r="E404" s="611" t="s">
        <v>92</v>
      </c>
      <c r="F404" s="608" t="s">
        <v>59</v>
      </c>
      <c r="G404" s="609" t="s">
        <v>50</v>
      </c>
      <c r="H404" s="609" t="s">
        <v>84</v>
      </c>
      <c r="I404" s="610" t="s">
        <v>126</v>
      </c>
      <c r="J404" s="611"/>
      <c r="K404" s="538">
        <f>K405</f>
        <v>175</v>
      </c>
      <c r="L404" s="538">
        <f t="shared" si="94"/>
        <v>0</v>
      </c>
      <c r="M404" s="538">
        <f>M405</f>
        <v>175</v>
      </c>
      <c r="N404" s="386"/>
      <c r="O404" s="386"/>
    </row>
    <row r="405" spans="1:15" s="355" customFormat="1" ht="52.15" customHeight="1">
      <c r="A405" s="350"/>
      <c r="B405" s="575" t="s">
        <v>75</v>
      </c>
      <c r="C405" s="622" t="s">
        <v>609</v>
      </c>
      <c r="D405" s="611" t="s">
        <v>57</v>
      </c>
      <c r="E405" s="611" t="s">
        <v>92</v>
      </c>
      <c r="F405" s="608" t="s">
        <v>59</v>
      </c>
      <c r="G405" s="609" t="s">
        <v>50</v>
      </c>
      <c r="H405" s="609" t="s">
        <v>84</v>
      </c>
      <c r="I405" s="610" t="s">
        <v>126</v>
      </c>
      <c r="J405" s="611" t="s">
        <v>76</v>
      </c>
      <c r="K405" s="538">
        <f>100.4+61.8+12.8</f>
        <v>175</v>
      </c>
      <c r="L405" s="137">
        <f>M405-K405</f>
        <v>0</v>
      </c>
      <c r="M405" s="538">
        <f>100.4+61.8+12.8</f>
        <v>175</v>
      </c>
      <c r="N405" s="386"/>
      <c r="O405" s="386"/>
    </row>
    <row r="406" spans="1:15" s="355" customFormat="1" ht="33.75" customHeight="1">
      <c r="A406" s="350"/>
      <c r="B406" s="575" t="s">
        <v>799</v>
      </c>
      <c r="C406" s="620" t="s">
        <v>609</v>
      </c>
      <c r="D406" s="611" t="s">
        <v>57</v>
      </c>
      <c r="E406" s="611" t="s">
        <v>92</v>
      </c>
      <c r="F406" s="608" t="s">
        <v>59</v>
      </c>
      <c r="G406" s="609" t="s">
        <v>50</v>
      </c>
      <c r="H406" s="609" t="s">
        <v>72</v>
      </c>
      <c r="I406" s="610" t="s">
        <v>64</v>
      </c>
      <c r="J406" s="611"/>
      <c r="K406" s="538">
        <f t="shared" ref="K406:M407" si="95">K407</f>
        <v>25</v>
      </c>
      <c r="L406" s="538">
        <f t="shared" si="95"/>
        <v>0</v>
      </c>
      <c r="M406" s="538">
        <f t="shared" si="95"/>
        <v>25</v>
      </c>
      <c r="N406" s="386"/>
      <c r="O406" s="386"/>
    </row>
    <row r="407" spans="1:15" s="355" customFormat="1" ht="18.600000000000001" customHeight="1">
      <c r="A407" s="350"/>
      <c r="B407" s="575" t="s">
        <v>815</v>
      </c>
      <c r="C407" s="622" t="s">
        <v>609</v>
      </c>
      <c r="D407" s="611" t="s">
        <v>57</v>
      </c>
      <c r="E407" s="611" t="s">
        <v>92</v>
      </c>
      <c r="F407" s="608" t="s">
        <v>59</v>
      </c>
      <c r="G407" s="609" t="s">
        <v>50</v>
      </c>
      <c r="H407" s="609" t="s">
        <v>72</v>
      </c>
      <c r="I407" s="610" t="s">
        <v>798</v>
      </c>
      <c r="J407" s="611"/>
      <c r="K407" s="538">
        <f t="shared" si="95"/>
        <v>25</v>
      </c>
      <c r="L407" s="538">
        <f t="shared" si="95"/>
        <v>0</v>
      </c>
      <c r="M407" s="538">
        <f t="shared" si="95"/>
        <v>25</v>
      </c>
      <c r="N407" s="386"/>
      <c r="O407" s="386"/>
    </row>
    <row r="408" spans="1:15" s="355" customFormat="1" ht="52.15" customHeight="1">
      <c r="A408" s="350"/>
      <c r="B408" s="575" t="s">
        <v>75</v>
      </c>
      <c r="C408" s="622" t="s">
        <v>609</v>
      </c>
      <c r="D408" s="611" t="s">
        <v>57</v>
      </c>
      <c r="E408" s="611" t="s">
        <v>92</v>
      </c>
      <c r="F408" s="608" t="s">
        <v>59</v>
      </c>
      <c r="G408" s="609" t="s">
        <v>50</v>
      </c>
      <c r="H408" s="609" t="s">
        <v>72</v>
      </c>
      <c r="I408" s="610" t="s">
        <v>798</v>
      </c>
      <c r="J408" s="611" t="s">
        <v>76</v>
      </c>
      <c r="K408" s="538">
        <v>25</v>
      </c>
      <c r="L408" s="137">
        <f>M408-K408</f>
        <v>0</v>
      </c>
      <c r="M408" s="538">
        <v>25</v>
      </c>
      <c r="N408" s="386"/>
      <c r="O408" s="386"/>
    </row>
    <row r="409" spans="1:15" s="355" customFormat="1" ht="37.5" customHeight="1">
      <c r="A409" s="350"/>
      <c r="B409" s="575" t="s">
        <v>811</v>
      </c>
      <c r="C409" s="622" t="s">
        <v>609</v>
      </c>
      <c r="D409" s="611" t="s">
        <v>57</v>
      </c>
      <c r="E409" s="611" t="s">
        <v>92</v>
      </c>
      <c r="F409" s="608" t="s">
        <v>59</v>
      </c>
      <c r="G409" s="609" t="s">
        <v>50</v>
      </c>
      <c r="H409" s="609" t="s">
        <v>86</v>
      </c>
      <c r="I409" s="730" t="s">
        <v>64</v>
      </c>
      <c r="J409" s="259"/>
      <c r="K409" s="538">
        <f t="shared" ref="K409:M410" si="96">K410</f>
        <v>103.4</v>
      </c>
      <c r="L409" s="538">
        <f t="shared" si="96"/>
        <v>0</v>
      </c>
      <c r="M409" s="538">
        <f t="shared" si="96"/>
        <v>103.4</v>
      </c>
      <c r="N409" s="386"/>
      <c r="O409" s="386"/>
    </row>
    <row r="410" spans="1:15" s="355" customFormat="1" ht="34.9" customHeight="1">
      <c r="A410" s="350"/>
      <c r="B410" s="575" t="s">
        <v>148</v>
      </c>
      <c r="C410" s="622" t="s">
        <v>609</v>
      </c>
      <c r="D410" s="611" t="s">
        <v>57</v>
      </c>
      <c r="E410" s="611" t="s">
        <v>92</v>
      </c>
      <c r="F410" s="608" t="s">
        <v>59</v>
      </c>
      <c r="G410" s="609" t="s">
        <v>50</v>
      </c>
      <c r="H410" s="609" t="s">
        <v>86</v>
      </c>
      <c r="I410" s="730" t="s">
        <v>111</v>
      </c>
      <c r="J410" s="259"/>
      <c r="K410" s="538">
        <f>K411</f>
        <v>103.4</v>
      </c>
      <c r="L410" s="538">
        <f t="shared" si="96"/>
        <v>0</v>
      </c>
      <c r="M410" s="538">
        <f>M411</f>
        <v>103.4</v>
      </c>
      <c r="N410" s="386"/>
      <c r="O410" s="386"/>
    </row>
    <row r="411" spans="1:15" s="355" customFormat="1" ht="52.15" customHeight="1">
      <c r="A411" s="350"/>
      <c r="B411" s="575" t="s">
        <v>75</v>
      </c>
      <c r="C411" s="622" t="s">
        <v>609</v>
      </c>
      <c r="D411" s="611" t="s">
        <v>57</v>
      </c>
      <c r="E411" s="611" t="s">
        <v>92</v>
      </c>
      <c r="F411" s="608" t="s">
        <v>59</v>
      </c>
      <c r="G411" s="609" t="s">
        <v>50</v>
      </c>
      <c r="H411" s="609" t="s">
        <v>86</v>
      </c>
      <c r="I411" s="730" t="s">
        <v>111</v>
      </c>
      <c r="J411" s="259" t="s">
        <v>76</v>
      </c>
      <c r="K411" s="538">
        <v>103.4</v>
      </c>
      <c r="L411" s="137">
        <f>M411-K411</f>
        <v>0</v>
      </c>
      <c r="M411" s="538">
        <v>103.4</v>
      </c>
      <c r="N411" s="386"/>
      <c r="O411" s="386"/>
    </row>
    <row r="412" spans="1:15" s="356" customFormat="1" ht="18" customHeight="1">
      <c r="A412" s="122"/>
      <c r="B412" s="135" t="s">
        <v>201</v>
      </c>
      <c r="C412" s="136" t="s">
        <v>609</v>
      </c>
      <c r="D412" s="121" t="s">
        <v>246</v>
      </c>
      <c r="E412" s="121"/>
      <c r="F412" s="734"/>
      <c r="G412" s="735"/>
      <c r="H412" s="735"/>
      <c r="I412" s="736"/>
      <c r="J412" s="121"/>
      <c r="K412" s="137">
        <f>K413+K439+K523+K489+K515</f>
        <v>1081290.06</v>
      </c>
      <c r="L412" s="137">
        <f>L413+L439+L523+L489+L515</f>
        <v>17526.099999999991</v>
      </c>
      <c r="M412" s="137">
        <f>M413+M439+M523+M489+M515</f>
        <v>1098816.1600000001</v>
      </c>
      <c r="N412" s="387"/>
      <c r="O412" s="387"/>
    </row>
    <row r="413" spans="1:15" s="355" customFormat="1" ht="18" customHeight="1">
      <c r="A413" s="122"/>
      <c r="B413" s="135" t="s">
        <v>203</v>
      </c>
      <c r="C413" s="136" t="s">
        <v>609</v>
      </c>
      <c r="D413" s="121" t="s">
        <v>246</v>
      </c>
      <c r="E413" s="121" t="s">
        <v>57</v>
      </c>
      <c r="F413" s="734"/>
      <c r="G413" s="735"/>
      <c r="H413" s="735"/>
      <c r="I413" s="736"/>
      <c r="J413" s="121"/>
      <c r="K413" s="137">
        <f>K414+K434</f>
        <v>325615.3</v>
      </c>
      <c r="L413" s="137">
        <f>L414+L434</f>
        <v>2855.9000000000028</v>
      </c>
      <c r="M413" s="137">
        <f>M414+M434</f>
        <v>328471.2</v>
      </c>
    </row>
    <row r="414" spans="1:15" s="355" customFormat="1" ht="54" customHeight="1">
      <c r="A414" s="122"/>
      <c r="B414" s="135" t="s">
        <v>227</v>
      </c>
      <c r="C414" s="136" t="s">
        <v>609</v>
      </c>
      <c r="D414" s="121" t="s">
        <v>246</v>
      </c>
      <c r="E414" s="121" t="s">
        <v>57</v>
      </c>
      <c r="F414" s="734" t="s">
        <v>59</v>
      </c>
      <c r="G414" s="735" t="s">
        <v>62</v>
      </c>
      <c r="H414" s="735" t="s">
        <v>63</v>
      </c>
      <c r="I414" s="736" t="s">
        <v>64</v>
      </c>
      <c r="J414" s="121"/>
      <c r="K414" s="137">
        <f t="shared" ref="K414:M414" si="97">K415</f>
        <v>325564</v>
      </c>
      <c r="L414" s="137">
        <f t="shared" si="97"/>
        <v>2855.9000000000028</v>
      </c>
      <c r="M414" s="137">
        <f t="shared" si="97"/>
        <v>328419.90000000002</v>
      </c>
    </row>
    <row r="415" spans="1:15" s="355" customFormat="1" ht="36" customHeight="1">
      <c r="A415" s="122"/>
      <c r="B415" s="135" t="s">
        <v>228</v>
      </c>
      <c r="C415" s="136" t="s">
        <v>609</v>
      </c>
      <c r="D415" s="121" t="s">
        <v>246</v>
      </c>
      <c r="E415" s="121" t="s">
        <v>57</v>
      </c>
      <c r="F415" s="734" t="s">
        <v>59</v>
      </c>
      <c r="G415" s="735" t="s">
        <v>65</v>
      </c>
      <c r="H415" s="735" t="s">
        <v>63</v>
      </c>
      <c r="I415" s="736" t="s">
        <v>64</v>
      </c>
      <c r="J415" s="121"/>
      <c r="K415" s="137">
        <f>K416+K431</f>
        <v>325564</v>
      </c>
      <c r="L415" s="137">
        <f>L416+L431</f>
        <v>2855.9000000000028</v>
      </c>
      <c r="M415" s="137">
        <f>M416+M431</f>
        <v>328419.90000000002</v>
      </c>
    </row>
    <row r="416" spans="1:15" s="355" customFormat="1" ht="36" customHeight="1">
      <c r="A416" s="122"/>
      <c r="B416" s="135" t="s">
        <v>307</v>
      </c>
      <c r="C416" s="136" t="s">
        <v>609</v>
      </c>
      <c r="D416" s="121" t="s">
        <v>246</v>
      </c>
      <c r="E416" s="121" t="s">
        <v>57</v>
      </c>
      <c r="F416" s="734" t="s">
        <v>59</v>
      </c>
      <c r="G416" s="735" t="s">
        <v>65</v>
      </c>
      <c r="H416" s="735" t="s">
        <v>57</v>
      </c>
      <c r="I416" s="736" t="s">
        <v>64</v>
      </c>
      <c r="J416" s="121"/>
      <c r="K416" s="137">
        <f t="shared" ref="K416" si="98">K425+K427+K417+K421+K419+K429+K423</f>
        <v>325414</v>
      </c>
      <c r="L416" s="137">
        <f t="shared" ref="L416:M416" si="99">L425+L427+L417+L421+L419+L429+L423</f>
        <v>2855.9000000000028</v>
      </c>
      <c r="M416" s="137">
        <f t="shared" si="99"/>
        <v>328269.90000000002</v>
      </c>
      <c r="N416" s="434"/>
    </row>
    <row r="417" spans="1:14" s="351" customFormat="1" ht="37.5" customHeight="1">
      <c r="A417" s="122"/>
      <c r="B417" s="138" t="s">
        <v>795</v>
      </c>
      <c r="C417" s="136" t="s">
        <v>609</v>
      </c>
      <c r="D417" s="121" t="s">
        <v>246</v>
      </c>
      <c r="E417" s="121" t="s">
        <v>57</v>
      </c>
      <c r="F417" s="734" t="s">
        <v>59</v>
      </c>
      <c r="G417" s="735" t="s">
        <v>65</v>
      </c>
      <c r="H417" s="735" t="s">
        <v>57</v>
      </c>
      <c r="I417" s="736" t="s">
        <v>112</v>
      </c>
      <c r="J417" s="121"/>
      <c r="K417" s="137">
        <f>K418</f>
        <v>93991.700000000012</v>
      </c>
      <c r="L417" s="137">
        <f>L418</f>
        <v>1690.8000000000029</v>
      </c>
      <c r="M417" s="137">
        <f>M418</f>
        <v>95682.500000000015</v>
      </c>
      <c r="N417" s="435"/>
    </row>
    <row r="418" spans="1:14" s="351" customFormat="1" ht="54" customHeight="1">
      <c r="A418" s="122"/>
      <c r="B418" s="135" t="s">
        <v>97</v>
      </c>
      <c r="C418" s="136" t="s">
        <v>609</v>
      </c>
      <c r="D418" s="121" t="s">
        <v>246</v>
      </c>
      <c r="E418" s="121" t="s">
        <v>57</v>
      </c>
      <c r="F418" s="734" t="s">
        <v>59</v>
      </c>
      <c r="G418" s="735" t="s">
        <v>65</v>
      </c>
      <c r="H418" s="735" t="s">
        <v>57</v>
      </c>
      <c r="I418" s="736" t="s">
        <v>112</v>
      </c>
      <c r="J418" s="121" t="s">
        <v>98</v>
      </c>
      <c r="K418" s="137">
        <f>95802.1-6150+366.4+993.6+50.6+35.6+2893.4</f>
        <v>93991.700000000012</v>
      </c>
      <c r="L418" s="137">
        <f>M418-K418</f>
        <v>1690.8000000000029</v>
      </c>
      <c r="M418" s="137">
        <f>95802.1-6150+366.4+993.6+50.6+35.6+2893.4+103.7+1531.6+55.5</f>
        <v>95682.500000000015</v>
      </c>
      <c r="N418" s="435"/>
    </row>
    <row r="419" spans="1:14" s="351" customFormat="1" ht="19.149999999999999" customHeight="1">
      <c r="A419" s="122"/>
      <c r="B419" s="135" t="s">
        <v>796</v>
      </c>
      <c r="C419" s="136" t="s">
        <v>609</v>
      </c>
      <c r="D419" s="121" t="s">
        <v>246</v>
      </c>
      <c r="E419" s="121" t="s">
        <v>57</v>
      </c>
      <c r="F419" s="734" t="s">
        <v>59</v>
      </c>
      <c r="G419" s="735" t="s">
        <v>65</v>
      </c>
      <c r="H419" s="735" t="s">
        <v>57</v>
      </c>
      <c r="I419" s="736" t="s">
        <v>479</v>
      </c>
      <c r="J419" s="121"/>
      <c r="K419" s="137">
        <f>K420</f>
        <v>2631.1</v>
      </c>
      <c r="L419" s="137">
        <f>L420</f>
        <v>1208.0999999999999</v>
      </c>
      <c r="M419" s="137">
        <f>M420</f>
        <v>3839.2</v>
      </c>
      <c r="N419" s="435"/>
    </row>
    <row r="420" spans="1:14" s="351" customFormat="1" ht="54" customHeight="1">
      <c r="A420" s="122"/>
      <c r="B420" s="135" t="s">
        <v>97</v>
      </c>
      <c r="C420" s="136" t="s">
        <v>609</v>
      </c>
      <c r="D420" s="121" t="s">
        <v>246</v>
      </c>
      <c r="E420" s="121" t="s">
        <v>57</v>
      </c>
      <c r="F420" s="734" t="s">
        <v>59</v>
      </c>
      <c r="G420" s="735" t="s">
        <v>65</v>
      </c>
      <c r="H420" s="735" t="s">
        <v>57</v>
      </c>
      <c r="I420" s="736" t="s">
        <v>479</v>
      </c>
      <c r="J420" s="121" t="s">
        <v>98</v>
      </c>
      <c r="K420" s="137">
        <f>833+718.2+311.3+223.5+118-34.6+461.7</f>
        <v>2631.1</v>
      </c>
      <c r="L420" s="137">
        <f>M420-K420</f>
        <v>1208.0999999999999</v>
      </c>
      <c r="M420" s="137">
        <f>833+718.2+311.3+223.5+118-34.6+461.7+448.1+540.7+130.5+45+43.8</f>
        <v>3839.2</v>
      </c>
      <c r="N420" s="435"/>
    </row>
    <row r="421" spans="1:14" s="355" customFormat="1" ht="54" customHeight="1">
      <c r="A421" s="122"/>
      <c r="B421" s="135" t="s">
        <v>229</v>
      </c>
      <c r="C421" s="136" t="s">
        <v>609</v>
      </c>
      <c r="D421" s="121" t="s">
        <v>246</v>
      </c>
      <c r="E421" s="121" t="s">
        <v>57</v>
      </c>
      <c r="F421" s="734" t="s">
        <v>59</v>
      </c>
      <c r="G421" s="735" t="s">
        <v>65</v>
      </c>
      <c r="H421" s="735" t="s">
        <v>57</v>
      </c>
      <c r="I421" s="736" t="s">
        <v>313</v>
      </c>
      <c r="J421" s="121"/>
      <c r="K421" s="137">
        <f>K422</f>
        <v>14111.9</v>
      </c>
      <c r="L421" s="137">
        <f>L422</f>
        <v>0</v>
      </c>
      <c r="M421" s="137">
        <f>M422</f>
        <v>14111.9</v>
      </c>
      <c r="N421" s="434"/>
    </row>
    <row r="422" spans="1:14" s="355" customFormat="1" ht="54" customHeight="1">
      <c r="A422" s="122"/>
      <c r="B422" s="135" t="s">
        <v>97</v>
      </c>
      <c r="C422" s="136" t="s">
        <v>609</v>
      </c>
      <c r="D422" s="121" t="s">
        <v>246</v>
      </c>
      <c r="E422" s="121" t="s">
        <v>57</v>
      </c>
      <c r="F422" s="734" t="s">
        <v>59</v>
      </c>
      <c r="G422" s="735" t="s">
        <v>65</v>
      </c>
      <c r="H422" s="735" t="s">
        <v>57</v>
      </c>
      <c r="I422" s="736" t="s">
        <v>313</v>
      </c>
      <c r="J422" s="121" t="s">
        <v>98</v>
      </c>
      <c r="K422" s="137">
        <f>7747.4+6364.5</f>
        <v>14111.9</v>
      </c>
      <c r="L422" s="137">
        <f>M422-K422</f>
        <v>0</v>
      </c>
      <c r="M422" s="137">
        <f>7747.4+6364.5</f>
        <v>14111.9</v>
      </c>
      <c r="N422" s="434"/>
    </row>
    <row r="423" spans="1:14" s="355" customFormat="1" ht="37.15" customHeight="1">
      <c r="A423" s="122"/>
      <c r="B423" s="135" t="s">
        <v>230</v>
      </c>
      <c r="C423" s="136" t="s">
        <v>609</v>
      </c>
      <c r="D423" s="121" t="s">
        <v>246</v>
      </c>
      <c r="E423" s="121" t="s">
        <v>57</v>
      </c>
      <c r="F423" s="734" t="s">
        <v>59</v>
      </c>
      <c r="G423" s="735" t="s">
        <v>65</v>
      </c>
      <c r="H423" s="735" t="s">
        <v>57</v>
      </c>
      <c r="I423" s="736" t="s">
        <v>314</v>
      </c>
      <c r="J423" s="121"/>
      <c r="K423" s="137">
        <f>K424</f>
        <v>58.2</v>
      </c>
      <c r="L423" s="137">
        <f>L424</f>
        <v>0</v>
      </c>
      <c r="M423" s="137">
        <f>M424</f>
        <v>58.2</v>
      </c>
      <c r="N423" s="434"/>
    </row>
    <row r="424" spans="1:14" s="351" customFormat="1" ht="54" customHeight="1">
      <c r="A424" s="122"/>
      <c r="B424" s="135" t="s">
        <v>97</v>
      </c>
      <c r="C424" s="136" t="s">
        <v>609</v>
      </c>
      <c r="D424" s="121" t="s">
        <v>246</v>
      </c>
      <c r="E424" s="121" t="s">
        <v>57</v>
      </c>
      <c r="F424" s="734" t="s">
        <v>59</v>
      </c>
      <c r="G424" s="735" t="s">
        <v>65</v>
      </c>
      <c r="H424" s="735" t="s">
        <v>57</v>
      </c>
      <c r="I424" s="736" t="s">
        <v>314</v>
      </c>
      <c r="J424" s="121" t="s">
        <v>98</v>
      </c>
      <c r="K424" s="137">
        <v>58.2</v>
      </c>
      <c r="L424" s="137">
        <f>M424-K424</f>
        <v>0</v>
      </c>
      <c r="M424" s="137">
        <v>58.2</v>
      </c>
      <c r="N424" s="435"/>
    </row>
    <row r="425" spans="1:14" s="355" customFormat="1" ht="178.15" customHeight="1">
      <c r="A425" s="122"/>
      <c r="B425" s="135" t="s">
        <v>308</v>
      </c>
      <c r="C425" s="136" t="s">
        <v>609</v>
      </c>
      <c r="D425" s="121" t="s">
        <v>246</v>
      </c>
      <c r="E425" s="121" t="s">
        <v>57</v>
      </c>
      <c r="F425" s="734" t="s">
        <v>59</v>
      </c>
      <c r="G425" s="735" t="s">
        <v>65</v>
      </c>
      <c r="H425" s="735" t="s">
        <v>57</v>
      </c>
      <c r="I425" s="736" t="s">
        <v>309</v>
      </c>
      <c r="J425" s="121"/>
      <c r="K425" s="137">
        <f>K426</f>
        <v>503.3</v>
      </c>
      <c r="L425" s="137">
        <f>L426</f>
        <v>-43</v>
      </c>
      <c r="M425" s="137">
        <f>M426</f>
        <v>460.3</v>
      </c>
      <c r="N425" s="434"/>
    </row>
    <row r="426" spans="1:14" s="355" customFormat="1" ht="54" customHeight="1">
      <c r="A426" s="122"/>
      <c r="B426" s="135" t="s">
        <v>97</v>
      </c>
      <c r="C426" s="136" t="s">
        <v>609</v>
      </c>
      <c r="D426" s="121" t="s">
        <v>246</v>
      </c>
      <c r="E426" s="121" t="s">
        <v>57</v>
      </c>
      <c r="F426" s="734" t="s">
        <v>59</v>
      </c>
      <c r="G426" s="735" t="s">
        <v>65</v>
      </c>
      <c r="H426" s="735" t="s">
        <v>57</v>
      </c>
      <c r="I426" s="736" t="s">
        <v>309</v>
      </c>
      <c r="J426" s="121" t="s">
        <v>98</v>
      </c>
      <c r="K426" s="137">
        <v>503.3</v>
      </c>
      <c r="L426" s="137">
        <f>M426-K426</f>
        <v>-43</v>
      </c>
      <c r="M426" s="137">
        <f>503.3-43</f>
        <v>460.3</v>
      </c>
    </row>
    <row r="427" spans="1:14" s="355" customFormat="1" ht="104.45" customHeight="1">
      <c r="A427" s="122"/>
      <c r="B427" s="135" t="s">
        <v>415</v>
      </c>
      <c r="C427" s="136" t="s">
        <v>609</v>
      </c>
      <c r="D427" s="121" t="s">
        <v>246</v>
      </c>
      <c r="E427" s="121" t="s">
        <v>57</v>
      </c>
      <c r="F427" s="734" t="s">
        <v>59</v>
      </c>
      <c r="G427" s="735" t="s">
        <v>65</v>
      </c>
      <c r="H427" s="735" t="s">
        <v>57</v>
      </c>
      <c r="I427" s="736" t="s">
        <v>310</v>
      </c>
      <c r="J427" s="121"/>
      <c r="K427" s="137">
        <f>K428</f>
        <v>212697.8</v>
      </c>
      <c r="L427" s="137">
        <f>L428</f>
        <v>0</v>
      </c>
      <c r="M427" s="137">
        <f>M428</f>
        <v>212697.8</v>
      </c>
    </row>
    <row r="428" spans="1:14" s="355" customFormat="1" ht="54" customHeight="1">
      <c r="A428" s="122"/>
      <c r="B428" s="135" t="s">
        <v>97</v>
      </c>
      <c r="C428" s="136" t="s">
        <v>609</v>
      </c>
      <c r="D428" s="121" t="s">
        <v>246</v>
      </c>
      <c r="E428" s="121" t="s">
        <v>57</v>
      </c>
      <c r="F428" s="734" t="s">
        <v>59</v>
      </c>
      <c r="G428" s="735" t="s">
        <v>65</v>
      </c>
      <c r="H428" s="735" t="s">
        <v>57</v>
      </c>
      <c r="I428" s="736" t="s">
        <v>310</v>
      </c>
      <c r="J428" s="121" t="s">
        <v>98</v>
      </c>
      <c r="K428" s="137">
        <v>212697.8</v>
      </c>
      <c r="L428" s="137">
        <f>M428-K428</f>
        <v>0</v>
      </c>
      <c r="M428" s="137">
        <v>212697.8</v>
      </c>
    </row>
    <row r="429" spans="1:14" s="689" customFormat="1" ht="54" customHeight="1">
      <c r="A429" s="688"/>
      <c r="B429" s="135" t="s">
        <v>1005</v>
      </c>
      <c r="C429" s="136" t="s">
        <v>609</v>
      </c>
      <c r="D429" s="121" t="s">
        <v>246</v>
      </c>
      <c r="E429" s="121" t="s">
        <v>57</v>
      </c>
      <c r="F429" s="734" t="s">
        <v>59</v>
      </c>
      <c r="G429" s="735" t="s">
        <v>65</v>
      </c>
      <c r="H429" s="735" t="s">
        <v>57</v>
      </c>
      <c r="I429" s="736" t="s">
        <v>1006</v>
      </c>
      <c r="J429" s="121"/>
      <c r="K429" s="137">
        <f>K430</f>
        <v>1420</v>
      </c>
      <c r="L429" s="137">
        <f>L430</f>
        <v>0</v>
      </c>
      <c r="M429" s="137">
        <f>M430</f>
        <v>1420</v>
      </c>
    </row>
    <row r="430" spans="1:14" s="689" customFormat="1" ht="54" customHeight="1">
      <c r="A430" s="688"/>
      <c r="B430" s="135" t="s">
        <v>97</v>
      </c>
      <c r="C430" s="136" t="s">
        <v>609</v>
      </c>
      <c r="D430" s="121" t="s">
        <v>246</v>
      </c>
      <c r="E430" s="121" t="s">
        <v>57</v>
      </c>
      <c r="F430" s="734" t="s">
        <v>59</v>
      </c>
      <c r="G430" s="735" t="s">
        <v>65</v>
      </c>
      <c r="H430" s="735" t="s">
        <v>57</v>
      </c>
      <c r="I430" s="736" t="s">
        <v>1006</v>
      </c>
      <c r="J430" s="121" t="s">
        <v>98</v>
      </c>
      <c r="K430" s="137">
        <v>1420</v>
      </c>
      <c r="L430" s="137">
        <f>M430-K430</f>
        <v>0</v>
      </c>
      <c r="M430" s="137">
        <v>1420</v>
      </c>
    </row>
    <row r="431" spans="1:14" s="355" customFormat="1" ht="38.25" customHeight="1">
      <c r="A431" s="122"/>
      <c r="B431" s="135" t="s">
        <v>726</v>
      </c>
      <c r="C431" s="136" t="s">
        <v>609</v>
      </c>
      <c r="D431" s="121" t="s">
        <v>246</v>
      </c>
      <c r="E431" s="121" t="s">
        <v>57</v>
      </c>
      <c r="F431" s="734" t="s">
        <v>59</v>
      </c>
      <c r="G431" s="735" t="s">
        <v>65</v>
      </c>
      <c r="H431" s="735" t="s">
        <v>725</v>
      </c>
      <c r="I431" s="736" t="s">
        <v>64</v>
      </c>
      <c r="J431" s="121"/>
      <c r="K431" s="137">
        <f t="shared" ref="K431:M432" si="100">K432</f>
        <v>150</v>
      </c>
      <c r="L431" s="137">
        <f t="shared" si="100"/>
        <v>0</v>
      </c>
      <c r="M431" s="137">
        <f t="shared" si="100"/>
        <v>150</v>
      </c>
    </row>
    <row r="432" spans="1:14" s="355" customFormat="1" ht="54" customHeight="1">
      <c r="A432" s="122"/>
      <c r="B432" s="135" t="s">
        <v>682</v>
      </c>
      <c r="C432" s="136" t="s">
        <v>609</v>
      </c>
      <c r="D432" s="121" t="s">
        <v>246</v>
      </c>
      <c r="E432" s="121" t="s">
        <v>57</v>
      </c>
      <c r="F432" s="734" t="s">
        <v>59</v>
      </c>
      <c r="G432" s="735" t="s">
        <v>65</v>
      </c>
      <c r="H432" s="735" t="s">
        <v>725</v>
      </c>
      <c r="I432" s="736" t="s">
        <v>683</v>
      </c>
      <c r="J432" s="121"/>
      <c r="K432" s="137">
        <f t="shared" si="100"/>
        <v>150</v>
      </c>
      <c r="L432" s="137">
        <f t="shared" si="100"/>
        <v>0</v>
      </c>
      <c r="M432" s="137">
        <f t="shared" si="100"/>
        <v>150</v>
      </c>
    </row>
    <row r="433" spans="1:13" s="355" customFormat="1" ht="54" customHeight="1">
      <c r="A433" s="122"/>
      <c r="B433" s="135" t="s">
        <v>97</v>
      </c>
      <c r="C433" s="136" t="s">
        <v>609</v>
      </c>
      <c r="D433" s="121" t="s">
        <v>246</v>
      </c>
      <c r="E433" s="121" t="s">
        <v>57</v>
      </c>
      <c r="F433" s="734" t="s">
        <v>59</v>
      </c>
      <c r="G433" s="735" t="s">
        <v>65</v>
      </c>
      <c r="H433" s="735" t="s">
        <v>725</v>
      </c>
      <c r="I433" s="736" t="s">
        <v>683</v>
      </c>
      <c r="J433" s="121" t="s">
        <v>98</v>
      </c>
      <c r="K433" s="137">
        <v>150</v>
      </c>
      <c r="L433" s="137">
        <f>M433-K433</f>
        <v>0</v>
      </c>
      <c r="M433" s="137">
        <v>150</v>
      </c>
    </row>
    <row r="434" spans="1:13" s="355" customFormat="1" ht="54" customHeight="1">
      <c r="A434" s="122"/>
      <c r="B434" s="135" t="s">
        <v>255</v>
      </c>
      <c r="C434" s="136" t="s">
        <v>609</v>
      </c>
      <c r="D434" s="121" t="s">
        <v>246</v>
      </c>
      <c r="E434" s="121" t="s">
        <v>57</v>
      </c>
      <c r="F434" s="734" t="s">
        <v>256</v>
      </c>
      <c r="G434" s="735" t="s">
        <v>62</v>
      </c>
      <c r="H434" s="735" t="s">
        <v>63</v>
      </c>
      <c r="I434" s="736" t="s">
        <v>64</v>
      </c>
      <c r="J434" s="121"/>
      <c r="K434" s="137">
        <f t="shared" ref="K434:M437" si="101">K435</f>
        <v>51.3</v>
      </c>
      <c r="L434" s="137">
        <f t="shared" si="101"/>
        <v>0</v>
      </c>
      <c r="M434" s="137">
        <f t="shared" si="101"/>
        <v>51.3</v>
      </c>
    </row>
    <row r="435" spans="1:13" s="355" customFormat="1" ht="36" customHeight="1">
      <c r="A435" s="122"/>
      <c r="B435" s="135" t="s">
        <v>404</v>
      </c>
      <c r="C435" s="136" t="s">
        <v>609</v>
      </c>
      <c r="D435" s="121" t="s">
        <v>246</v>
      </c>
      <c r="E435" s="121" t="s">
        <v>57</v>
      </c>
      <c r="F435" s="734" t="s">
        <v>256</v>
      </c>
      <c r="G435" s="735" t="s">
        <v>65</v>
      </c>
      <c r="H435" s="735" t="s">
        <v>63</v>
      </c>
      <c r="I435" s="736" t="s">
        <v>64</v>
      </c>
      <c r="J435" s="121"/>
      <c r="K435" s="137">
        <f t="shared" si="101"/>
        <v>51.3</v>
      </c>
      <c r="L435" s="137">
        <f t="shared" si="101"/>
        <v>0</v>
      </c>
      <c r="M435" s="137">
        <f t="shared" si="101"/>
        <v>51.3</v>
      </c>
    </row>
    <row r="436" spans="1:13" s="355" customFormat="1" ht="72.599999999999994" customHeight="1">
      <c r="A436" s="122"/>
      <c r="B436" s="135" t="s">
        <v>326</v>
      </c>
      <c r="C436" s="136" t="s">
        <v>609</v>
      </c>
      <c r="D436" s="121" t="s">
        <v>246</v>
      </c>
      <c r="E436" s="121" t="s">
        <v>57</v>
      </c>
      <c r="F436" s="734" t="s">
        <v>256</v>
      </c>
      <c r="G436" s="735" t="s">
        <v>65</v>
      </c>
      <c r="H436" s="735" t="s">
        <v>57</v>
      </c>
      <c r="I436" s="736" t="s">
        <v>64</v>
      </c>
      <c r="J436" s="121"/>
      <c r="K436" s="137">
        <f>K437</f>
        <v>51.3</v>
      </c>
      <c r="L436" s="137">
        <f>L437</f>
        <v>0</v>
      </c>
      <c r="M436" s="137">
        <f>M437</f>
        <v>51.3</v>
      </c>
    </row>
    <row r="437" spans="1:13" s="355" customFormat="1" ht="36" customHeight="1">
      <c r="A437" s="122"/>
      <c r="B437" s="135" t="s">
        <v>257</v>
      </c>
      <c r="C437" s="136" t="s">
        <v>609</v>
      </c>
      <c r="D437" s="121" t="s">
        <v>246</v>
      </c>
      <c r="E437" s="121" t="s">
        <v>57</v>
      </c>
      <c r="F437" s="734" t="s">
        <v>256</v>
      </c>
      <c r="G437" s="735" t="s">
        <v>65</v>
      </c>
      <c r="H437" s="735" t="s">
        <v>57</v>
      </c>
      <c r="I437" s="736" t="s">
        <v>320</v>
      </c>
      <c r="J437" s="121"/>
      <c r="K437" s="137">
        <f t="shared" si="101"/>
        <v>51.3</v>
      </c>
      <c r="L437" s="137">
        <f t="shared" si="101"/>
        <v>0</v>
      </c>
      <c r="M437" s="137">
        <f t="shared" si="101"/>
        <v>51.3</v>
      </c>
    </row>
    <row r="438" spans="1:13" s="355" customFormat="1" ht="54" customHeight="1">
      <c r="A438" s="122"/>
      <c r="B438" s="135" t="s">
        <v>97</v>
      </c>
      <c r="C438" s="136" t="s">
        <v>609</v>
      </c>
      <c r="D438" s="121" t="s">
        <v>246</v>
      </c>
      <c r="E438" s="121" t="s">
        <v>57</v>
      </c>
      <c r="F438" s="734" t="s">
        <v>256</v>
      </c>
      <c r="G438" s="735" t="s">
        <v>65</v>
      </c>
      <c r="H438" s="735" t="s">
        <v>57</v>
      </c>
      <c r="I438" s="736" t="s">
        <v>320</v>
      </c>
      <c r="J438" s="121" t="s">
        <v>98</v>
      </c>
      <c r="K438" s="137">
        <v>51.3</v>
      </c>
      <c r="L438" s="137">
        <f>M438-K438</f>
        <v>0</v>
      </c>
      <c r="M438" s="137">
        <v>51.3</v>
      </c>
    </row>
    <row r="439" spans="1:13" s="355" customFormat="1" ht="18" customHeight="1">
      <c r="A439" s="122"/>
      <c r="B439" s="135" t="s">
        <v>205</v>
      </c>
      <c r="C439" s="136" t="s">
        <v>609</v>
      </c>
      <c r="D439" s="121" t="s">
        <v>246</v>
      </c>
      <c r="E439" s="121" t="s">
        <v>59</v>
      </c>
      <c r="F439" s="734"/>
      <c r="G439" s="735"/>
      <c r="H439" s="735"/>
      <c r="I439" s="736"/>
      <c r="J439" s="121"/>
      <c r="K439" s="137">
        <f>K440</f>
        <v>624705.5</v>
      </c>
      <c r="L439" s="137">
        <f>L440</f>
        <v>13396.099999999989</v>
      </c>
      <c r="M439" s="137">
        <f>M440</f>
        <v>638101.6</v>
      </c>
    </row>
    <row r="440" spans="1:13" s="355" customFormat="1" ht="54" customHeight="1">
      <c r="A440" s="122"/>
      <c r="B440" s="135" t="s">
        <v>227</v>
      </c>
      <c r="C440" s="136" t="s">
        <v>609</v>
      </c>
      <c r="D440" s="121" t="s">
        <v>246</v>
      </c>
      <c r="E440" s="121" t="s">
        <v>59</v>
      </c>
      <c r="F440" s="734" t="s">
        <v>59</v>
      </c>
      <c r="G440" s="735" t="s">
        <v>62</v>
      </c>
      <c r="H440" s="735" t="s">
        <v>63</v>
      </c>
      <c r="I440" s="736" t="s">
        <v>64</v>
      </c>
      <c r="J440" s="121"/>
      <c r="K440" s="137">
        <f>K441+K484</f>
        <v>624705.5</v>
      </c>
      <c r="L440" s="137">
        <f>L441+L484</f>
        <v>13396.099999999989</v>
      </c>
      <c r="M440" s="137">
        <f>M441+M484</f>
        <v>638101.6</v>
      </c>
    </row>
    <row r="441" spans="1:13" s="355" customFormat="1" ht="36" customHeight="1">
      <c r="A441" s="122"/>
      <c r="B441" s="135" t="s">
        <v>228</v>
      </c>
      <c r="C441" s="136" t="s">
        <v>609</v>
      </c>
      <c r="D441" s="121" t="s">
        <v>246</v>
      </c>
      <c r="E441" s="121" t="s">
        <v>59</v>
      </c>
      <c r="F441" s="734" t="s">
        <v>59</v>
      </c>
      <c r="G441" s="735" t="s">
        <v>65</v>
      </c>
      <c r="H441" s="735" t="s">
        <v>63</v>
      </c>
      <c r="I441" s="736" t="s">
        <v>64</v>
      </c>
      <c r="J441" s="121"/>
      <c r="K441" s="137">
        <f>K442+K481</f>
        <v>622347.5</v>
      </c>
      <c r="L441" s="137">
        <f>L442+L481</f>
        <v>13396.099999999989</v>
      </c>
      <c r="M441" s="137">
        <f>M442+M481</f>
        <v>635743.6</v>
      </c>
    </row>
    <row r="442" spans="1:13" s="355" customFormat="1" ht="18.75" customHeight="1">
      <c r="A442" s="122"/>
      <c r="B442" s="135" t="s">
        <v>312</v>
      </c>
      <c r="C442" s="136" t="s">
        <v>609</v>
      </c>
      <c r="D442" s="121" t="s">
        <v>246</v>
      </c>
      <c r="E442" s="121" t="s">
        <v>59</v>
      </c>
      <c r="F442" s="734" t="s">
        <v>59</v>
      </c>
      <c r="G442" s="735" t="s">
        <v>65</v>
      </c>
      <c r="H442" s="735" t="s">
        <v>59</v>
      </c>
      <c r="I442" s="736" t="s">
        <v>64</v>
      </c>
      <c r="J442" s="121"/>
      <c r="K442" s="137">
        <f t="shared" ref="K442" si="102">K451+K454+K462+K466+K470+K443+K448+K476+K459+K473+K479</f>
        <v>622047.5</v>
      </c>
      <c r="L442" s="137">
        <f t="shared" ref="L442:M442" si="103">L451+L454+L462+L466+L470+L443+L448+L476+L459+L473+L479</f>
        <v>13396.099999999989</v>
      </c>
      <c r="M442" s="137">
        <f t="shared" si="103"/>
        <v>635443.6</v>
      </c>
    </row>
    <row r="443" spans="1:13" s="351" customFormat="1" ht="35.25" customHeight="1">
      <c r="A443" s="122"/>
      <c r="B443" s="138" t="s">
        <v>795</v>
      </c>
      <c r="C443" s="136" t="s">
        <v>609</v>
      </c>
      <c r="D443" s="121" t="s">
        <v>246</v>
      </c>
      <c r="E443" s="121" t="s">
        <v>59</v>
      </c>
      <c r="F443" s="734" t="s">
        <v>59</v>
      </c>
      <c r="G443" s="735" t="s">
        <v>65</v>
      </c>
      <c r="H443" s="735" t="s">
        <v>59</v>
      </c>
      <c r="I443" s="736" t="s">
        <v>112</v>
      </c>
      <c r="J443" s="121"/>
      <c r="K443" s="137">
        <f>K446+K447+K445+K444</f>
        <v>59603.4</v>
      </c>
      <c r="L443" s="137">
        <f>L446+L447+L445+L444</f>
        <v>2383.0999999999894</v>
      </c>
      <c r="M443" s="137">
        <f>M446+M447+M445+M444</f>
        <v>61986.499999999993</v>
      </c>
    </row>
    <row r="444" spans="1:13" s="351" customFormat="1" ht="101.45" customHeight="1">
      <c r="A444" s="122"/>
      <c r="B444" s="135" t="s">
        <v>69</v>
      </c>
      <c r="C444" s="136" t="s">
        <v>609</v>
      </c>
      <c r="D444" s="121" t="s">
        <v>246</v>
      </c>
      <c r="E444" s="121" t="s">
        <v>59</v>
      </c>
      <c r="F444" s="734" t="s">
        <v>59</v>
      </c>
      <c r="G444" s="735" t="s">
        <v>65</v>
      </c>
      <c r="H444" s="735" t="s">
        <v>59</v>
      </c>
      <c r="I444" s="736" t="s">
        <v>112</v>
      </c>
      <c r="J444" s="121" t="s">
        <v>70</v>
      </c>
      <c r="K444" s="137">
        <v>899.4</v>
      </c>
      <c r="L444" s="137">
        <f t="shared" ref="L444:L447" si="104">M444-K444</f>
        <v>0</v>
      </c>
      <c r="M444" s="137">
        <v>899.4</v>
      </c>
    </row>
    <row r="445" spans="1:13" s="351" customFormat="1" ht="56.25" customHeight="1">
      <c r="A445" s="122"/>
      <c r="B445" s="135" t="s">
        <v>75</v>
      </c>
      <c r="C445" s="136" t="s">
        <v>609</v>
      </c>
      <c r="D445" s="121" t="s">
        <v>246</v>
      </c>
      <c r="E445" s="121" t="s">
        <v>59</v>
      </c>
      <c r="F445" s="734" t="s">
        <v>59</v>
      </c>
      <c r="G445" s="735" t="s">
        <v>65</v>
      </c>
      <c r="H445" s="735" t="s">
        <v>59</v>
      </c>
      <c r="I445" s="736" t="s">
        <v>112</v>
      </c>
      <c r="J445" s="121" t="s">
        <v>76</v>
      </c>
      <c r="K445" s="137">
        <f>4103.4+3.5+15.2-30+597.5-30+72</f>
        <v>4731.5999999999995</v>
      </c>
      <c r="L445" s="137">
        <f t="shared" si="104"/>
        <v>691.39999999999964</v>
      </c>
      <c r="M445" s="137">
        <f>4103.4+3.5+15.2-30+597.5-30+72+691.5-0.1</f>
        <v>5422.9999999999991</v>
      </c>
    </row>
    <row r="446" spans="1:13" s="351" customFormat="1" ht="56.25" customHeight="1">
      <c r="A446" s="122"/>
      <c r="B446" s="135" t="s">
        <v>97</v>
      </c>
      <c r="C446" s="136" t="s">
        <v>609</v>
      </c>
      <c r="D446" s="121" t="s">
        <v>246</v>
      </c>
      <c r="E446" s="121" t="s">
        <v>59</v>
      </c>
      <c r="F446" s="734" t="s">
        <v>59</v>
      </c>
      <c r="G446" s="735" t="s">
        <v>65</v>
      </c>
      <c r="H446" s="735" t="s">
        <v>59</v>
      </c>
      <c r="I446" s="736" t="s">
        <v>112</v>
      </c>
      <c r="J446" s="121" t="s">
        <v>98</v>
      </c>
      <c r="K446" s="137">
        <f>51541.3+648-597.5+78.6+373.7+283.9+761.1+70.9+169.9</f>
        <v>53329.9</v>
      </c>
      <c r="L446" s="137">
        <f t="shared" si="104"/>
        <v>1691.6999999999898</v>
      </c>
      <c r="M446" s="137">
        <f>51541.3+648-597.5+78.6+373.7+283.9+761.1+70.9+169.9+333.2+53.7+325.6+10.4+22.5+1004.1-57.8</f>
        <v>55021.599999999991</v>
      </c>
    </row>
    <row r="447" spans="1:13" s="351" customFormat="1" ht="18.75" customHeight="1">
      <c r="A447" s="122"/>
      <c r="B447" s="135" t="s">
        <v>77</v>
      </c>
      <c r="C447" s="136" t="s">
        <v>609</v>
      </c>
      <c r="D447" s="121" t="s">
        <v>246</v>
      </c>
      <c r="E447" s="121" t="s">
        <v>59</v>
      </c>
      <c r="F447" s="734" t="s">
        <v>59</v>
      </c>
      <c r="G447" s="735" t="s">
        <v>65</v>
      </c>
      <c r="H447" s="735" t="s">
        <v>59</v>
      </c>
      <c r="I447" s="736" t="s">
        <v>112</v>
      </c>
      <c r="J447" s="121" t="s">
        <v>78</v>
      </c>
      <c r="K447" s="137">
        <f>629+30+30-46.5</f>
        <v>642.5</v>
      </c>
      <c r="L447" s="137">
        <f t="shared" si="104"/>
        <v>0</v>
      </c>
      <c r="M447" s="137">
        <f>629+30+30-46.5</f>
        <v>642.5</v>
      </c>
    </row>
    <row r="448" spans="1:13" s="351" customFormat="1" ht="20.25" customHeight="1">
      <c r="A448" s="122"/>
      <c r="B448" s="135" t="s">
        <v>796</v>
      </c>
      <c r="C448" s="136" t="s">
        <v>609</v>
      </c>
      <c r="D448" s="121" t="s">
        <v>246</v>
      </c>
      <c r="E448" s="121" t="s">
        <v>59</v>
      </c>
      <c r="F448" s="734" t="s">
        <v>59</v>
      </c>
      <c r="G448" s="735" t="s">
        <v>65</v>
      </c>
      <c r="H448" s="735" t="s">
        <v>59</v>
      </c>
      <c r="I448" s="736" t="s">
        <v>479</v>
      </c>
      <c r="J448" s="121"/>
      <c r="K448" s="137">
        <f>K450+K449</f>
        <v>6373.1000000000013</v>
      </c>
      <c r="L448" s="137">
        <f>L450+L449</f>
        <v>10023.299999999999</v>
      </c>
      <c r="M448" s="137">
        <f>M450+M449</f>
        <v>16396.400000000001</v>
      </c>
    </row>
    <row r="449" spans="1:13" s="351" customFormat="1" ht="37.9" customHeight="1">
      <c r="A449" s="122"/>
      <c r="B449" s="135" t="s">
        <v>75</v>
      </c>
      <c r="C449" s="136" t="s">
        <v>609</v>
      </c>
      <c r="D449" s="121" t="s">
        <v>246</v>
      </c>
      <c r="E449" s="121" t="s">
        <v>59</v>
      </c>
      <c r="F449" s="734" t="s">
        <v>59</v>
      </c>
      <c r="G449" s="735" t="s">
        <v>65</v>
      </c>
      <c r="H449" s="735" t="s">
        <v>59</v>
      </c>
      <c r="I449" s="736" t="s">
        <v>479</v>
      </c>
      <c r="J449" s="121" t="s">
        <v>76</v>
      </c>
      <c r="K449" s="137">
        <f>686.1+796+266.1</f>
        <v>1748.1999999999998</v>
      </c>
      <c r="L449" s="137">
        <f t="shared" ref="L449:L450" si="105">M449-K449</f>
        <v>377.30000000000018</v>
      </c>
      <c r="M449" s="137">
        <f>686.1+796+266.1+377.3</f>
        <v>2125.5</v>
      </c>
    </row>
    <row r="450" spans="1:13" s="351" customFormat="1" ht="56.25" customHeight="1">
      <c r="A450" s="122"/>
      <c r="B450" s="135" t="s">
        <v>97</v>
      </c>
      <c r="C450" s="136" t="s">
        <v>609</v>
      </c>
      <c r="D450" s="121" t="s">
        <v>246</v>
      </c>
      <c r="E450" s="121" t="s">
        <v>59</v>
      </c>
      <c r="F450" s="734" t="s">
        <v>59</v>
      </c>
      <c r="G450" s="735" t="s">
        <v>65</v>
      </c>
      <c r="H450" s="735" t="s">
        <v>59</v>
      </c>
      <c r="I450" s="736" t="s">
        <v>479</v>
      </c>
      <c r="J450" s="121" t="s">
        <v>98</v>
      </c>
      <c r="K450" s="137">
        <f>2849.8+25.3-256.4-340.6-517.7+406.5+173.4+439-298.5-340.9+557.3+575.3+1232.4+120</f>
        <v>4624.9000000000015</v>
      </c>
      <c r="L450" s="137">
        <f t="shared" si="105"/>
        <v>9646</v>
      </c>
      <c r="M450" s="137">
        <f>2849.8+25.3-256.4-340.6-517.7+406.5+173.4+439-298.5-340.9+557.3+575.3+1232.4+120+598.4+577+1573.5+555.2+6148.4+193.5</f>
        <v>14270.900000000001</v>
      </c>
    </row>
    <row r="451" spans="1:13" s="355" customFormat="1" ht="56.25" customHeight="1">
      <c r="A451" s="122"/>
      <c r="B451" s="135" t="s">
        <v>229</v>
      </c>
      <c r="C451" s="136" t="s">
        <v>609</v>
      </c>
      <c r="D451" s="121" t="s">
        <v>246</v>
      </c>
      <c r="E451" s="121" t="s">
        <v>59</v>
      </c>
      <c r="F451" s="734" t="s">
        <v>59</v>
      </c>
      <c r="G451" s="735" t="s">
        <v>65</v>
      </c>
      <c r="H451" s="735" t="s">
        <v>59</v>
      </c>
      <c r="I451" s="736" t="s">
        <v>313</v>
      </c>
      <c r="J451" s="121"/>
      <c r="K451" s="137">
        <f t="shared" ref="K451" si="106">SUM(K452:K453)</f>
        <v>23384.6</v>
      </c>
      <c r="L451" s="137">
        <f t="shared" ref="L451:M451" si="107">SUM(L452:L453)</f>
        <v>550.29999999999927</v>
      </c>
      <c r="M451" s="137">
        <f t="shared" si="107"/>
        <v>23934.899999999998</v>
      </c>
    </row>
    <row r="452" spans="1:13" s="355" customFormat="1" ht="56.25" customHeight="1">
      <c r="A452" s="122"/>
      <c r="B452" s="135" t="s">
        <v>75</v>
      </c>
      <c r="C452" s="136" t="s">
        <v>609</v>
      </c>
      <c r="D452" s="121" t="s">
        <v>246</v>
      </c>
      <c r="E452" s="121" t="s">
        <v>59</v>
      </c>
      <c r="F452" s="734" t="s">
        <v>59</v>
      </c>
      <c r="G452" s="735" t="s">
        <v>65</v>
      </c>
      <c r="H452" s="735" t="s">
        <v>59</v>
      </c>
      <c r="I452" s="736" t="s">
        <v>313</v>
      </c>
      <c r="J452" s="121" t="s">
        <v>76</v>
      </c>
      <c r="K452" s="137">
        <f>3504+10</f>
        <v>3514</v>
      </c>
      <c r="L452" s="137">
        <f t="shared" ref="L452:L453" si="108">M452-K452</f>
        <v>0</v>
      </c>
      <c r="M452" s="137">
        <f>3504+10</f>
        <v>3514</v>
      </c>
    </row>
    <row r="453" spans="1:13" s="355" customFormat="1" ht="56.25" customHeight="1">
      <c r="A453" s="122"/>
      <c r="B453" s="135" t="s">
        <v>97</v>
      </c>
      <c r="C453" s="136" t="s">
        <v>609</v>
      </c>
      <c r="D453" s="121" t="s">
        <v>246</v>
      </c>
      <c r="E453" s="121" t="s">
        <v>59</v>
      </c>
      <c r="F453" s="734" t="s">
        <v>59</v>
      </c>
      <c r="G453" s="735" t="s">
        <v>65</v>
      </c>
      <c r="H453" s="735" t="s">
        <v>59</v>
      </c>
      <c r="I453" s="736" t="s">
        <v>313</v>
      </c>
      <c r="J453" s="121" t="s">
        <v>98</v>
      </c>
      <c r="K453" s="137">
        <f>19684.1+5+181.5</f>
        <v>19870.599999999999</v>
      </c>
      <c r="L453" s="137">
        <f t="shared" si="108"/>
        <v>550.29999999999927</v>
      </c>
      <c r="M453" s="137">
        <f>19684.1+5+181.5+178.7+78.8+292.8</f>
        <v>20420.899999999998</v>
      </c>
    </row>
    <row r="454" spans="1:13" s="355" customFormat="1" ht="37.5" customHeight="1">
      <c r="A454" s="122"/>
      <c r="B454" s="135" t="s">
        <v>230</v>
      </c>
      <c r="C454" s="136" t="s">
        <v>609</v>
      </c>
      <c r="D454" s="121" t="s">
        <v>246</v>
      </c>
      <c r="E454" s="121" t="s">
        <v>59</v>
      </c>
      <c r="F454" s="734" t="s">
        <v>59</v>
      </c>
      <c r="G454" s="735" t="s">
        <v>65</v>
      </c>
      <c r="H454" s="735" t="s">
        <v>59</v>
      </c>
      <c r="I454" s="736" t="s">
        <v>314</v>
      </c>
      <c r="J454" s="121"/>
      <c r="K454" s="137">
        <f>SUM(K455:K458)</f>
        <v>21249.8</v>
      </c>
      <c r="L454" s="137">
        <f>SUM(L455:L458)</f>
        <v>973.40000000000146</v>
      </c>
      <c r="M454" s="137">
        <f>SUM(M455:M458)</f>
        <v>22223.200000000001</v>
      </c>
    </row>
    <row r="455" spans="1:13" s="355" customFormat="1" ht="56.25" customHeight="1">
      <c r="A455" s="122"/>
      <c r="B455" s="135" t="s">
        <v>75</v>
      </c>
      <c r="C455" s="136" t="s">
        <v>609</v>
      </c>
      <c r="D455" s="121" t="s">
        <v>246</v>
      </c>
      <c r="E455" s="121" t="s">
        <v>59</v>
      </c>
      <c r="F455" s="734" t="s">
        <v>59</v>
      </c>
      <c r="G455" s="735" t="s">
        <v>65</v>
      </c>
      <c r="H455" s="735" t="s">
        <v>59</v>
      </c>
      <c r="I455" s="736" t="s">
        <v>314</v>
      </c>
      <c r="J455" s="121" t="s">
        <v>76</v>
      </c>
      <c r="K455" s="137">
        <f>178+109.9+12.3+34.2+3.4</f>
        <v>337.79999999999995</v>
      </c>
      <c r="L455" s="137">
        <f t="shared" ref="L455:L458" si="109">M455-K455</f>
        <v>0</v>
      </c>
      <c r="M455" s="137">
        <f>178+109.9+12.3+34.2+3.4</f>
        <v>337.79999999999995</v>
      </c>
    </row>
    <row r="456" spans="1:13" s="355" customFormat="1" ht="37.5" customHeight="1">
      <c r="A456" s="122"/>
      <c r="B456" s="135" t="s">
        <v>141</v>
      </c>
      <c r="C456" s="136" t="s">
        <v>609</v>
      </c>
      <c r="D456" s="121" t="s">
        <v>246</v>
      </c>
      <c r="E456" s="121" t="s">
        <v>59</v>
      </c>
      <c r="F456" s="734" t="s">
        <v>59</v>
      </c>
      <c r="G456" s="735" t="s">
        <v>65</v>
      </c>
      <c r="H456" s="735" t="s">
        <v>59</v>
      </c>
      <c r="I456" s="736" t="s">
        <v>314</v>
      </c>
      <c r="J456" s="121" t="s">
        <v>142</v>
      </c>
      <c r="K456" s="137">
        <f>3.1+8.3+15.5</f>
        <v>26.9</v>
      </c>
      <c r="L456" s="137">
        <f t="shared" si="109"/>
        <v>0</v>
      </c>
      <c r="M456" s="137">
        <f>3.1+8.3+15.5</f>
        <v>26.9</v>
      </c>
    </row>
    <row r="457" spans="1:13" s="355" customFormat="1" ht="56.25" customHeight="1">
      <c r="A457" s="122"/>
      <c r="B457" s="332" t="s">
        <v>225</v>
      </c>
      <c r="C457" s="136" t="s">
        <v>609</v>
      </c>
      <c r="D457" s="121" t="s">
        <v>246</v>
      </c>
      <c r="E457" s="121" t="s">
        <v>59</v>
      </c>
      <c r="F457" s="734" t="s">
        <v>59</v>
      </c>
      <c r="G457" s="735" t="s">
        <v>65</v>
      </c>
      <c r="H457" s="735" t="s">
        <v>59</v>
      </c>
      <c r="I457" s="736" t="s">
        <v>314</v>
      </c>
      <c r="J457" s="121" t="s">
        <v>226</v>
      </c>
      <c r="K457" s="137">
        <f>3200+32.5+32.5+90+353</f>
        <v>3708</v>
      </c>
      <c r="L457" s="137">
        <f t="shared" si="109"/>
        <v>344</v>
      </c>
      <c r="M457" s="137">
        <f>3200+32.5+32.5+90+353+247+97</f>
        <v>4052</v>
      </c>
    </row>
    <row r="458" spans="1:13" s="355" customFormat="1" ht="56.25" customHeight="1">
      <c r="A458" s="122"/>
      <c r="B458" s="135" t="s">
        <v>97</v>
      </c>
      <c r="C458" s="136" t="s">
        <v>609</v>
      </c>
      <c r="D458" s="121" t="s">
        <v>246</v>
      </c>
      <c r="E458" s="121" t="s">
        <v>59</v>
      </c>
      <c r="F458" s="734" t="s">
        <v>59</v>
      </c>
      <c r="G458" s="735" t="s">
        <v>65</v>
      </c>
      <c r="H458" s="735" t="s">
        <v>59</v>
      </c>
      <c r="I458" s="736" t="s">
        <v>314</v>
      </c>
      <c r="J458" s="121" t="s">
        <v>98</v>
      </c>
      <c r="K458" s="137">
        <f>4519.4+200+5764.8-15.4+5764.4+372.1+571.8</f>
        <v>17177.099999999999</v>
      </c>
      <c r="L458" s="137">
        <f t="shared" si="109"/>
        <v>629.40000000000146</v>
      </c>
      <c r="M458" s="137">
        <f>4519.4+200+5764.8-15.4+5764.4+372.1+571.8+469.4+160</f>
        <v>17806.5</v>
      </c>
    </row>
    <row r="459" spans="1:13" s="355" customFormat="1" ht="71.25" customHeight="1">
      <c r="A459" s="122"/>
      <c r="B459" s="135" t="s">
        <v>889</v>
      </c>
      <c r="C459" s="136" t="s">
        <v>609</v>
      </c>
      <c r="D459" s="121" t="s">
        <v>246</v>
      </c>
      <c r="E459" s="121" t="s">
        <v>59</v>
      </c>
      <c r="F459" s="734" t="s">
        <v>59</v>
      </c>
      <c r="G459" s="735" t="s">
        <v>65</v>
      </c>
      <c r="H459" s="735" t="s">
        <v>59</v>
      </c>
      <c r="I459" s="736" t="s">
        <v>888</v>
      </c>
      <c r="J459" s="121"/>
      <c r="K459" s="137">
        <f>K460+K461</f>
        <v>36560.199999999997</v>
      </c>
      <c r="L459" s="137">
        <f>L460+L461</f>
        <v>0</v>
      </c>
      <c r="M459" s="137">
        <f>M460+M461</f>
        <v>36560.199999999997</v>
      </c>
    </row>
    <row r="460" spans="1:13" s="355" customFormat="1" ht="111" customHeight="1">
      <c r="A460" s="122"/>
      <c r="B460" s="135" t="s">
        <v>69</v>
      </c>
      <c r="C460" s="136" t="s">
        <v>609</v>
      </c>
      <c r="D460" s="121" t="s">
        <v>246</v>
      </c>
      <c r="E460" s="121" t="s">
        <v>59</v>
      </c>
      <c r="F460" s="734" t="s">
        <v>59</v>
      </c>
      <c r="G460" s="735" t="s">
        <v>65</v>
      </c>
      <c r="H460" s="735" t="s">
        <v>59</v>
      </c>
      <c r="I460" s="736" t="s">
        <v>888</v>
      </c>
      <c r="J460" s="121" t="s">
        <v>70</v>
      </c>
      <c r="K460" s="137">
        <v>2968.6</v>
      </c>
      <c r="L460" s="137">
        <f t="shared" ref="L460:L461" si="110">M460-K460</f>
        <v>0</v>
      </c>
      <c r="M460" s="137">
        <v>2968.6</v>
      </c>
    </row>
    <row r="461" spans="1:13" s="355" customFormat="1" ht="56.25" customHeight="1">
      <c r="A461" s="122"/>
      <c r="B461" s="135" t="s">
        <v>97</v>
      </c>
      <c r="C461" s="136" t="s">
        <v>609</v>
      </c>
      <c r="D461" s="121" t="s">
        <v>246</v>
      </c>
      <c r="E461" s="121" t="s">
        <v>59</v>
      </c>
      <c r="F461" s="734" t="s">
        <v>59</v>
      </c>
      <c r="G461" s="735" t="s">
        <v>65</v>
      </c>
      <c r="H461" s="735" t="s">
        <v>59</v>
      </c>
      <c r="I461" s="736" t="s">
        <v>888</v>
      </c>
      <c r="J461" s="121" t="s">
        <v>98</v>
      </c>
      <c r="K461" s="137">
        <v>33591.599999999999</v>
      </c>
      <c r="L461" s="137">
        <f t="shared" si="110"/>
        <v>0</v>
      </c>
      <c r="M461" s="137">
        <v>33591.599999999999</v>
      </c>
    </row>
    <row r="462" spans="1:13" s="355" customFormat="1" ht="181.15" customHeight="1">
      <c r="A462" s="122"/>
      <c r="B462" s="135" t="s">
        <v>308</v>
      </c>
      <c r="C462" s="136" t="s">
        <v>609</v>
      </c>
      <c r="D462" s="121" t="s">
        <v>246</v>
      </c>
      <c r="E462" s="121" t="s">
        <v>59</v>
      </c>
      <c r="F462" s="734" t="s">
        <v>59</v>
      </c>
      <c r="G462" s="735" t="s">
        <v>65</v>
      </c>
      <c r="H462" s="735" t="s">
        <v>59</v>
      </c>
      <c r="I462" s="736" t="s">
        <v>309</v>
      </c>
      <c r="J462" s="121"/>
      <c r="K462" s="137">
        <f>SUM(K463:K465)</f>
        <v>1577.8</v>
      </c>
      <c r="L462" s="137">
        <f>SUM(L463:L465)</f>
        <v>-117.99999999999991</v>
      </c>
      <c r="M462" s="137">
        <f>SUM(M463:M465)</f>
        <v>1459.8</v>
      </c>
    </row>
    <row r="463" spans="1:13" s="355" customFormat="1" ht="112.5" customHeight="1">
      <c r="A463" s="122"/>
      <c r="B463" s="135" t="s">
        <v>69</v>
      </c>
      <c r="C463" s="136" t="s">
        <v>609</v>
      </c>
      <c r="D463" s="121" t="s">
        <v>246</v>
      </c>
      <c r="E463" s="121" t="s">
        <v>59</v>
      </c>
      <c r="F463" s="734" t="s">
        <v>59</v>
      </c>
      <c r="G463" s="735" t="s">
        <v>65</v>
      </c>
      <c r="H463" s="735" t="s">
        <v>59</v>
      </c>
      <c r="I463" s="736" t="s">
        <v>309</v>
      </c>
      <c r="J463" s="121" t="s">
        <v>70</v>
      </c>
      <c r="K463" s="137">
        <v>115.8</v>
      </c>
      <c r="L463" s="137">
        <f t="shared" ref="L463:L465" si="111">M463-K463</f>
        <v>-16.100000000000009</v>
      </c>
      <c r="M463" s="137">
        <f>115.8-16.1</f>
        <v>99.699999999999989</v>
      </c>
    </row>
    <row r="464" spans="1:13" s="355" customFormat="1" ht="37.5" customHeight="1">
      <c r="A464" s="122"/>
      <c r="B464" s="135" t="s">
        <v>141</v>
      </c>
      <c r="C464" s="136" t="s">
        <v>609</v>
      </c>
      <c r="D464" s="121" t="s">
        <v>246</v>
      </c>
      <c r="E464" s="121" t="s">
        <v>59</v>
      </c>
      <c r="F464" s="734" t="s">
        <v>59</v>
      </c>
      <c r="G464" s="735" t="s">
        <v>65</v>
      </c>
      <c r="H464" s="735" t="s">
        <v>59</v>
      </c>
      <c r="I464" s="736" t="s">
        <v>309</v>
      </c>
      <c r="J464" s="121" t="s">
        <v>142</v>
      </c>
      <c r="K464" s="137">
        <v>13.9</v>
      </c>
      <c r="L464" s="137">
        <f t="shared" si="111"/>
        <v>-7.3</v>
      </c>
      <c r="M464" s="137">
        <f>13.9-7.3</f>
        <v>6.6000000000000005</v>
      </c>
    </row>
    <row r="465" spans="1:13" s="355" customFormat="1" ht="56.25" customHeight="1">
      <c r="A465" s="122"/>
      <c r="B465" s="135" t="s">
        <v>97</v>
      </c>
      <c r="C465" s="136" t="s">
        <v>609</v>
      </c>
      <c r="D465" s="121" t="s">
        <v>246</v>
      </c>
      <c r="E465" s="121" t="s">
        <v>59</v>
      </c>
      <c r="F465" s="734" t="s">
        <v>59</v>
      </c>
      <c r="G465" s="735" t="s">
        <v>65</v>
      </c>
      <c r="H465" s="735" t="s">
        <v>59</v>
      </c>
      <c r="I465" s="736" t="s">
        <v>309</v>
      </c>
      <c r="J465" s="121" t="s">
        <v>98</v>
      </c>
      <c r="K465" s="137">
        <v>1448.1</v>
      </c>
      <c r="L465" s="137">
        <f t="shared" si="111"/>
        <v>-94.599999999999909</v>
      </c>
      <c r="M465" s="137">
        <f>1448.1-94.6</f>
        <v>1353.5</v>
      </c>
    </row>
    <row r="466" spans="1:13" s="355" customFormat="1" ht="115.5" customHeight="1">
      <c r="A466" s="122"/>
      <c r="B466" s="135" t="s">
        <v>415</v>
      </c>
      <c r="C466" s="136" t="s">
        <v>609</v>
      </c>
      <c r="D466" s="121" t="s">
        <v>246</v>
      </c>
      <c r="E466" s="121" t="s">
        <v>59</v>
      </c>
      <c r="F466" s="734" t="s">
        <v>59</v>
      </c>
      <c r="G466" s="735" t="s">
        <v>65</v>
      </c>
      <c r="H466" s="735" t="s">
        <v>59</v>
      </c>
      <c r="I466" s="736" t="s">
        <v>310</v>
      </c>
      <c r="J466" s="121"/>
      <c r="K466" s="137">
        <f>K467+K468+K469</f>
        <v>404790.7</v>
      </c>
      <c r="L466" s="137">
        <f>L467+L468+L469</f>
        <v>0</v>
      </c>
      <c r="M466" s="137">
        <f>M467+M468+M469</f>
        <v>404790.7</v>
      </c>
    </row>
    <row r="467" spans="1:13" s="355" customFormat="1" ht="112.5" customHeight="1">
      <c r="A467" s="122"/>
      <c r="B467" s="135" t="s">
        <v>69</v>
      </c>
      <c r="C467" s="136" t="s">
        <v>609</v>
      </c>
      <c r="D467" s="121" t="s">
        <v>246</v>
      </c>
      <c r="E467" s="121" t="s">
        <v>59</v>
      </c>
      <c r="F467" s="734" t="s">
        <v>59</v>
      </c>
      <c r="G467" s="735" t="s">
        <v>65</v>
      </c>
      <c r="H467" s="735" t="s">
        <v>59</v>
      </c>
      <c r="I467" s="736" t="s">
        <v>310</v>
      </c>
      <c r="J467" s="121" t="s">
        <v>70</v>
      </c>
      <c r="K467" s="137">
        <f>27962-29.3</f>
        <v>27932.7</v>
      </c>
      <c r="L467" s="137">
        <f t="shared" ref="L467:L469" si="112">M467-K467</f>
        <v>0</v>
      </c>
      <c r="M467" s="137">
        <f>27962-29.3</f>
        <v>27932.7</v>
      </c>
    </row>
    <row r="468" spans="1:13" s="355" customFormat="1" ht="56.25" customHeight="1">
      <c r="A468" s="122"/>
      <c r="B468" s="135" t="s">
        <v>75</v>
      </c>
      <c r="C468" s="136" t="s">
        <v>609</v>
      </c>
      <c r="D468" s="121" t="s">
        <v>246</v>
      </c>
      <c r="E468" s="121" t="s">
        <v>59</v>
      </c>
      <c r="F468" s="734" t="s">
        <v>59</v>
      </c>
      <c r="G468" s="735" t="s">
        <v>65</v>
      </c>
      <c r="H468" s="735" t="s">
        <v>59</v>
      </c>
      <c r="I468" s="736" t="s">
        <v>310</v>
      </c>
      <c r="J468" s="121" t="s">
        <v>76</v>
      </c>
      <c r="K468" s="137">
        <f>1898.4+29.3</f>
        <v>1927.7</v>
      </c>
      <c r="L468" s="137">
        <f t="shared" si="112"/>
        <v>0</v>
      </c>
      <c r="M468" s="137">
        <f>1898.4+29.3</f>
        <v>1927.7</v>
      </c>
    </row>
    <row r="469" spans="1:13" s="355" customFormat="1" ht="56.25" customHeight="1">
      <c r="A469" s="122"/>
      <c r="B469" s="135" t="s">
        <v>97</v>
      </c>
      <c r="C469" s="136" t="s">
        <v>609</v>
      </c>
      <c r="D469" s="121" t="s">
        <v>246</v>
      </c>
      <c r="E469" s="121" t="s">
        <v>59</v>
      </c>
      <c r="F469" s="734" t="s">
        <v>59</v>
      </c>
      <c r="G469" s="735" t="s">
        <v>65</v>
      </c>
      <c r="H469" s="735" t="s">
        <v>59</v>
      </c>
      <c r="I469" s="736" t="s">
        <v>310</v>
      </c>
      <c r="J469" s="121" t="s">
        <v>98</v>
      </c>
      <c r="K469" s="137">
        <v>374930.3</v>
      </c>
      <c r="L469" s="137">
        <f t="shared" si="112"/>
        <v>0</v>
      </c>
      <c r="M469" s="137">
        <v>374930.3</v>
      </c>
    </row>
    <row r="470" spans="1:13" s="351" customFormat="1" ht="93.75" customHeight="1">
      <c r="A470" s="122"/>
      <c r="B470" s="135" t="s">
        <v>231</v>
      </c>
      <c r="C470" s="136" t="s">
        <v>609</v>
      </c>
      <c r="D470" s="121" t="s">
        <v>246</v>
      </c>
      <c r="E470" s="121" t="s">
        <v>59</v>
      </c>
      <c r="F470" s="734" t="s">
        <v>59</v>
      </c>
      <c r="G470" s="735" t="s">
        <v>65</v>
      </c>
      <c r="H470" s="735" t="s">
        <v>59</v>
      </c>
      <c r="I470" s="736" t="s">
        <v>315</v>
      </c>
      <c r="J470" s="121"/>
      <c r="K470" s="137">
        <f t="shared" ref="K470" si="113">SUM(K471:K472)</f>
        <v>2399</v>
      </c>
      <c r="L470" s="137">
        <f t="shared" ref="L470:M470" si="114">SUM(L471:L472)</f>
        <v>-416.00000000000011</v>
      </c>
      <c r="M470" s="137">
        <f t="shared" si="114"/>
        <v>1982.9999999999998</v>
      </c>
    </row>
    <row r="471" spans="1:13" s="351" customFormat="1" ht="56.25" customHeight="1">
      <c r="A471" s="122"/>
      <c r="B471" s="135" t="s">
        <v>75</v>
      </c>
      <c r="C471" s="136" t="s">
        <v>609</v>
      </c>
      <c r="D471" s="121" t="s">
        <v>246</v>
      </c>
      <c r="E471" s="121" t="s">
        <v>59</v>
      </c>
      <c r="F471" s="734" t="s">
        <v>59</v>
      </c>
      <c r="G471" s="735" t="s">
        <v>65</v>
      </c>
      <c r="H471" s="735" t="s">
        <v>59</v>
      </c>
      <c r="I471" s="736" t="s">
        <v>315</v>
      </c>
      <c r="J471" s="121" t="s">
        <v>76</v>
      </c>
      <c r="K471" s="137">
        <v>104.8</v>
      </c>
      <c r="L471" s="137">
        <f t="shared" ref="L471:L475" si="115">M471-K471</f>
        <v>-11.599999999999994</v>
      </c>
      <c r="M471" s="137">
        <f>104.8-11.6</f>
        <v>93.2</v>
      </c>
    </row>
    <row r="472" spans="1:13" s="351" customFormat="1" ht="56.25" customHeight="1">
      <c r="A472" s="122"/>
      <c r="B472" s="135" t="s">
        <v>97</v>
      </c>
      <c r="C472" s="136" t="s">
        <v>609</v>
      </c>
      <c r="D472" s="121" t="s">
        <v>246</v>
      </c>
      <c r="E472" s="121" t="s">
        <v>59</v>
      </c>
      <c r="F472" s="734" t="s">
        <v>59</v>
      </c>
      <c r="G472" s="735" t="s">
        <v>65</v>
      </c>
      <c r="H472" s="735" t="s">
        <v>59</v>
      </c>
      <c r="I472" s="736" t="s">
        <v>315</v>
      </c>
      <c r="J472" s="121" t="s">
        <v>98</v>
      </c>
      <c r="K472" s="137">
        <v>2294.1999999999998</v>
      </c>
      <c r="L472" s="137">
        <f t="shared" si="115"/>
        <v>-404.40000000000009</v>
      </c>
      <c r="M472" s="137">
        <f>2294.2-404.4</f>
        <v>1889.7999999999997</v>
      </c>
    </row>
    <row r="473" spans="1:13" s="351" customFormat="1" ht="56.25" customHeight="1">
      <c r="A473" s="122"/>
      <c r="B473" s="135" t="s">
        <v>1005</v>
      </c>
      <c r="C473" s="136" t="s">
        <v>609</v>
      </c>
      <c r="D473" s="121" t="s">
        <v>246</v>
      </c>
      <c r="E473" s="121" t="s">
        <v>59</v>
      </c>
      <c r="F473" s="734" t="s">
        <v>59</v>
      </c>
      <c r="G473" s="735" t="s">
        <v>65</v>
      </c>
      <c r="H473" s="735" t="s">
        <v>59</v>
      </c>
      <c r="I473" s="736" t="s">
        <v>1006</v>
      </c>
      <c r="J473" s="121"/>
      <c r="K473" s="137">
        <f>K474+K475</f>
        <v>6665</v>
      </c>
      <c r="L473" s="137">
        <f>L474+L475</f>
        <v>0</v>
      </c>
      <c r="M473" s="137">
        <f>M474+M475</f>
        <v>6665</v>
      </c>
    </row>
    <row r="474" spans="1:13" s="351" customFormat="1" ht="56.25" customHeight="1">
      <c r="A474" s="122"/>
      <c r="B474" s="135" t="s">
        <v>75</v>
      </c>
      <c r="C474" s="136" t="s">
        <v>609</v>
      </c>
      <c r="D474" s="121" t="s">
        <v>246</v>
      </c>
      <c r="E474" s="121" t="s">
        <v>59</v>
      </c>
      <c r="F474" s="734" t="s">
        <v>59</v>
      </c>
      <c r="G474" s="735" t="s">
        <v>65</v>
      </c>
      <c r="H474" s="735" t="s">
        <v>59</v>
      </c>
      <c r="I474" s="736" t="s">
        <v>1006</v>
      </c>
      <c r="J474" s="121" t="s">
        <v>76</v>
      </c>
      <c r="K474" s="137">
        <v>800</v>
      </c>
      <c r="L474" s="137">
        <f t="shared" si="115"/>
        <v>0</v>
      </c>
      <c r="M474" s="137">
        <v>800</v>
      </c>
    </row>
    <row r="475" spans="1:13" s="351" customFormat="1" ht="56.25" customHeight="1">
      <c r="A475" s="122"/>
      <c r="B475" s="135" t="s">
        <v>97</v>
      </c>
      <c r="C475" s="136" t="s">
        <v>609</v>
      </c>
      <c r="D475" s="121" t="s">
        <v>246</v>
      </c>
      <c r="E475" s="121" t="s">
        <v>59</v>
      </c>
      <c r="F475" s="734" t="s">
        <v>59</v>
      </c>
      <c r="G475" s="735" t="s">
        <v>65</v>
      </c>
      <c r="H475" s="735" t="s">
        <v>59</v>
      </c>
      <c r="I475" s="736" t="s">
        <v>1006</v>
      </c>
      <c r="J475" s="121" t="s">
        <v>98</v>
      </c>
      <c r="K475" s="137">
        <v>5865</v>
      </c>
      <c r="L475" s="137">
        <f t="shared" si="115"/>
        <v>0</v>
      </c>
      <c r="M475" s="137">
        <v>5865</v>
      </c>
    </row>
    <row r="476" spans="1:13" s="351" customFormat="1" ht="93.75" customHeight="1">
      <c r="A476" s="122"/>
      <c r="B476" s="135" t="s">
        <v>765</v>
      </c>
      <c r="C476" s="136" t="s">
        <v>609</v>
      </c>
      <c r="D476" s="121" t="s">
        <v>246</v>
      </c>
      <c r="E476" s="121" t="s">
        <v>59</v>
      </c>
      <c r="F476" s="734" t="s">
        <v>59</v>
      </c>
      <c r="G476" s="735" t="s">
        <v>65</v>
      </c>
      <c r="H476" s="735" t="s">
        <v>59</v>
      </c>
      <c r="I476" s="736" t="s">
        <v>764</v>
      </c>
      <c r="J476" s="121"/>
      <c r="K476" s="137">
        <f>K477+K478</f>
        <v>53475.6</v>
      </c>
      <c r="L476" s="137">
        <f>L477+L478</f>
        <v>0</v>
      </c>
      <c r="M476" s="137">
        <f>M477+M478</f>
        <v>53475.6</v>
      </c>
    </row>
    <row r="477" spans="1:13" s="351" customFormat="1" ht="56.25" customHeight="1">
      <c r="A477" s="122"/>
      <c r="B477" s="135" t="s">
        <v>75</v>
      </c>
      <c r="C477" s="136" t="s">
        <v>609</v>
      </c>
      <c r="D477" s="121" t="s">
        <v>246</v>
      </c>
      <c r="E477" s="121" t="s">
        <v>59</v>
      </c>
      <c r="F477" s="734" t="s">
        <v>59</v>
      </c>
      <c r="G477" s="735" t="s">
        <v>65</v>
      </c>
      <c r="H477" s="735" t="s">
        <v>59</v>
      </c>
      <c r="I477" s="736" t="s">
        <v>764</v>
      </c>
      <c r="J477" s="121" t="s">
        <v>76</v>
      </c>
      <c r="K477" s="137">
        <v>1613.7</v>
      </c>
      <c r="L477" s="137">
        <f t="shared" ref="L477:L480" si="116">M477-K477</f>
        <v>0</v>
      </c>
      <c r="M477" s="137">
        <v>1613.7</v>
      </c>
    </row>
    <row r="478" spans="1:13" s="351" customFormat="1" ht="56.25" customHeight="1">
      <c r="A478" s="122"/>
      <c r="B478" s="135" t="s">
        <v>97</v>
      </c>
      <c r="C478" s="136" t="s">
        <v>609</v>
      </c>
      <c r="D478" s="121" t="s">
        <v>246</v>
      </c>
      <c r="E478" s="121" t="s">
        <v>59</v>
      </c>
      <c r="F478" s="734" t="s">
        <v>59</v>
      </c>
      <c r="G478" s="735" t="s">
        <v>65</v>
      </c>
      <c r="H478" s="735" t="s">
        <v>59</v>
      </c>
      <c r="I478" s="736" t="s">
        <v>764</v>
      </c>
      <c r="J478" s="121" t="s">
        <v>98</v>
      </c>
      <c r="K478" s="137">
        <v>51861.9</v>
      </c>
      <c r="L478" s="137">
        <f t="shared" si="116"/>
        <v>0</v>
      </c>
      <c r="M478" s="137">
        <v>51861.9</v>
      </c>
    </row>
    <row r="479" spans="1:13" s="351" customFormat="1" ht="195" customHeight="1">
      <c r="A479" s="122"/>
      <c r="B479" s="135" t="s">
        <v>1012</v>
      </c>
      <c r="C479" s="136" t="s">
        <v>609</v>
      </c>
      <c r="D479" s="121" t="s">
        <v>246</v>
      </c>
      <c r="E479" s="121" t="s">
        <v>59</v>
      </c>
      <c r="F479" s="734" t="s">
        <v>59</v>
      </c>
      <c r="G479" s="735" t="s">
        <v>65</v>
      </c>
      <c r="H479" s="735" t="s">
        <v>59</v>
      </c>
      <c r="I479" s="736" t="s">
        <v>1011</v>
      </c>
      <c r="J479" s="121"/>
      <c r="K479" s="137">
        <f>K480</f>
        <v>5968.3</v>
      </c>
      <c r="L479" s="137">
        <f>L480</f>
        <v>0</v>
      </c>
      <c r="M479" s="137">
        <f>M480</f>
        <v>5968.3</v>
      </c>
    </row>
    <row r="480" spans="1:13" s="351" customFormat="1" ht="56.25" customHeight="1">
      <c r="A480" s="122"/>
      <c r="B480" s="135" t="s">
        <v>97</v>
      </c>
      <c r="C480" s="136" t="s">
        <v>609</v>
      </c>
      <c r="D480" s="121" t="s">
        <v>246</v>
      </c>
      <c r="E480" s="121" t="s">
        <v>59</v>
      </c>
      <c r="F480" s="734" t="s">
        <v>59</v>
      </c>
      <c r="G480" s="735" t="s">
        <v>65</v>
      </c>
      <c r="H480" s="735" t="s">
        <v>59</v>
      </c>
      <c r="I480" s="736" t="s">
        <v>1011</v>
      </c>
      <c r="J480" s="121" t="s">
        <v>98</v>
      </c>
      <c r="K480" s="137">
        <f>5669.8+298.5</f>
        <v>5968.3</v>
      </c>
      <c r="L480" s="137">
        <f t="shared" si="116"/>
        <v>0</v>
      </c>
      <c r="M480" s="137">
        <f>5669.8+298.5</f>
        <v>5968.3</v>
      </c>
    </row>
    <row r="481" spans="1:13" s="351" customFormat="1" ht="41.45" customHeight="1">
      <c r="A481" s="122"/>
      <c r="B481" s="135" t="s">
        <v>726</v>
      </c>
      <c r="C481" s="136" t="s">
        <v>609</v>
      </c>
      <c r="D481" s="121" t="s">
        <v>246</v>
      </c>
      <c r="E481" s="121" t="s">
        <v>59</v>
      </c>
      <c r="F481" s="734" t="s">
        <v>59</v>
      </c>
      <c r="G481" s="735" t="s">
        <v>65</v>
      </c>
      <c r="H481" s="735" t="s">
        <v>725</v>
      </c>
      <c r="I481" s="736" t="s">
        <v>64</v>
      </c>
      <c r="J481" s="121"/>
      <c r="K481" s="137">
        <f t="shared" ref="K481:M482" si="117">K482</f>
        <v>300</v>
      </c>
      <c r="L481" s="137">
        <f t="shared" si="117"/>
        <v>0</v>
      </c>
      <c r="M481" s="137">
        <f t="shared" si="117"/>
        <v>300</v>
      </c>
    </row>
    <row r="482" spans="1:13" s="351" customFormat="1" ht="56.25" customHeight="1">
      <c r="A482" s="122"/>
      <c r="B482" s="135" t="s">
        <v>682</v>
      </c>
      <c r="C482" s="136" t="s">
        <v>609</v>
      </c>
      <c r="D482" s="121" t="s">
        <v>246</v>
      </c>
      <c r="E482" s="121" t="s">
        <v>59</v>
      </c>
      <c r="F482" s="734" t="s">
        <v>59</v>
      </c>
      <c r="G482" s="735" t="s">
        <v>65</v>
      </c>
      <c r="H482" s="735" t="s">
        <v>725</v>
      </c>
      <c r="I482" s="736" t="s">
        <v>683</v>
      </c>
      <c r="J482" s="121"/>
      <c r="K482" s="137">
        <f t="shared" si="117"/>
        <v>300</v>
      </c>
      <c r="L482" s="137">
        <f t="shared" si="117"/>
        <v>0</v>
      </c>
      <c r="M482" s="137">
        <f t="shared" si="117"/>
        <v>300</v>
      </c>
    </row>
    <row r="483" spans="1:13" s="351" customFormat="1" ht="56.25" customHeight="1">
      <c r="A483" s="122"/>
      <c r="B483" s="135" t="s">
        <v>97</v>
      </c>
      <c r="C483" s="136" t="s">
        <v>609</v>
      </c>
      <c r="D483" s="121" t="s">
        <v>246</v>
      </c>
      <c r="E483" s="121" t="s">
        <v>59</v>
      </c>
      <c r="F483" s="734" t="s">
        <v>59</v>
      </c>
      <c r="G483" s="735" t="s">
        <v>65</v>
      </c>
      <c r="H483" s="735" t="s">
        <v>725</v>
      </c>
      <c r="I483" s="736" t="s">
        <v>683</v>
      </c>
      <c r="J483" s="121" t="s">
        <v>98</v>
      </c>
      <c r="K483" s="137">
        <v>300</v>
      </c>
      <c r="L483" s="137">
        <f>M483-K483</f>
        <v>0</v>
      </c>
      <c r="M483" s="137">
        <v>300</v>
      </c>
    </row>
    <row r="484" spans="1:13" s="355" customFormat="1" ht="56.25" customHeight="1">
      <c r="A484" s="122"/>
      <c r="B484" s="135" t="s">
        <v>234</v>
      </c>
      <c r="C484" s="136" t="s">
        <v>609</v>
      </c>
      <c r="D484" s="121" t="s">
        <v>246</v>
      </c>
      <c r="E484" s="121" t="s">
        <v>59</v>
      </c>
      <c r="F484" s="734" t="s">
        <v>59</v>
      </c>
      <c r="G484" s="735" t="s">
        <v>50</v>
      </c>
      <c r="H484" s="735" t="s">
        <v>63</v>
      </c>
      <c r="I484" s="736" t="s">
        <v>64</v>
      </c>
      <c r="J484" s="121"/>
      <c r="K484" s="137">
        <f t="shared" ref="K484:M485" si="118">K485</f>
        <v>2358</v>
      </c>
      <c r="L484" s="137">
        <f t="shared" si="118"/>
        <v>1.8118839761882555E-13</v>
      </c>
      <c r="M484" s="137">
        <f t="shared" si="118"/>
        <v>2358</v>
      </c>
    </row>
    <row r="485" spans="1:13" s="355" customFormat="1" ht="37.5" customHeight="1">
      <c r="A485" s="122"/>
      <c r="B485" s="135" t="s">
        <v>322</v>
      </c>
      <c r="C485" s="136" t="s">
        <v>609</v>
      </c>
      <c r="D485" s="121" t="s">
        <v>246</v>
      </c>
      <c r="E485" s="121" t="s">
        <v>59</v>
      </c>
      <c r="F485" s="734" t="s">
        <v>59</v>
      </c>
      <c r="G485" s="735" t="s">
        <v>50</v>
      </c>
      <c r="H485" s="735" t="s">
        <v>57</v>
      </c>
      <c r="I485" s="736" t="s">
        <v>64</v>
      </c>
      <c r="J485" s="121"/>
      <c r="K485" s="137">
        <f t="shared" si="118"/>
        <v>2358</v>
      </c>
      <c r="L485" s="137">
        <f t="shared" si="118"/>
        <v>1.8118839761882555E-13</v>
      </c>
      <c r="M485" s="137">
        <f t="shared" si="118"/>
        <v>2358</v>
      </c>
    </row>
    <row r="486" spans="1:13" s="355" customFormat="1" ht="253.15" customHeight="1">
      <c r="A486" s="122"/>
      <c r="B486" s="135" t="s">
        <v>692</v>
      </c>
      <c r="C486" s="136" t="s">
        <v>609</v>
      </c>
      <c r="D486" s="121" t="s">
        <v>246</v>
      </c>
      <c r="E486" s="121" t="s">
        <v>59</v>
      </c>
      <c r="F486" s="734" t="s">
        <v>59</v>
      </c>
      <c r="G486" s="735" t="s">
        <v>50</v>
      </c>
      <c r="H486" s="735" t="s">
        <v>57</v>
      </c>
      <c r="I486" s="736" t="s">
        <v>416</v>
      </c>
      <c r="J486" s="121"/>
      <c r="K486" s="137">
        <f>K488+K487</f>
        <v>2358</v>
      </c>
      <c r="L486" s="137">
        <f>L488+L487</f>
        <v>1.8118839761882555E-13</v>
      </c>
      <c r="M486" s="137">
        <f>M488+M487</f>
        <v>2358</v>
      </c>
    </row>
    <row r="487" spans="1:13" s="355" customFormat="1" ht="112.5" customHeight="1">
      <c r="A487" s="122"/>
      <c r="B487" s="135" t="s">
        <v>69</v>
      </c>
      <c r="C487" s="136" t="s">
        <v>609</v>
      </c>
      <c r="D487" s="121" t="s">
        <v>246</v>
      </c>
      <c r="E487" s="121" t="s">
        <v>59</v>
      </c>
      <c r="F487" s="734" t="s">
        <v>59</v>
      </c>
      <c r="G487" s="735" t="s">
        <v>50</v>
      </c>
      <c r="H487" s="735" t="s">
        <v>57</v>
      </c>
      <c r="I487" s="736" t="s">
        <v>416</v>
      </c>
      <c r="J487" s="121" t="s">
        <v>70</v>
      </c>
      <c r="K487" s="137">
        <v>29.8</v>
      </c>
      <c r="L487" s="137">
        <f t="shared" ref="L487:L488" si="119">M487-K487</f>
        <v>-29.8</v>
      </c>
      <c r="M487" s="137">
        <f>29.8-29.8</f>
        <v>0</v>
      </c>
    </row>
    <row r="488" spans="1:13" s="355" customFormat="1" ht="56.25" customHeight="1">
      <c r="A488" s="122"/>
      <c r="B488" s="135" t="s">
        <v>97</v>
      </c>
      <c r="C488" s="136" t="s">
        <v>609</v>
      </c>
      <c r="D488" s="121" t="s">
        <v>246</v>
      </c>
      <c r="E488" s="121" t="s">
        <v>59</v>
      </c>
      <c r="F488" s="734" t="s">
        <v>59</v>
      </c>
      <c r="G488" s="735" t="s">
        <v>50</v>
      </c>
      <c r="H488" s="735" t="s">
        <v>57</v>
      </c>
      <c r="I488" s="736" t="s">
        <v>416</v>
      </c>
      <c r="J488" s="121" t="s">
        <v>98</v>
      </c>
      <c r="K488" s="137">
        <v>2328.1999999999998</v>
      </c>
      <c r="L488" s="137">
        <f t="shared" si="119"/>
        <v>29.800000000000182</v>
      </c>
      <c r="M488" s="137">
        <f>2328.2+29.8</f>
        <v>2358</v>
      </c>
    </row>
    <row r="489" spans="1:13" s="355" customFormat="1" ht="18.75" customHeight="1">
      <c r="A489" s="122"/>
      <c r="B489" s="135" t="s">
        <v>424</v>
      </c>
      <c r="C489" s="136" t="s">
        <v>609</v>
      </c>
      <c r="D489" s="121" t="s">
        <v>246</v>
      </c>
      <c r="E489" s="121" t="s">
        <v>84</v>
      </c>
      <c r="F489" s="734"/>
      <c r="G489" s="735"/>
      <c r="H489" s="735"/>
      <c r="I489" s="736"/>
      <c r="J489" s="121"/>
      <c r="K489" s="137">
        <f>K490</f>
        <v>60672.288</v>
      </c>
      <c r="L489" s="137">
        <f>L490</f>
        <v>794.79999999999939</v>
      </c>
      <c r="M489" s="137">
        <f>M490</f>
        <v>61467.088000000003</v>
      </c>
    </row>
    <row r="490" spans="1:13" s="355" customFormat="1" ht="56.25" customHeight="1">
      <c r="A490" s="122"/>
      <c r="B490" s="282" t="s">
        <v>227</v>
      </c>
      <c r="C490" s="136" t="s">
        <v>609</v>
      </c>
      <c r="D490" s="121" t="s">
        <v>246</v>
      </c>
      <c r="E490" s="121" t="s">
        <v>84</v>
      </c>
      <c r="F490" s="734" t="s">
        <v>59</v>
      </c>
      <c r="G490" s="735" t="s">
        <v>62</v>
      </c>
      <c r="H490" s="735" t="s">
        <v>63</v>
      </c>
      <c r="I490" s="736" t="s">
        <v>64</v>
      </c>
      <c r="J490" s="121"/>
      <c r="K490" s="137">
        <f t="shared" ref="K490:M490" si="120">K491</f>
        <v>60672.288</v>
      </c>
      <c r="L490" s="137">
        <f t="shared" si="120"/>
        <v>794.79999999999939</v>
      </c>
      <c r="M490" s="137">
        <f t="shared" si="120"/>
        <v>61467.088000000003</v>
      </c>
    </row>
    <row r="491" spans="1:13" s="355" customFormat="1" ht="24" customHeight="1">
      <c r="A491" s="122"/>
      <c r="B491" s="135" t="s">
        <v>232</v>
      </c>
      <c r="C491" s="136" t="s">
        <v>609</v>
      </c>
      <c r="D491" s="121" t="s">
        <v>246</v>
      </c>
      <c r="E491" s="121" t="s">
        <v>84</v>
      </c>
      <c r="F491" s="734" t="s">
        <v>59</v>
      </c>
      <c r="G491" s="735" t="s">
        <v>110</v>
      </c>
      <c r="H491" s="735" t="s">
        <v>63</v>
      </c>
      <c r="I491" s="736" t="s">
        <v>64</v>
      </c>
      <c r="J491" s="121"/>
      <c r="K491" s="137">
        <f>K492+K512</f>
        <v>60672.288</v>
      </c>
      <c r="L491" s="137">
        <f>L492+L512</f>
        <v>794.79999999999939</v>
      </c>
      <c r="M491" s="137">
        <f>M492+M512</f>
        <v>61467.088000000003</v>
      </c>
    </row>
    <row r="492" spans="1:13" s="355" customFormat="1" ht="37.5" customHeight="1">
      <c r="A492" s="122"/>
      <c r="B492" s="135" t="s">
        <v>316</v>
      </c>
      <c r="C492" s="136" t="s">
        <v>609</v>
      </c>
      <c r="D492" s="121" t="s">
        <v>246</v>
      </c>
      <c r="E492" s="121" t="s">
        <v>84</v>
      </c>
      <c r="F492" s="734" t="s">
        <v>59</v>
      </c>
      <c r="G492" s="735" t="s">
        <v>110</v>
      </c>
      <c r="H492" s="735" t="s">
        <v>57</v>
      </c>
      <c r="I492" s="736" t="s">
        <v>64</v>
      </c>
      <c r="J492" s="121"/>
      <c r="K492" s="137">
        <f>K493+K506+K508+K500+K510+K503+K498</f>
        <v>60522.288</v>
      </c>
      <c r="L492" s="137">
        <f>L493+L506+L508+L500+L510+L503+L498</f>
        <v>794.79999999999939</v>
      </c>
      <c r="M492" s="137">
        <f>M493+M506+M508+M500+M510+M503+M498</f>
        <v>61317.088000000003</v>
      </c>
    </row>
    <row r="493" spans="1:13" s="355" customFormat="1" ht="37.5" customHeight="1">
      <c r="A493" s="122"/>
      <c r="B493" s="138" t="s">
        <v>795</v>
      </c>
      <c r="C493" s="136" t="s">
        <v>609</v>
      </c>
      <c r="D493" s="121" t="s">
        <v>246</v>
      </c>
      <c r="E493" s="121" t="s">
        <v>84</v>
      </c>
      <c r="F493" s="734" t="s">
        <v>59</v>
      </c>
      <c r="G493" s="735" t="s">
        <v>110</v>
      </c>
      <c r="H493" s="735" t="s">
        <v>57</v>
      </c>
      <c r="I493" s="736" t="s">
        <v>112</v>
      </c>
      <c r="J493" s="121"/>
      <c r="K493" s="137">
        <f>K496+K494+K495+K497</f>
        <v>49327.088000000003</v>
      </c>
      <c r="L493" s="137">
        <f>L496+L494+L495+L497</f>
        <v>330.49999999999932</v>
      </c>
      <c r="M493" s="137">
        <f>M496+M494+M495+M497</f>
        <v>49657.588000000003</v>
      </c>
    </row>
    <row r="494" spans="1:13" s="355" customFormat="1" ht="112.5" customHeight="1">
      <c r="A494" s="122"/>
      <c r="B494" s="135" t="s">
        <v>69</v>
      </c>
      <c r="C494" s="136" t="s">
        <v>609</v>
      </c>
      <c r="D494" s="121" t="s">
        <v>246</v>
      </c>
      <c r="E494" s="121" t="s">
        <v>84</v>
      </c>
      <c r="F494" s="734" t="s">
        <v>59</v>
      </c>
      <c r="G494" s="735" t="s">
        <v>110</v>
      </c>
      <c r="H494" s="735" t="s">
        <v>57</v>
      </c>
      <c r="I494" s="736" t="s">
        <v>112</v>
      </c>
      <c r="J494" s="121" t="s">
        <v>70</v>
      </c>
      <c r="K494" s="137">
        <f>26464.4+317.9-7834.7</f>
        <v>18947.600000000002</v>
      </c>
      <c r="L494" s="137">
        <f t="shared" ref="L494:L499" si="121">M494-K494</f>
        <v>0</v>
      </c>
      <c r="M494" s="137">
        <f>26464.4+317.9-7834.7</f>
        <v>18947.600000000002</v>
      </c>
    </row>
    <row r="495" spans="1:13" s="355" customFormat="1" ht="56.25" customHeight="1">
      <c r="A495" s="122"/>
      <c r="B495" s="135" t="s">
        <v>75</v>
      </c>
      <c r="C495" s="136" t="s">
        <v>609</v>
      </c>
      <c r="D495" s="121" t="s">
        <v>246</v>
      </c>
      <c r="E495" s="121" t="s">
        <v>84</v>
      </c>
      <c r="F495" s="734" t="s">
        <v>59</v>
      </c>
      <c r="G495" s="735" t="s">
        <v>110</v>
      </c>
      <c r="H495" s="735" t="s">
        <v>57</v>
      </c>
      <c r="I495" s="736" t="s">
        <v>112</v>
      </c>
      <c r="J495" s="121" t="s">
        <v>76</v>
      </c>
      <c r="K495" s="137">
        <f>2194.4-317.9-336.141+6.888+72</f>
        <v>1619.2469999999998</v>
      </c>
      <c r="L495" s="137">
        <f t="shared" si="121"/>
        <v>187.70000000000005</v>
      </c>
      <c r="M495" s="137">
        <f>2194.4-317.9-336.141+6.888+72+185.3+2.4</f>
        <v>1806.9469999999999</v>
      </c>
    </row>
    <row r="496" spans="1:13" s="355" customFormat="1" ht="56.25" customHeight="1">
      <c r="A496" s="122"/>
      <c r="B496" s="135" t="s">
        <v>97</v>
      </c>
      <c r="C496" s="136" t="s">
        <v>609</v>
      </c>
      <c r="D496" s="121" t="s">
        <v>246</v>
      </c>
      <c r="E496" s="121" t="s">
        <v>84</v>
      </c>
      <c r="F496" s="734" t="s">
        <v>59</v>
      </c>
      <c r="G496" s="735" t="s">
        <v>110</v>
      </c>
      <c r="H496" s="735" t="s">
        <v>57</v>
      </c>
      <c r="I496" s="736" t="s">
        <v>112</v>
      </c>
      <c r="J496" s="121" t="s">
        <v>98</v>
      </c>
      <c r="K496" s="137">
        <f>20369.8+8175.797+15.2+108</f>
        <v>28668.796999999999</v>
      </c>
      <c r="L496" s="137">
        <f t="shared" si="121"/>
        <v>142.79999999999927</v>
      </c>
      <c r="M496" s="137">
        <f>20369.8+8175.797+15.2+108+142.8</f>
        <v>28811.596999999998</v>
      </c>
    </row>
    <row r="497" spans="1:25" s="355" customFormat="1" ht="18.75" customHeight="1">
      <c r="A497" s="122"/>
      <c r="B497" s="135" t="s">
        <v>77</v>
      </c>
      <c r="C497" s="136" t="s">
        <v>609</v>
      </c>
      <c r="D497" s="121" t="s">
        <v>246</v>
      </c>
      <c r="E497" s="121" t="s">
        <v>84</v>
      </c>
      <c r="F497" s="734" t="s">
        <v>59</v>
      </c>
      <c r="G497" s="735" t="s">
        <v>110</v>
      </c>
      <c r="H497" s="735" t="s">
        <v>57</v>
      </c>
      <c r="I497" s="736" t="s">
        <v>112</v>
      </c>
      <c r="J497" s="121" t="s">
        <v>78</v>
      </c>
      <c r="K497" s="137">
        <f>56.4-4.956+40</f>
        <v>91.443999999999988</v>
      </c>
      <c r="L497" s="137">
        <f t="shared" si="121"/>
        <v>0</v>
      </c>
      <c r="M497" s="137">
        <f>56.4-4.956+40</f>
        <v>91.443999999999988</v>
      </c>
    </row>
    <row r="498" spans="1:25" s="355" customFormat="1" ht="18.75">
      <c r="A498" s="122"/>
      <c r="B498" s="135" t="s">
        <v>796</v>
      </c>
      <c r="C498" s="136" t="s">
        <v>609</v>
      </c>
      <c r="D498" s="121" t="s">
        <v>246</v>
      </c>
      <c r="E498" s="121" t="s">
        <v>84</v>
      </c>
      <c r="F498" s="734" t="s">
        <v>59</v>
      </c>
      <c r="G498" s="735" t="s">
        <v>110</v>
      </c>
      <c r="H498" s="735" t="s">
        <v>57</v>
      </c>
      <c r="I498" s="736" t="s">
        <v>479</v>
      </c>
      <c r="J498" s="121"/>
      <c r="K498" s="137">
        <f>K499</f>
        <v>660.6</v>
      </c>
      <c r="L498" s="137">
        <f>L499</f>
        <v>395.6</v>
      </c>
      <c r="M498" s="137">
        <f>M499</f>
        <v>1056.2</v>
      </c>
    </row>
    <row r="499" spans="1:25" s="355" customFormat="1" ht="54" customHeight="1">
      <c r="A499" s="122"/>
      <c r="B499" s="135" t="s">
        <v>75</v>
      </c>
      <c r="C499" s="136" t="s">
        <v>609</v>
      </c>
      <c r="D499" s="121" t="s">
        <v>246</v>
      </c>
      <c r="E499" s="121" t="s">
        <v>84</v>
      </c>
      <c r="F499" s="734" t="s">
        <v>59</v>
      </c>
      <c r="G499" s="735" t="s">
        <v>110</v>
      </c>
      <c r="H499" s="735" t="s">
        <v>57</v>
      </c>
      <c r="I499" s="736" t="s">
        <v>479</v>
      </c>
      <c r="J499" s="121" t="s">
        <v>76</v>
      </c>
      <c r="K499" s="137">
        <v>660.6</v>
      </c>
      <c r="L499" s="137">
        <f t="shared" si="121"/>
        <v>395.6</v>
      </c>
      <c r="M499" s="137">
        <f>660.6+395.6</f>
        <v>1056.2</v>
      </c>
    </row>
    <row r="500" spans="1:25" s="355" customFormat="1" ht="56.25" customHeight="1">
      <c r="A500" s="122"/>
      <c r="B500" s="135" t="s">
        <v>229</v>
      </c>
      <c r="C500" s="136" t="s">
        <v>609</v>
      </c>
      <c r="D500" s="121" t="s">
        <v>246</v>
      </c>
      <c r="E500" s="121" t="s">
        <v>84</v>
      </c>
      <c r="F500" s="734" t="s">
        <v>59</v>
      </c>
      <c r="G500" s="735" t="s">
        <v>110</v>
      </c>
      <c r="H500" s="735" t="s">
        <v>57</v>
      </c>
      <c r="I500" s="736" t="s">
        <v>313</v>
      </c>
      <c r="J500" s="121"/>
      <c r="K500" s="137">
        <f>K502+K501</f>
        <v>1150.7</v>
      </c>
      <c r="L500" s="137">
        <f>L502+L501</f>
        <v>96.200000000000045</v>
      </c>
      <c r="M500" s="137">
        <f>M502+M501</f>
        <v>1246.9000000000001</v>
      </c>
    </row>
    <row r="501" spans="1:25" s="355" customFormat="1" ht="56.25" customHeight="1">
      <c r="A501" s="122"/>
      <c r="B501" s="135" t="s">
        <v>75</v>
      </c>
      <c r="C501" s="136" t="s">
        <v>609</v>
      </c>
      <c r="D501" s="121" t="s">
        <v>246</v>
      </c>
      <c r="E501" s="121" t="s">
        <v>84</v>
      </c>
      <c r="F501" s="734" t="s">
        <v>59</v>
      </c>
      <c r="G501" s="735" t="s">
        <v>110</v>
      </c>
      <c r="H501" s="735" t="s">
        <v>57</v>
      </c>
      <c r="I501" s="736" t="s">
        <v>313</v>
      </c>
      <c r="J501" s="121" t="s">
        <v>76</v>
      </c>
      <c r="K501" s="137">
        <f>627.6-164.4</f>
        <v>463.20000000000005</v>
      </c>
      <c r="L501" s="137">
        <f t="shared" ref="L501:L502" si="122">M501-K501</f>
        <v>96.200000000000045</v>
      </c>
      <c r="M501" s="137">
        <f>627.6-164.4+2.5+13.8+3.5+6.4+70</f>
        <v>559.40000000000009</v>
      </c>
    </row>
    <row r="502" spans="1:25" s="355" customFormat="1" ht="56.25" customHeight="1">
      <c r="A502" s="122"/>
      <c r="B502" s="282" t="s">
        <v>97</v>
      </c>
      <c r="C502" s="136" t="s">
        <v>609</v>
      </c>
      <c r="D502" s="121" t="s">
        <v>246</v>
      </c>
      <c r="E502" s="121" t="s">
        <v>84</v>
      </c>
      <c r="F502" s="734" t="s">
        <v>59</v>
      </c>
      <c r="G502" s="735" t="s">
        <v>110</v>
      </c>
      <c r="H502" s="735" t="s">
        <v>57</v>
      </c>
      <c r="I502" s="736" t="s">
        <v>313</v>
      </c>
      <c r="J502" s="121" t="s">
        <v>98</v>
      </c>
      <c r="K502" s="137">
        <f>523.1+164.4</f>
        <v>687.5</v>
      </c>
      <c r="L502" s="137">
        <f t="shared" si="122"/>
        <v>0</v>
      </c>
      <c r="M502" s="137">
        <f>523.1+164.4</f>
        <v>687.5</v>
      </c>
      <c r="X502" s="491"/>
      <c r="Y502" s="491"/>
    </row>
    <row r="503" spans="1:25" s="355" customFormat="1" ht="37.5" customHeight="1">
      <c r="A503" s="122"/>
      <c r="B503" s="135" t="s">
        <v>230</v>
      </c>
      <c r="C503" s="136" t="s">
        <v>609</v>
      </c>
      <c r="D503" s="121" t="s">
        <v>246</v>
      </c>
      <c r="E503" s="121" t="s">
        <v>84</v>
      </c>
      <c r="F503" s="734" t="s">
        <v>59</v>
      </c>
      <c r="G503" s="735" t="s">
        <v>110</v>
      </c>
      <c r="H503" s="735" t="s">
        <v>57</v>
      </c>
      <c r="I503" s="736" t="s">
        <v>314</v>
      </c>
      <c r="J503" s="121"/>
      <c r="K503" s="137">
        <f>K504+K505</f>
        <v>1276.5</v>
      </c>
      <c r="L503" s="137">
        <f>L504+L505</f>
        <v>0</v>
      </c>
      <c r="M503" s="137">
        <f>M504+M505</f>
        <v>1276.5</v>
      </c>
      <c r="X503" s="491"/>
      <c r="Y503" s="491"/>
    </row>
    <row r="504" spans="1:25" s="355" customFormat="1" ht="56.25" customHeight="1">
      <c r="A504" s="122"/>
      <c r="B504" s="135" t="s">
        <v>75</v>
      </c>
      <c r="C504" s="136" t="s">
        <v>609</v>
      </c>
      <c r="D504" s="121" t="s">
        <v>246</v>
      </c>
      <c r="E504" s="121" t="s">
        <v>84</v>
      </c>
      <c r="F504" s="734" t="s">
        <v>59</v>
      </c>
      <c r="G504" s="735" t="s">
        <v>110</v>
      </c>
      <c r="H504" s="735" t="s">
        <v>57</v>
      </c>
      <c r="I504" s="736" t="s">
        <v>314</v>
      </c>
      <c r="J504" s="121" t="s">
        <v>76</v>
      </c>
      <c r="K504" s="137">
        <f>300+959.5</f>
        <v>1259.5</v>
      </c>
      <c r="L504" s="137">
        <f t="shared" ref="L504:L505" si="123">M504-K504</f>
        <v>0</v>
      </c>
      <c r="M504" s="137">
        <f>300+959.5</f>
        <v>1259.5</v>
      </c>
      <c r="X504" s="491"/>
      <c r="Y504" s="491"/>
    </row>
    <row r="505" spans="1:25" s="355" customFormat="1" ht="56.25" customHeight="1">
      <c r="A505" s="122"/>
      <c r="B505" s="282" t="s">
        <v>97</v>
      </c>
      <c r="C505" s="136" t="s">
        <v>609</v>
      </c>
      <c r="D505" s="121" t="s">
        <v>246</v>
      </c>
      <c r="E505" s="121" t="s">
        <v>84</v>
      </c>
      <c r="F505" s="734" t="s">
        <v>59</v>
      </c>
      <c r="G505" s="735" t="s">
        <v>110</v>
      </c>
      <c r="H505" s="735" t="s">
        <v>57</v>
      </c>
      <c r="I505" s="736" t="s">
        <v>314</v>
      </c>
      <c r="J505" s="121" t="s">
        <v>98</v>
      </c>
      <c r="K505" s="137">
        <v>17</v>
      </c>
      <c r="L505" s="137">
        <f t="shared" si="123"/>
        <v>0</v>
      </c>
      <c r="M505" s="137">
        <v>17</v>
      </c>
      <c r="X505" s="491"/>
      <c r="Y505" s="491"/>
    </row>
    <row r="506" spans="1:25" s="355" customFormat="1" ht="177.6" customHeight="1">
      <c r="A506" s="122"/>
      <c r="B506" s="135" t="s">
        <v>694</v>
      </c>
      <c r="C506" s="136" t="s">
        <v>609</v>
      </c>
      <c r="D506" s="121" t="s">
        <v>246</v>
      </c>
      <c r="E506" s="121" t="s">
        <v>84</v>
      </c>
      <c r="F506" s="734" t="s">
        <v>59</v>
      </c>
      <c r="G506" s="735" t="s">
        <v>110</v>
      </c>
      <c r="H506" s="735" t="s">
        <v>57</v>
      </c>
      <c r="I506" s="736" t="s">
        <v>538</v>
      </c>
      <c r="J506" s="121"/>
      <c r="K506" s="137">
        <f>K507</f>
        <v>124.7</v>
      </c>
      <c r="L506" s="137">
        <f>L507</f>
        <v>0</v>
      </c>
      <c r="M506" s="137">
        <f>M507</f>
        <v>124.7</v>
      </c>
    </row>
    <row r="507" spans="1:25" s="355" customFormat="1" ht="112.5" customHeight="1">
      <c r="A507" s="122"/>
      <c r="B507" s="135" t="s">
        <v>69</v>
      </c>
      <c r="C507" s="136" t="s">
        <v>609</v>
      </c>
      <c r="D507" s="121" t="s">
        <v>246</v>
      </c>
      <c r="E507" s="121" t="s">
        <v>84</v>
      </c>
      <c r="F507" s="734" t="s">
        <v>59</v>
      </c>
      <c r="G507" s="735" t="s">
        <v>110</v>
      </c>
      <c r="H507" s="735" t="s">
        <v>57</v>
      </c>
      <c r="I507" s="736" t="s">
        <v>538</v>
      </c>
      <c r="J507" s="121" t="s">
        <v>70</v>
      </c>
      <c r="K507" s="137">
        <f>125-0.3</f>
        <v>124.7</v>
      </c>
      <c r="L507" s="137">
        <f>M507-K507</f>
        <v>0</v>
      </c>
      <c r="M507" s="137">
        <f>125-0.3</f>
        <v>124.7</v>
      </c>
    </row>
    <row r="508" spans="1:25" s="355" customFormat="1" ht="181.9" customHeight="1">
      <c r="A508" s="122"/>
      <c r="B508" s="135" t="s">
        <v>308</v>
      </c>
      <c r="C508" s="136" t="s">
        <v>609</v>
      </c>
      <c r="D508" s="121" t="s">
        <v>246</v>
      </c>
      <c r="E508" s="121" t="s">
        <v>84</v>
      </c>
      <c r="F508" s="734" t="s">
        <v>59</v>
      </c>
      <c r="G508" s="735" t="s">
        <v>110</v>
      </c>
      <c r="H508" s="735" t="s">
        <v>57</v>
      </c>
      <c r="I508" s="736" t="s">
        <v>309</v>
      </c>
      <c r="J508" s="121"/>
      <c r="K508" s="137">
        <f>K509</f>
        <v>107.3</v>
      </c>
      <c r="L508" s="137">
        <f>L509</f>
        <v>-27.5</v>
      </c>
      <c r="M508" s="137">
        <f>M509</f>
        <v>79.8</v>
      </c>
    </row>
    <row r="509" spans="1:25" s="355" customFormat="1" ht="52.9" customHeight="1">
      <c r="A509" s="122"/>
      <c r="B509" s="135" t="s">
        <v>97</v>
      </c>
      <c r="C509" s="136" t="s">
        <v>609</v>
      </c>
      <c r="D509" s="121" t="s">
        <v>246</v>
      </c>
      <c r="E509" s="121" t="s">
        <v>84</v>
      </c>
      <c r="F509" s="734" t="s">
        <v>59</v>
      </c>
      <c r="G509" s="735" t="s">
        <v>110</v>
      </c>
      <c r="H509" s="735" t="s">
        <v>57</v>
      </c>
      <c r="I509" s="736" t="s">
        <v>309</v>
      </c>
      <c r="J509" s="121" t="s">
        <v>98</v>
      </c>
      <c r="K509" s="137">
        <v>107.3</v>
      </c>
      <c r="L509" s="137">
        <f t="shared" ref="L509" si="124">M509-K509</f>
        <v>-27.5</v>
      </c>
      <c r="M509" s="137">
        <f>107.3-27.5</f>
        <v>79.8</v>
      </c>
    </row>
    <row r="510" spans="1:25" s="355" customFormat="1" ht="105" customHeight="1">
      <c r="A510" s="122"/>
      <c r="B510" s="135" t="s">
        <v>415</v>
      </c>
      <c r="C510" s="136" t="s">
        <v>609</v>
      </c>
      <c r="D510" s="121" t="s">
        <v>246</v>
      </c>
      <c r="E510" s="121" t="s">
        <v>84</v>
      </c>
      <c r="F510" s="734" t="s">
        <v>59</v>
      </c>
      <c r="G510" s="735" t="s">
        <v>110</v>
      </c>
      <c r="H510" s="735" t="s">
        <v>57</v>
      </c>
      <c r="I510" s="736" t="s">
        <v>310</v>
      </c>
      <c r="J510" s="121"/>
      <c r="K510" s="137">
        <f>K511</f>
        <v>7875.4</v>
      </c>
      <c r="L510" s="137">
        <f>L511</f>
        <v>0</v>
      </c>
      <c r="M510" s="137">
        <f>M511</f>
        <v>7875.4</v>
      </c>
    </row>
    <row r="511" spans="1:25" s="355" customFormat="1" ht="56.25" customHeight="1">
      <c r="A511" s="122"/>
      <c r="B511" s="135" t="s">
        <v>97</v>
      </c>
      <c r="C511" s="136" t="s">
        <v>609</v>
      </c>
      <c r="D511" s="121" t="s">
        <v>246</v>
      </c>
      <c r="E511" s="121" t="s">
        <v>84</v>
      </c>
      <c r="F511" s="734" t="s">
        <v>59</v>
      </c>
      <c r="G511" s="735" t="s">
        <v>110</v>
      </c>
      <c r="H511" s="735" t="s">
        <v>57</v>
      </c>
      <c r="I511" s="736" t="s">
        <v>310</v>
      </c>
      <c r="J511" s="121" t="s">
        <v>98</v>
      </c>
      <c r="K511" s="137">
        <v>7875.4</v>
      </c>
      <c r="L511" s="137">
        <f>M511-K511</f>
        <v>0</v>
      </c>
      <c r="M511" s="137">
        <v>7875.4</v>
      </c>
    </row>
    <row r="512" spans="1:25" s="355" customFormat="1" ht="39" customHeight="1">
      <c r="A512" s="122"/>
      <c r="B512" s="135" t="s">
        <v>726</v>
      </c>
      <c r="C512" s="136" t="s">
        <v>609</v>
      </c>
      <c r="D512" s="121" t="s">
        <v>246</v>
      </c>
      <c r="E512" s="121" t="s">
        <v>84</v>
      </c>
      <c r="F512" s="734" t="s">
        <v>59</v>
      </c>
      <c r="G512" s="735" t="s">
        <v>110</v>
      </c>
      <c r="H512" s="735" t="s">
        <v>725</v>
      </c>
      <c r="I512" s="736" t="s">
        <v>64</v>
      </c>
      <c r="J512" s="121"/>
      <c r="K512" s="137">
        <f t="shared" ref="K512:M513" si="125">K513</f>
        <v>150</v>
      </c>
      <c r="L512" s="137">
        <f t="shared" si="125"/>
        <v>0</v>
      </c>
      <c r="M512" s="137">
        <f t="shared" si="125"/>
        <v>150</v>
      </c>
    </row>
    <row r="513" spans="1:13" s="355" customFormat="1" ht="56.25" customHeight="1">
      <c r="A513" s="122"/>
      <c r="B513" s="135" t="s">
        <v>682</v>
      </c>
      <c r="C513" s="136" t="s">
        <v>609</v>
      </c>
      <c r="D513" s="121" t="s">
        <v>246</v>
      </c>
      <c r="E513" s="121" t="s">
        <v>84</v>
      </c>
      <c r="F513" s="734" t="s">
        <v>59</v>
      </c>
      <c r="G513" s="735" t="s">
        <v>110</v>
      </c>
      <c r="H513" s="735" t="s">
        <v>725</v>
      </c>
      <c r="I513" s="736" t="s">
        <v>683</v>
      </c>
      <c r="J513" s="121"/>
      <c r="K513" s="137">
        <f t="shared" si="125"/>
        <v>150</v>
      </c>
      <c r="L513" s="137">
        <f t="shared" si="125"/>
        <v>0</v>
      </c>
      <c r="M513" s="137">
        <f t="shared" si="125"/>
        <v>150</v>
      </c>
    </row>
    <row r="514" spans="1:13" s="355" customFormat="1" ht="56.25" customHeight="1">
      <c r="A514" s="122"/>
      <c r="B514" s="135" t="s">
        <v>97</v>
      </c>
      <c r="C514" s="136" t="s">
        <v>609</v>
      </c>
      <c r="D514" s="121" t="s">
        <v>246</v>
      </c>
      <c r="E514" s="121" t="s">
        <v>84</v>
      </c>
      <c r="F514" s="734" t="s">
        <v>59</v>
      </c>
      <c r="G514" s="735" t="s">
        <v>110</v>
      </c>
      <c r="H514" s="735" t="s">
        <v>725</v>
      </c>
      <c r="I514" s="736" t="s">
        <v>683</v>
      </c>
      <c r="J514" s="121" t="s">
        <v>98</v>
      </c>
      <c r="K514" s="137">
        <v>150</v>
      </c>
      <c r="L514" s="137">
        <f>M514-K514</f>
        <v>0</v>
      </c>
      <c r="M514" s="137">
        <v>150</v>
      </c>
    </row>
    <row r="515" spans="1:13" s="355" customFormat="1" ht="21" customHeight="1">
      <c r="A515" s="122"/>
      <c r="B515" s="135" t="s">
        <v>425</v>
      </c>
      <c r="C515" s="136" t="s">
        <v>609</v>
      </c>
      <c r="D515" s="121" t="s">
        <v>246</v>
      </c>
      <c r="E515" s="121" t="s">
        <v>246</v>
      </c>
      <c r="F515" s="734"/>
      <c r="G515" s="735"/>
      <c r="H515" s="735"/>
      <c r="I515" s="736"/>
      <c r="J515" s="121"/>
      <c r="K515" s="137">
        <f t="shared" ref="K515:M516" si="126">K516</f>
        <v>7919.2999999999993</v>
      </c>
      <c r="L515" s="137">
        <f t="shared" si="126"/>
        <v>479.30000000000018</v>
      </c>
      <c r="M515" s="137">
        <f t="shared" si="126"/>
        <v>8398.6</v>
      </c>
    </row>
    <row r="516" spans="1:13" s="355" customFormat="1" ht="56.25" customHeight="1">
      <c r="A516" s="122"/>
      <c r="B516" s="135" t="s">
        <v>227</v>
      </c>
      <c r="C516" s="136" t="s">
        <v>609</v>
      </c>
      <c r="D516" s="121" t="s">
        <v>246</v>
      </c>
      <c r="E516" s="121" t="s">
        <v>246</v>
      </c>
      <c r="F516" s="734" t="s">
        <v>59</v>
      </c>
      <c r="G516" s="735" t="s">
        <v>62</v>
      </c>
      <c r="H516" s="735" t="s">
        <v>63</v>
      </c>
      <c r="I516" s="736" t="s">
        <v>64</v>
      </c>
      <c r="J516" s="121"/>
      <c r="K516" s="137">
        <f t="shared" si="126"/>
        <v>7919.2999999999993</v>
      </c>
      <c r="L516" s="137">
        <f t="shared" si="126"/>
        <v>479.30000000000018</v>
      </c>
      <c r="M516" s="137">
        <f t="shared" si="126"/>
        <v>8398.6</v>
      </c>
    </row>
    <row r="517" spans="1:13" s="355" customFormat="1" ht="56.25" customHeight="1">
      <c r="A517" s="122"/>
      <c r="B517" s="135" t="s">
        <v>234</v>
      </c>
      <c r="C517" s="136" t="s">
        <v>609</v>
      </c>
      <c r="D517" s="121" t="s">
        <v>246</v>
      </c>
      <c r="E517" s="121" t="s">
        <v>246</v>
      </c>
      <c r="F517" s="734" t="s">
        <v>59</v>
      </c>
      <c r="G517" s="735" t="s">
        <v>50</v>
      </c>
      <c r="H517" s="735" t="s">
        <v>63</v>
      </c>
      <c r="I517" s="736" t="s">
        <v>64</v>
      </c>
      <c r="J517" s="121"/>
      <c r="K517" s="137">
        <f>K518</f>
        <v>7919.2999999999993</v>
      </c>
      <c r="L517" s="137">
        <f>L518</f>
        <v>479.30000000000018</v>
      </c>
      <c r="M517" s="137">
        <f>M518</f>
        <v>8398.6</v>
      </c>
    </row>
    <row r="518" spans="1:13" s="355" customFormat="1" ht="56.25" customHeight="1">
      <c r="A518" s="122"/>
      <c r="B518" s="135" t="s">
        <v>321</v>
      </c>
      <c r="C518" s="136" t="s">
        <v>609</v>
      </c>
      <c r="D518" s="121" t="s">
        <v>246</v>
      </c>
      <c r="E518" s="121" t="s">
        <v>246</v>
      </c>
      <c r="F518" s="734" t="s">
        <v>59</v>
      </c>
      <c r="G518" s="735" t="s">
        <v>50</v>
      </c>
      <c r="H518" s="735" t="s">
        <v>59</v>
      </c>
      <c r="I518" s="736" t="s">
        <v>64</v>
      </c>
      <c r="J518" s="121"/>
      <c r="K518" s="137">
        <f>K519+K521</f>
        <v>7919.2999999999993</v>
      </c>
      <c r="L518" s="137">
        <f>L519+L521</f>
        <v>479.30000000000018</v>
      </c>
      <c r="M518" s="137">
        <f>M519+M521</f>
        <v>8398.6</v>
      </c>
    </row>
    <row r="519" spans="1:13" s="355" customFormat="1" ht="35.25" customHeight="1">
      <c r="A519" s="122"/>
      <c r="B519" s="135" t="s">
        <v>810</v>
      </c>
      <c r="C519" s="136" t="s">
        <v>609</v>
      </c>
      <c r="D519" s="121" t="s">
        <v>246</v>
      </c>
      <c r="E519" s="121" t="s">
        <v>246</v>
      </c>
      <c r="F519" s="734" t="s">
        <v>59</v>
      </c>
      <c r="G519" s="735" t="s">
        <v>50</v>
      </c>
      <c r="H519" s="735" t="s">
        <v>59</v>
      </c>
      <c r="I519" s="736" t="s">
        <v>809</v>
      </c>
      <c r="J519" s="121"/>
      <c r="K519" s="137">
        <f>K520</f>
        <v>1169.4000000000001</v>
      </c>
      <c r="L519" s="137">
        <f>L520</f>
        <v>0</v>
      </c>
      <c r="M519" s="137">
        <f>M520</f>
        <v>1169.4000000000001</v>
      </c>
    </row>
    <row r="520" spans="1:13" s="355" customFormat="1" ht="56.25" customHeight="1">
      <c r="A520" s="122"/>
      <c r="B520" s="135" t="s">
        <v>97</v>
      </c>
      <c r="C520" s="136" t="s">
        <v>609</v>
      </c>
      <c r="D520" s="121" t="s">
        <v>246</v>
      </c>
      <c r="E520" s="121" t="s">
        <v>246</v>
      </c>
      <c r="F520" s="734" t="s">
        <v>59</v>
      </c>
      <c r="G520" s="735" t="s">
        <v>50</v>
      </c>
      <c r="H520" s="735" t="s">
        <v>59</v>
      </c>
      <c r="I520" s="736" t="s">
        <v>809</v>
      </c>
      <c r="J520" s="121" t="s">
        <v>98</v>
      </c>
      <c r="K520" s="137">
        <f>502.9+666.5</f>
        <v>1169.4000000000001</v>
      </c>
      <c r="L520" s="137">
        <f>M520-K520</f>
        <v>0</v>
      </c>
      <c r="M520" s="137">
        <f>502.9+666.5</f>
        <v>1169.4000000000001</v>
      </c>
    </row>
    <row r="521" spans="1:13" s="355" customFormat="1" ht="102" customHeight="1">
      <c r="A521" s="122"/>
      <c r="B521" s="135" t="s">
        <v>734</v>
      </c>
      <c r="C521" s="136" t="s">
        <v>609</v>
      </c>
      <c r="D521" s="121" t="s">
        <v>246</v>
      </c>
      <c r="E521" s="121" t="s">
        <v>246</v>
      </c>
      <c r="F521" s="734" t="s">
        <v>59</v>
      </c>
      <c r="G521" s="735" t="s">
        <v>50</v>
      </c>
      <c r="H521" s="735" t="s">
        <v>59</v>
      </c>
      <c r="I521" s="736" t="s">
        <v>733</v>
      </c>
      <c r="J521" s="121"/>
      <c r="K521" s="137">
        <f>K522</f>
        <v>6749.9</v>
      </c>
      <c r="L521" s="137">
        <f>L522</f>
        <v>479.30000000000018</v>
      </c>
      <c r="M521" s="137">
        <f>M522</f>
        <v>7229.2</v>
      </c>
    </row>
    <row r="522" spans="1:13" s="355" customFormat="1" ht="56.25" customHeight="1">
      <c r="A522" s="122"/>
      <c r="B522" s="135" t="s">
        <v>97</v>
      </c>
      <c r="C522" s="136" t="s">
        <v>609</v>
      </c>
      <c r="D522" s="121" t="s">
        <v>246</v>
      </c>
      <c r="E522" s="121" t="s">
        <v>246</v>
      </c>
      <c r="F522" s="734" t="s">
        <v>59</v>
      </c>
      <c r="G522" s="735" t="s">
        <v>50</v>
      </c>
      <c r="H522" s="735" t="s">
        <v>59</v>
      </c>
      <c r="I522" s="736" t="s">
        <v>733</v>
      </c>
      <c r="J522" s="121" t="s">
        <v>98</v>
      </c>
      <c r="K522" s="137">
        <v>6749.9</v>
      </c>
      <c r="L522" s="137">
        <f>M522-K522</f>
        <v>479.30000000000018</v>
      </c>
      <c r="M522" s="137">
        <f>6749.9+479.3</f>
        <v>7229.2</v>
      </c>
    </row>
    <row r="523" spans="1:13" s="355" customFormat="1" ht="18.75" customHeight="1">
      <c r="A523" s="122"/>
      <c r="B523" s="135" t="s">
        <v>208</v>
      </c>
      <c r="C523" s="136" t="s">
        <v>609</v>
      </c>
      <c r="D523" s="121" t="s">
        <v>246</v>
      </c>
      <c r="E523" s="121" t="s">
        <v>100</v>
      </c>
      <c r="F523" s="734"/>
      <c r="G523" s="735"/>
      <c r="H523" s="735"/>
      <c r="I523" s="736"/>
      <c r="J523" s="121"/>
      <c r="K523" s="137">
        <f>K524</f>
        <v>62377.672000000006</v>
      </c>
      <c r="L523" s="137">
        <f>L524</f>
        <v>0</v>
      </c>
      <c r="M523" s="137">
        <f>M524</f>
        <v>62377.672000000006</v>
      </c>
    </row>
    <row r="524" spans="1:13" s="355" customFormat="1" ht="56.25" customHeight="1">
      <c r="A524" s="122"/>
      <c r="B524" s="135" t="s">
        <v>227</v>
      </c>
      <c r="C524" s="136" t="s">
        <v>609</v>
      </c>
      <c r="D524" s="121" t="s">
        <v>246</v>
      </c>
      <c r="E524" s="121" t="s">
        <v>100</v>
      </c>
      <c r="F524" s="734" t="s">
        <v>59</v>
      </c>
      <c r="G524" s="735" t="s">
        <v>62</v>
      </c>
      <c r="H524" s="735" t="s">
        <v>63</v>
      </c>
      <c r="I524" s="736" t="s">
        <v>64</v>
      </c>
      <c r="J524" s="121"/>
      <c r="K524" s="137">
        <f>K529+K525</f>
        <v>62377.672000000006</v>
      </c>
      <c r="L524" s="137">
        <f>L529+L525</f>
        <v>0</v>
      </c>
      <c r="M524" s="137">
        <f>M529+M525</f>
        <v>62377.672000000006</v>
      </c>
    </row>
    <row r="525" spans="1:13" s="355" customFormat="1" ht="25.5" customHeight="1">
      <c r="A525" s="122"/>
      <c r="B525" s="135" t="s">
        <v>232</v>
      </c>
      <c r="C525" s="136" t="s">
        <v>609</v>
      </c>
      <c r="D525" s="121" t="s">
        <v>246</v>
      </c>
      <c r="E525" s="121" t="s">
        <v>100</v>
      </c>
      <c r="F525" s="734" t="s">
        <v>59</v>
      </c>
      <c r="G525" s="735" t="s">
        <v>110</v>
      </c>
      <c r="H525" s="735" t="s">
        <v>63</v>
      </c>
      <c r="I525" s="736" t="s">
        <v>64</v>
      </c>
      <c r="J525" s="121"/>
      <c r="K525" s="137">
        <f t="shared" ref="K525:M527" si="127">K526</f>
        <v>36</v>
      </c>
      <c r="L525" s="137">
        <f t="shared" si="127"/>
        <v>0</v>
      </c>
      <c r="M525" s="137">
        <f t="shared" si="127"/>
        <v>36</v>
      </c>
    </row>
    <row r="526" spans="1:13" s="355" customFormat="1" ht="18.75" customHeight="1">
      <c r="A526" s="122"/>
      <c r="B526" s="135" t="s">
        <v>317</v>
      </c>
      <c r="C526" s="136" t="s">
        <v>609</v>
      </c>
      <c r="D526" s="121" t="s">
        <v>246</v>
      </c>
      <c r="E526" s="121" t="s">
        <v>100</v>
      </c>
      <c r="F526" s="734" t="s">
        <v>59</v>
      </c>
      <c r="G526" s="735" t="s">
        <v>110</v>
      </c>
      <c r="H526" s="735" t="s">
        <v>59</v>
      </c>
      <c r="I526" s="736" t="s">
        <v>64</v>
      </c>
      <c r="J526" s="121"/>
      <c r="K526" s="137">
        <f t="shared" si="127"/>
        <v>36</v>
      </c>
      <c r="L526" s="137">
        <f t="shared" si="127"/>
        <v>0</v>
      </c>
      <c r="M526" s="137">
        <f t="shared" si="127"/>
        <v>36</v>
      </c>
    </row>
    <row r="527" spans="1:13" s="355" customFormat="1" ht="58.15" customHeight="1">
      <c r="A527" s="122"/>
      <c r="B527" s="135" t="s">
        <v>318</v>
      </c>
      <c r="C527" s="136" t="s">
        <v>609</v>
      </c>
      <c r="D527" s="121" t="s">
        <v>246</v>
      </c>
      <c r="E527" s="121" t="s">
        <v>100</v>
      </c>
      <c r="F527" s="734" t="s">
        <v>59</v>
      </c>
      <c r="G527" s="735" t="s">
        <v>110</v>
      </c>
      <c r="H527" s="735" t="s">
        <v>59</v>
      </c>
      <c r="I527" s="736" t="s">
        <v>319</v>
      </c>
      <c r="J527" s="121"/>
      <c r="K527" s="137">
        <f t="shared" si="127"/>
        <v>36</v>
      </c>
      <c r="L527" s="137">
        <f t="shared" si="127"/>
        <v>0</v>
      </c>
      <c r="M527" s="137">
        <f t="shared" si="127"/>
        <v>36</v>
      </c>
    </row>
    <row r="528" spans="1:13" s="355" customFormat="1" ht="37.5" customHeight="1">
      <c r="A528" s="122"/>
      <c r="B528" s="135" t="s">
        <v>141</v>
      </c>
      <c r="C528" s="136" t="s">
        <v>609</v>
      </c>
      <c r="D528" s="121" t="s">
        <v>246</v>
      </c>
      <c r="E528" s="121" t="s">
        <v>100</v>
      </c>
      <c r="F528" s="734" t="s">
        <v>59</v>
      </c>
      <c r="G528" s="735" t="s">
        <v>110</v>
      </c>
      <c r="H528" s="735" t="s">
        <v>59</v>
      </c>
      <c r="I528" s="736" t="s">
        <v>319</v>
      </c>
      <c r="J528" s="121" t="s">
        <v>142</v>
      </c>
      <c r="K528" s="137">
        <v>36</v>
      </c>
      <c r="L528" s="137">
        <f>M528-K528</f>
        <v>0</v>
      </c>
      <c r="M528" s="137">
        <v>36</v>
      </c>
    </row>
    <row r="529" spans="1:13" s="355" customFormat="1" ht="56.25" customHeight="1">
      <c r="A529" s="122"/>
      <c r="B529" s="135" t="s">
        <v>234</v>
      </c>
      <c r="C529" s="136" t="s">
        <v>609</v>
      </c>
      <c r="D529" s="121" t="s">
        <v>246</v>
      </c>
      <c r="E529" s="121" t="s">
        <v>100</v>
      </c>
      <c r="F529" s="734" t="s">
        <v>59</v>
      </c>
      <c r="G529" s="735" t="s">
        <v>50</v>
      </c>
      <c r="H529" s="735" t="s">
        <v>63</v>
      </c>
      <c r="I529" s="736" t="s">
        <v>64</v>
      </c>
      <c r="J529" s="121"/>
      <c r="K529" s="137">
        <f t="shared" ref="K529:M529" si="128">K530</f>
        <v>62341.672000000006</v>
      </c>
      <c r="L529" s="137">
        <f t="shared" si="128"/>
        <v>0</v>
      </c>
      <c r="M529" s="137">
        <f t="shared" si="128"/>
        <v>62341.672000000006</v>
      </c>
    </row>
    <row r="530" spans="1:13" s="355" customFormat="1" ht="37.5" customHeight="1">
      <c r="A530" s="122"/>
      <c r="B530" s="135" t="s">
        <v>322</v>
      </c>
      <c r="C530" s="136" t="s">
        <v>609</v>
      </c>
      <c r="D530" s="121" t="s">
        <v>246</v>
      </c>
      <c r="E530" s="121" t="s">
        <v>100</v>
      </c>
      <c r="F530" s="734" t="s">
        <v>59</v>
      </c>
      <c r="G530" s="735" t="s">
        <v>50</v>
      </c>
      <c r="H530" s="735" t="s">
        <v>57</v>
      </c>
      <c r="I530" s="736" t="s">
        <v>64</v>
      </c>
      <c r="J530" s="121"/>
      <c r="K530" s="137">
        <f>K531+K535+K540+K544+K542</f>
        <v>62341.672000000006</v>
      </c>
      <c r="L530" s="137">
        <f>L531+L535+L544+L542+L540</f>
        <v>0</v>
      </c>
      <c r="M530" s="137">
        <f>M531+M535+M540+M544+M542</f>
        <v>62341.672000000006</v>
      </c>
    </row>
    <row r="531" spans="1:13" s="355" customFormat="1" ht="37.5" customHeight="1">
      <c r="A531" s="122"/>
      <c r="B531" s="135" t="s">
        <v>67</v>
      </c>
      <c r="C531" s="136" t="s">
        <v>609</v>
      </c>
      <c r="D531" s="121" t="s">
        <v>246</v>
      </c>
      <c r="E531" s="121" t="s">
        <v>100</v>
      </c>
      <c r="F531" s="734" t="s">
        <v>59</v>
      </c>
      <c r="G531" s="735" t="s">
        <v>50</v>
      </c>
      <c r="H531" s="735" t="s">
        <v>57</v>
      </c>
      <c r="I531" s="736" t="s">
        <v>68</v>
      </c>
      <c r="J531" s="121"/>
      <c r="K531" s="137">
        <f>K532+K533+K534</f>
        <v>9945.0660000000007</v>
      </c>
      <c r="L531" s="137">
        <f>L532+L533+L534</f>
        <v>0</v>
      </c>
      <c r="M531" s="137">
        <f>M532+M533+M534</f>
        <v>9945.0660000000007</v>
      </c>
    </row>
    <row r="532" spans="1:13" s="355" customFormat="1" ht="112.5" customHeight="1">
      <c r="A532" s="122"/>
      <c r="B532" s="135" t="s">
        <v>69</v>
      </c>
      <c r="C532" s="136" t="s">
        <v>609</v>
      </c>
      <c r="D532" s="121" t="s">
        <v>246</v>
      </c>
      <c r="E532" s="121" t="s">
        <v>100</v>
      </c>
      <c r="F532" s="734" t="s">
        <v>59</v>
      </c>
      <c r="G532" s="735" t="s">
        <v>50</v>
      </c>
      <c r="H532" s="735" t="s">
        <v>57</v>
      </c>
      <c r="I532" s="736" t="s">
        <v>68</v>
      </c>
      <c r="J532" s="121" t="s">
        <v>70</v>
      </c>
      <c r="K532" s="137">
        <v>9265.9</v>
      </c>
      <c r="L532" s="137">
        <f t="shared" ref="L532:L534" si="129">M532-K532</f>
        <v>0</v>
      </c>
      <c r="M532" s="137">
        <v>9265.9</v>
      </c>
    </row>
    <row r="533" spans="1:13" s="355" customFormat="1" ht="56.25" customHeight="1">
      <c r="A533" s="122"/>
      <c r="B533" s="135" t="s">
        <v>75</v>
      </c>
      <c r="C533" s="136" t="s">
        <v>609</v>
      </c>
      <c r="D533" s="121" t="s">
        <v>246</v>
      </c>
      <c r="E533" s="121" t="s">
        <v>100</v>
      </c>
      <c r="F533" s="734" t="s">
        <v>59</v>
      </c>
      <c r="G533" s="735" t="s">
        <v>50</v>
      </c>
      <c r="H533" s="735" t="s">
        <v>57</v>
      </c>
      <c r="I533" s="736" t="s">
        <v>68</v>
      </c>
      <c r="J533" s="121" t="s">
        <v>76</v>
      </c>
      <c r="K533" s="137">
        <f>638.5+31.1+7.466-2.3-12.8</f>
        <v>661.96600000000012</v>
      </c>
      <c r="L533" s="137">
        <f t="shared" si="129"/>
        <v>0</v>
      </c>
      <c r="M533" s="137">
        <f>638.5+31.1+7.466-2.3-12.8</f>
        <v>661.96600000000012</v>
      </c>
    </row>
    <row r="534" spans="1:13" s="355" customFormat="1" ht="18.75" customHeight="1">
      <c r="A534" s="122"/>
      <c r="B534" s="135" t="s">
        <v>77</v>
      </c>
      <c r="C534" s="136" t="s">
        <v>609</v>
      </c>
      <c r="D534" s="121" t="s">
        <v>246</v>
      </c>
      <c r="E534" s="121" t="s">
        <v>100</v>
      </c>
      <c r="F534" s="734" t="s">
        <v>59</v>
      </c>
      <c r="G534" s="735" t="s">
        <v>50</v>
      </c>
      <c r="H534" s="735" t="s">
        <v>57</v>
      </c>
      <c r="I534" s="736" t="s">
        <v>68</v>
      </c>
      <c r="J534" s="121" t="s">
        <v>78</v>
      </c>
      <c r="K534" s="137">
        <f>14.9+2.3</f>
        <v>17.2</v>
      </c>
      <c r="L534" s="137">
        <f t="shared" si="129"/>
        <v>0</v>
      </c>
      <c r="M534" s="137">
        <f>14.9+2.3</f>
        <v>17.2</v>
      </c>
    </row>
    <row r="535" spans="1:13" s="355" customFormat="1" ht="35.25" customHeight="1">
      <c r="A535" s="122"/>
      <c r="B535" s="138" t="s">
        <v>795</v>
      </c>
      <c r="C535" s="136" t="s">
        <v>609</v>
      </c>
      <c r="D535" s="121" t="s">
        <v>246</v>
      </c>
      <c r="E535" s="121" t="s">
        <v>100</v>
      </c>
      <c r="F535" s="734" t="s">
        <v>59</v>
      </c>
      <c r="G535" s="735" t="s">
        <v>50</v>
      </c>
      <c r="H535" s="735" t="s">
        <v>57</v>
      </c>
      <c r="I535" s="736" t="s">
        <v>112</v>
      </c>
      <c r="J535" s="121"/>
      <c r="K535" s="137">
        <f>K536+K537+K539+K538</f>
        <v>46129.406000000003</v>
      </c>
      <c r="L535" s="137">
        <f>L536+L537+L539+L538</f>
        <v>0</v>
      </c>
      <c r="M535" s="137">
        <f>M536+M537+M539+M538</f>
        <v>46129.406000000003</v>
      </c>
    </row>
    <row r="536" spans="1:13" s="355" customFormat="1" ht="112.5" customHeight="1">
      <c r="A536" s="122"/>
      <c r="B536" s="135" t="s">
        <v>69</v>
      </c>
      <c r="C536" s="136" t="s">
        <v>609</v>
      </c>
      <c r="D536" s="121" t="s">
        <v>246</v>
      </c>
      <c r="E536" s="121" t="s">
        <v>100</v>
      </c>
      <c r="F536" s="734" t="s">
        <v>59</v>
      </c>
      <c r="G536" s="735" t="s">
        <v>50</v>
      </c>
      <c r="H536" s="735" t="s">
        <v>57</v>
      </c>
      <c r="I536" s="736" t="s">
        <v>112</v>
      </c>
      <c r="J536" s="121" t="s">
        <v>70</v>
      </c>
      <c r="K536" s="137">
        <f>27266.3-1421.3+1421.3</f>
        <v>27266.3</v>
      </c>
      <c r="L536" s="137">
        <f t="shared" ref="L536:L541" si="130">M536-K536</f>
        <v>0</v>
      </c>
      <c r="M536" s="137">
        <f>27266.3-1421.3+1421.3</f>
        <v>27266.3</v>
      </c>
    </row>
    <row r="537" spans="1:13" s="355" customFormat="1" ht="56.25" customHeight="1">
      <c r="A537" s="122"/>
      <c r="B537" s="135" t="s">
        <v>75</v>
      </c>
      <c r="C537" s="136" t="s">
        <v>609</v>
      </c>
      <c r="D537" s="121" t="s">
        <v>246</v>
      </c>
      <c r="E537" s="121" t="s">
        <v>100</v>
      </c>
      <c r="F537" s="734" t="s">
        <v>59</v>
      </c>
      <c r="G537" s="735" t="s">
        <v>50</v>
      </c>
      <c r="H537" s="735" t="s">
        <v>57</v>
      </c>
      <c r="I537" s="736" t="s">
        <v>112</v>
      </c>
      <c r="J537" s="121" t="s">
        <v>76</v>
      </c>
      <c r="K537" s="137">
        <f>2461+8.906</f>
        <v>2469.9059999999999</v>
      </c>
      <c r="L537" s="137">
        <f t="shared" si="130"/>
        <v>0</v>
      </c>
      <c r="M537" s="137">
        <f>2461+8.906</f>
        <v>2469.9059999999999</v>
      </c>
    </row>
    <row r="538" spans="1:13" s="355" customFormat="1" ht="56.25" customHeight="1">
      <c r="A538" s="122"/>
      <c r="B538" s="135" t="s">
        <v>97</v>
      </c>
      <c r="C538" s="136" t="s">
        <v>609</v>
      </c>
      <c r="D538" s="121" t="s">
        <v>246</v>
      </c>
      <c r="E538" s="121" t="s">
        <v>100</v>
      </c>
      <c r="F538" s="734" t="s">
        <v>59</v>
      </c>
      <c r="G538" s="735" t="s">
        <v>50</v>
      </c>
      <c r="H538" s="735" t="s">
        <v>57</v>
      </c>
      <c r="I538" s="736" t="s">
        <v>112</v>
      </c>
      <c r="J538" s="121" t="s">
        <v>98</v>
      </c>
      <c r="K538" s="137">
        <v>16385</v>
      </c>
      <c r="L538" s="137">
        <f t="shared" si="130"/>
        <v>0</v>
      </c>
      <c r="M538" s="137">
        <v>16385</v>
      </c>
    </row>
    <row r="539" spans="1:13" s="355" customFormat="1" ht="18.75" customHeight="1">
      <c r="A539" s="122"/>
      <c r="B539" s="135" t="s">
        <v>77</v>
      </c>
      <c r="C539" s="136" t="s">
        <v>609</v>
      </c>
      <c r="D539" s="121" t="s">
        <v>246</v>
      </c>
      <c r="E539" s="121" t="s">
        <v>100</v>
      </c>
      <c r="F539" s="734" t="s">
        <v>59</v>
      </c>
      <c r="G539" s="735" t="s">
        <v>50</v>
      </c>
      <c r="H539" s="735" t="s">
        <v>57</v>
      </c>
      <c r="I539" s="736" t="s">
        <v>112</v>
      </c>
      <c r="J539" s="121" t="s">
        <v>78</v>
      </c>
      <c r="K539" s="137">
        <v>8.1999999999999993</v>
      </c>
      <c r="L539" s="137">
        <f t="shared" si="130"/>
        <v>0</v>
      </c>
      <c r="M539" s="137">
        <v>8.1999999999999993</v>
      </c>
    </row>
    <row r="540" spans="1:13" s="355" customFormat="1" ht="18.75" customHeight="1">
      <c r="A540" s="122"/>
      <c r="B540" s="135" t="s">
        <v>796</v>
      </c>
      <c r="C540" s="136" t="s">
        <v>609</v>
      </c>
      <c r="D540" s="121" t="s">
        <v>246</v>
      </c>
      <c r="E540" s="121" t="s">
        <v>100</v>
      </c>
      <c r="F540" s="734" t="s">
        <v>59</v>
      </c>
      <c r="G540" s="735" t="s">
        <v>50</v>
      </c>
      <c r="H540" s="735" t="s">
        <v>57</v>
      </c>
      <c r="I540" s="736" t="s">
        <v>479</v>
      </c>
      <c r="J540" s="121"/>
      <c r="K540" s="137">
        <f>K541</f>
        <v>67.3</v>
      </c>
      <c r="L540" s="137">
        <f>L541</f>
        <v>0</v>
      </c>
      <c r="M540" s="137">
        <f>M541</f>
        <v>67.3</v>
      </c>
    </row>
    <row r="541" spans="1:13" s="355" customFormat="1" ht="56.25" customHeight="1">
      <c r="A541" s="122"/>
      <c r="B541" s="135" t="s">
        <v>75</v>
      </c>
      <c r="C541" s="136" t="s">
        <v>609</v>
      </c>
      <c r="D541" s="121" t="s">
        <v>246</v>
      </c>
      <c r="E541" s="121" t="s">
        <v>100</v>
      </c>
      <c r="F541" s="734" t="s">
        <v>59</v>
      </c>
      <c r="G541" s="735" t="s">
        <v>50</v>
      </c>
      <c r="H541" s="735" t="s">
        <v>57</v>
      </c>
      <c r="I541" s="736" t="s">
        <v>479</v>
      </c>
      <c r="J541" s="121" t="s">
        <v>76</v>
      </c>
      <c r="K541" s="137">
        <v>67.3</v>
      </c>
      <c r="L541" s="137">
        <f t="shared" si="130"/>
        <v>0</v>
      </c>
      <c r="M541" s="137">
        <v>67.3</v>
      </c>
    </row>
    <row r="542" spans="1:13" s="355" customFormat="1" ht="34.5" customHeight="1">
      <c r="A542" s="122"/>
      <c r="B542" s="135" t="s">
        <v>230</v>
      </c>
      <c r="C542" s="136" t="s">
        <v>609</v>
      </c>
      <c r="D542" s="121" t="s">
        <v>246</v>
      </c>
      <c r="E542" s="121" t="s">
        <v>100</v>
      </c>
      <c r="F542" s="734" t="s">
        <v>59</v>
      </c>
      <c r="G542" s="735" t="s">
        <v>50</v>
      </c>
      <c r="H542" s="735" t="s">
        <v>57</v>
      </c>
      <c r="I542" s="736" t="s">
        <v>314</v>
      </c>
      <c r="J542" s="121"/>
      <c r="K542" s="137">
        <f>K543</f>
        <v>10</v>
      </c>
      <c r="L542" s="137">
        <f>L543</f>
        <v>0</v>
      </c>
      <c r="M542" s="137">
        <f>M543</f>
        <v>10</v>
      </c>
    </row>
    <row r="543" spans="1:13" s="355" customFormat="1" ht="57" customHeight="1">
      <c r="A543" s="122"/>
      <c r="B543" s="135" t="s">
        <v>75</v>
      </c>
      <c r="C543" s="136" t="s">
        <v>609</v>
      </c>
      <c r="D543" s="121" t="s">
        <v>246</v>
      </c>
      <c r="E543" s="121" t="s">
        <v>100</v>
      </c>
      <c r="F543" s="734" t="s">
        <v>59</v>
      </c>
      <c r="G543" s="735" t="s">
        <v>50</v>
      </c>
      <c r="H543" s="735" t="s">
        <v>57</v>
      </c>
      <c r="I543" s="736" t="s">
        <v>314</v>
      </c>
      <c r="J543" s="121" t="s">
        <v>76</v>
      </c>
      <c r="K543" s="137">
        <v>10</v>
      </c>
      <c r="L543" s="137">
        <f>M543-K543</f>
        <v>0</v>
      </c>
      <c r="M543" s="137">
        <v>10</v>
      </c>
    </row>
    <row r="544" spans="1:13" s="355" customFormat="1" ht="111" customHeight="1">
      <c r="A544" s="122"/>
      <c r="B544" s="135" t="s">
        <v>415</v>
      </c>
      <c r="C544" s="136" t="s">
        <v>609</v>
      </c>
      <c r="D544" s="121" t="s">
        <v>246</v>
      </c>
      <c r="E544" s="121" t="s">
        <v>100</v>
      </c>
      <c r="F544" s="734" t="s">
        <v>59</v>
      </c>
      <c r="G544" s="735" t="s">
        <v>50</v>
      </c>
      <c r="H544" s="735" t="s">
        <v>57</v>
      </c>
      <c r="I544" s="736" t="s">
        <v>310</v>
      </c>
      <c r="J544" s="121"/>
      <c r="K544" s="137">
        <f>K545+K546</f>
        <v>6189.9</v>
      </c>
      <c r="L544" s="137">
        <f>L545+L546</f>
        <v>0</v>
      </c>
      <c r="M544" s="137">
        <f>M545+M546</f>
        <v>6189.9</v>
      </c>
    </row>
    <row r="545" spans="1:13" s="355" customFormat="1" ht="112.5" customHeight="1">
      <c r="A545" s="122"/>
      <c r="B545" s="135" t="s">
        <v>69</v>
      </c>
      <c r="C545" s="136" t="s">
        <v>609</v>
      </c>
      <c r="D545" s="121" t="s">
        <v>246</v>
      </c>
      <c r="E545" s="121" t="s">
        <v>100</v>
      </c>
      <c r="F545" s="734" t="s">
        <v>59</v>
      </c>
      <c r="G545" s="735" t="s">
        <v>50</v>
      </c>
      <c r="H545" s="735" t="s">
        <v>57</v>
      </c>
      <c r="I545" s="736" t="s">
        <v>310</v>
      </c>
      <c r="J545" s="121" t="s">
        <v>70</v>
      </c>
      <c r="K545" s="137">
        <v>5863.4</v>
      </c>
      <c r="L545" s="137">
        <f t="shared" ref="L545:L546" si="131">M545-K545</f>
        <v>0</v>
      </c>
      <c r="M545" s="137">
        <v>5863.4</v>
      </c>
    </row>
    <row r="546" spans="1:13" s="355" customFormat="1" ht="56.25" customHeight="1">
      <c r="A546" s="122"/>
      <c r="B546" s="135" t="s">
        <v>75</v>
      </c>
      <c r="C546" s="136" t="s">
        <v>609</v>
      </c>
      <c r="D546" s="121" t="s">
        <v>246</v>
      </c>
      <c r="E546" s="121" t="s">
        <v>100</v>
      </c>
      <c r="F546" s="734" t="s">
        <v>59</v>
      </c>
      <c r="G546" s="735" t="s">
        <v>50</v>
      </c>
      <c r="H546" s="735" t="s">
        <v>57</v>
      </c>
      <c r="I546" s="736" t="s">
        <v>310</v>
      </c>
      <c r="J546" s="121" t="s">
        <v>76</v>
      </c>
      <c r="K546" s="137">
        <v>326.5</v>
      </c>
      <c r="L546" s="137">
        <f t="shared" si="131"/>
        <v>0</v>
      </c>
      <c r="M546" s="137">
        <v>326.5</v>
      </c>
    </row>
    <row r="547" spans="1:13" s="355" customFormat="1" ht="18.75" customHeight="1">
      <c r="A547" s="122"/>
      <c r="B547" s="140" t="s">
        <v>140</v>
      </c>
      <c r="C547" s="136" t="s">
        <v>609</v>
      </c>
      <c r="D547" s="121" t="s">
        <v>125</v>
      </c>
      <c r="E547" s="121"/>
      <c r="F547" s="734"/>
      <c r="G547" s="735"/>
      <c r="H547" s="735"/>
      <c r="I547" s="736"/>
      <c r="J547" s="121"/>
      <c r="K547" s="137">
        <f t="shared" ref="K547:M548" si="132">K548</f>
        <v>8034.2</v>
      </c>
      <c r="L547" s="137">
        <f t="shared" si="132"/>
        <v>-600.00000000000034</v>
      </c>
      <c r="M547" s="137">
        <f t="shared" si="132"/>
        <v>7434.2</v>
      </c>
    </row>
    <row r="548" spans="1:13" s="355" customFormat="1" ht="18.75" customHeight="1">
      <c r="A548" s="122"/>
      <c r="B548" s="140" t="s">
        <v>215</v>
      </c>
      <c r="C548" s="136" t="s">
        <v>609</v>
      </c>
      <c r="D548" s="121" t="s">
        <v>125</v>
      </c>
      <c r="E548" s="121" t="s">
        <v>72</v>
      </c>
      <c r="F548" s="734"/>
      <c r="G548" s="735"/>
      <c r="H548" s="735"/>
      <c r="I548" s="736"/>
      <c r="J548" s="121"/>
      <c r="K548" s="137">
        <f t="shared" si="132"/>
        <v>8034.2</v>
      </c>
      <c r="L548" s="137">
        <f t="shared" si="132"/>
        <v>-600.00000000000034</v>
      </c>
      <c r="M548" s="137">
        <f t="shared" si="132"/>
        <v>7434.2</v>
      </c>
    </row>
    <row r="549" spans="1:13" s="355" customFormat="1" ht="56.25" customHeight="1">
      <c r="A549" s="122"/>
      <c r="B549" s="135" t="s">
        <v>227</v>
      </c>
      <c r="C549" s="136" t="s">
        <v>609</v>
      </c>
      <c r="D549" s="121" t="s">
        <v>125</v>
      </c>
      <c r="E549" s="121" t="s">
        <v>72</v>
      </c>
      <c r="F549" s="734" t="s">
        <v>59</v>
      </c>
      <c r="G549" s="735" t="s">
        <v>62</v>
      </c>
      <c r="H549" s="735" t="s">
        <v>63</v>
      </c>
      <c r="I549" s="736" t="s">
        <v>64</v>
      </c>
      <c r="J549" s="121"/>
      <c r="K549" s="137">
        <f t="shared" ref="K549:M551" si="133">K550</f>
        <v>8034.2</v>
      </c>
      <c r="L549" s="137">
        <f t="shared" si="133"/>
        <v>-600.00000000000034</v>
      </c>
      <c r="M549" s="137">
        <f t="shared" si="133"/>
        <v>7434.2</v>
      </c>
    </row>
    <row r="550" spans="1:13" s="355" customFormat="1" ht="37.5" customHeight="1">
      <c r="A550" s="122"/>
      <c r="B550" s="135" t="s">
        <v>228</v>
      </c>
      <c r="C550" s="136" t="s">
        <v>609</v>
      </c>
      <c r="D550" s="121" t="s">
        <v>125</v>
      </c>
      <c r="E550" s="121" t="s">
        <v>72</v>
      </c>
      <c r="F550" s="734" t="s">
        <v>59</v>
      </c>
      <c r="G550" s="735" t="s">
        <v>65</v>
      </c>
      <c r="H550" s="735" t="s">
        <v>63</v>
      </c>
      <c r="I550" s="736" t="s">
        <v>64</v>
      </c>
      <c r="J550" s="121"/>
      <c r="K550" s="137">
        <f t="shared" si="133"/>
        <v>8034.2</v>
      </c>
      <c r="L550" s="137">
        <f t="shared" si="133"/>
        <v>-600.00000000000034</v>
      </c>
      <c r="M550" s="137">
        <f t="shared" si="133"/>
        <v>7434.2</v>
      </c>
    </row>
    <row r="551" spans="1:13" s="355" customFormat="1" ht="37.5" customHeight="1">
      <c r="A551" s="122"/>
      <c r="B551" s="135" t="s">
        <v>307</v>
      </c>
      <c r="C551" s="136" t="s">
        <v>609</v>
      </c>
      <c r="D551" s="121" t="s">
        <v>125</v>
      </c>
      <c r="E551" s="121" t="s">
        <v>72</v>
      </c>
      <c r="F551" s="734" t="s">
        <v>59</v>
      </c>
      <c r="G551" s="735" t="s">
        <v>65</v>
      </c>
      <c r="H551" s="735" t="s">
        <v>57</v>
      </c>
      <c r="I551" s="736" t="s">
        <v>64</v>
      </c>
      <c r="J551" s="121"/>
      <c r="K551" s="137">
        <f t="shared" si="133"/>
        <v>8034.2</v>
      </c>
      <c r="L551" s="137">
        <f t="shared" si="133"/>
        <v>-600.00000000000034</v>
      </c>
      <c r="M551" s="137">
        <f t="shared" si="133"/>
        <v>7434.2</v>
      </c>
    </row>
    <row r="552" spans="1:13" s="355" customFormat="1" ht="127.15" customHeight="1">
      <c r="A552" s="122"/>
      <c r="B552" s="135" t="s">
        <v>323</v>
      </c>
      <c r="C552" s="136" t="s">
        <v>609</v>
      </c>
      <c r="D552" s="121" t="s">
        <v>125</v>
      </c>
      <c r="E552" s="121" t="s">
        <v>72</v>
      </c>
      <c r="F552" s="734" t="s">
        <v>59</v>
      </c>
      <c r="G552" s="735" t="s">
        <v>65</v>
      </c>
      <c r="H552" s="735" t="s">
        <v>57</v>
      </c>
      <c r="I552" s="736" t="s">
        <v>324</v>
      </c>
      <c r="J552" s="121"/>
      <c r="K552" s="137">
        <f>K553+K554</f>
        <v>8034.2</v>
      </c>
      <c r="L552" s="137">
        <f>L553+L554</f>
        <v>-600.00000000000034</v>
      </c>
      <c r="M552" s="137">
        <f>M553+M554</f>
        <v>7434.2</v>
      </c>
    </row>
    <row r="553" spans="1:13" s="355" customFormat="1" ht="56.25" customHeight="1">
      <c r="A553" s="122"/>
      <c r="B553" s="135" t="s">
        <v>75</v>
      </c>
      <c r="C553" s="136" t="s">
        <v>609</v>
      </c>
      <c r="D553" s="121" t="s">
        <v>125</v>
      </c>
      <c r="E553" s="121" t="s">
        <v>72</v>
      </c>
      <c r="F553" s="734" t="s">
        <v>59</v>
      </c>
      <c r="G553" s="735" t="s">
        <v>65</v>
      </c>
      <c r="H553" s="735" t="s">
        <v>57</v>
      </c>
      <c r="I553" s="736" t="s">
        <v>324</v>
      </c>
      <c r="J553" s="121" t="s">
        <v>76</v>
      </c>
      <c r="K553" s="137">
        <v>118.7</v>
      </c>
      <c r="L553" s="137">
        <f t="shared" ref="L553:L554" si="134">M553-K553</f>
        <v>-8.9000000000000057</v>
      </c>
      <c r="M553" s="137">
        <f>118.7-8.9</f>
        <v>109.8</v>
      </c>
    </row>
    <row r="554" spans="1:13" s="355" customFormat="1" ht="37.5" customHeight="1">
      <c r="A554" s="122"/>
      <c r="B554" s="139" t="s">
        <v>141</v>
      </c>
      <c r="C554" s="136" t="s">
        <v>609</v>
      </c>
      <c r="D554" s="121" t="s">
        <v>125</v>
      </c>
      <c r="E554" s="121" t="s">
        <v>72</v>
      </c>
      <c r="F554" s="734" t="s">
        <v>59</v>
      </c>
      <c r="G554" s="735" t="s">
        <v>65</v>
      </c>
      <c r="H554" s="735" t="s">
        <v>57</v>
      </c>
      <c r="I554" s="736" t="s">
        <v>324</v>
      </c>
      <c r="J554" s="121" t="s">
        <v>142</v>
      </c>
      <c r="K554" s="137">
        <v>7915.5</v>
      </c>
      <c r="L554" s="137">
        <f t="shared" si="134"/>
        <v>-591.10000000000036</v>
      </c>
      <c r="M554" s="137">
        <f>7915.5-591.1</f>
        <v>7324.4</v>
      </c>
    </row>
    <row r="555" spans="1:13" s="372" customFormat="1" ht="18.75" customHeight="1">
      <c r="A555" s="367"/>
      <c r="B555" s="332"/>
      <c r="C555" s="409"/>
      <c r="D555" s="410"/>
      <c r="E555" s="410"/>
      <c r="F555" s="411"/>
      <c r="G555" s="412"/>
      <c r="H555" s="412"/>
      <c r="I555" s="413"/>
      <c r="J555" s="410"/>
      <c r="K555" s="371"/>
      <c r="L555" s="667"/>
      <c r="M555" s="371"/>
    </row>
    <row r="556" spans="1:13" s="351" customFormat="1" ht="56.25" customHeight="1">
      <c r="A556" s="350">
        <v>6</v>
      </c>
      <c r="B556" s="388" t="s">
        <v>25</v>
      </c>
      <c r="C556" s="130" t="s">
        <v>377</v>
      </c>
      <c r="D556" s="131"/>
      <c r="E556" s="131"/>
      <c r="F556" s="132"/>
      <c r="G556" s="133"/>
      <c r="H556" s="133"/>
      <c r="I556" s="134"/>
      <c r="J556" s="131"/>
      <c r="K556" s="160">
        <f>K567+K590+K557</f>
        <v>93565.2</v>
      </c>
      <c r="L556" s="160">
        <f>L567+L590+L557</f>
        <v>1767.5999999999997</v>
      </c>
      <c r="M556" s="160">
        <f>M567+M590+M557</f>
        <v>95332.800000000003</v>
      </c>
    </row>
    <row r="557" spans="1:13" s="351" customFormat="1" ht="24.75" customHeight="1">
      <c r="A557" s="350"/>
      <c r="B557" s="135" t="s">
        <v>56</v>
      </c>
      <c r="C557" s="136" t="s">
        <v>377</v>
      </c>
      <c r="D557" s="152" t="s">
        <v>57</v>
      </c>
      <c r="E557" s="131"/>
      <c r="F557" s="132"/>
      <c r="G557" s="133"/>
      <c r="H557" s="133"/>
      <c r="I557" s="134"/>
      <c r="J557" s="131"/>
      <c r="K557" s="538">
        <f t="shared" ref="K557:M565" si="135">K558</f>
        <v>131.19999999999999</v>
      </c>
      <c r="L557" s="538">
        <f t="shared" si="135"/>
        <v>94.6</v>
      </c>
      <c r="M557" s="538">
        <f t="shared" si="135"/>
        <v>225.79999999999998</v>
      </c>
    </row>
    <row r="558" spans="1:13" s="351" customFormat="1" ht="20.25" customHeight="1">
      <c r="A558" s="350"/>
      <c r="B558" s="135" t="s">
        <v>91</v>
      </c>
      <c r="C558" s="136" t="s">
        <v>377</v>
      </c>
      <c r="D558" s="152" t="s">
        <v>57</v>
      </c>
      <c r="E558" s="152" t="s">
        <v>92</v>
      </c>
      <c r="F558" s="132"/>
      <c r="G558" s="133"/>
      <c r="H558" s="133"/>
      <c r="I558" s="134"/>
      <c r="J558" s="131"/>
      <c r="K558" s="538">
        <f>K560</f>
        <v>131.19999999999999</v>
      </c>
      <c r="L558" s="538">
        <f>L560</f>
        <v>94.6</v>
      </c>
      <c r="M558" s="538">
        <f>M560</f>
        <v>225.79999999999998</v>
      </c>
    </row>
    <row r="559" spans="1:13" s="351" customFormat="1" ht="56.25" customHeight="1">
      <c r="A559" s="350"/>
      <c r="B559" s="141" t="s">
        <v>235</v>
      </c>
      <c r="C559" s="136" t="s">
        <v>377</v>
      </c>
      <c r="D559" s="121" t="s">
        <v>57</v>
      </c>
      <c r="E559" s="121" t="s">
        <v>92</v>
      </c>
      <c r="F559" s="734" t="s">
        <v>84</v>
      </c>
      <c r="G559" s="735" t="s">
        <v>62</v>
      </c>
      <c r="H559" s="735" t="s">
        <v>63</v>
      </c>
      <c r="I559" s="736" t="s">
        <v>64</v>
      </c>
      <c r="J559" s="131"/>
      <c r="K559" s="538">
        <f>K560</f>
        <v>131.19999999999999</v>
      </c>
      <c r="L559" s="538">
        <f>L560</f>
        <v>94.6</v>
      </c>
      <c r="M559" s="538">
        <f>M560</f>
        <v>225.79999999999998</v>
      </c>
    </row>
    <row r="560" spans="1:13" s="351" customFormat="1" ht="56.25" customHeight="1">
      <c r="A560" s="350"/>
      <c r="B560" s="135" t="s">
        <v>238</v>
      </c>
      <c r="C560" s="136" t="s">
        <v>377</v>
      </c>
      <c r="D560" s="152" t="s">
        <v>57</v>
      </c>
      <c r="E560" s="152" t="s">
        <v>92</v>
      </c>
      <c r="F560" s="535" t="s">
        <v>84</v>
      </c>
      <c r="G560" s="536" t="s">
        <v>50</v>
      </c>
      <c r="H560" s="536" t="s">
        <v>63</v>
      </c>
      <c r="I560" s="537" t="s">
        <v>64</v>
      </c>
      <c r="J560" s="131"/>
      <c r="K560" s="538">
        <f>K561+K564</f>
        <v>131.19999999999999</v>
      </c>
      <c r="L560" s="538">
        <f t="shared" ref="L560:M560" si="136">L561+L564</f>
        <v>94.6</v>
      </c>
      <c r="M560" s="538">
        <f t="shared" si="136"/>
        <v>225.79999999999998</v>
      </c>
    </row>
    <row r="561" spans="1:13" s="351" customFormat="1" ht="37.5" customHeight="1">
      <c r="A561" s="350"/>
      <c r="B561" s="135" t="s">
        <v>428</v>
      </c>
      <c r="C561" s="136" t="s">
        <v>377</v>
      </c>
      <c r="D561" s="152" t="s">
        <v>57</v>
      </c>
      <c r="E561" s="152" t="s">
        <v>92</v>
      </c>
      <c r="F561" s="535" t="s">
        <v>84</v>
      </c>
      <c r="G561" s="536" t="s">
        <v>50</v>
      </c>
      <c r="H561" s="536" t="s">
        <v>59</v>
      </c>
      <c r="I561" s="537" t="s">
        <v>64</v>
      </c>
      <c r="J561" s="131"/>
      <c r="K561" s="538">
        <f t="shared" si="135"/>
        <v>131.19999999999999</v>
      </c>
      <c r="L561" s="538">
        <f t="shared" si="135"/>
        <v>0</v>
      </c>
      <c r="M561" s="538">
        <f t="shared" si="135"/>
        <v>131.19999999999999</v>
      </c>
    </row>
    <row r="562" spans="1:13" s="351" customFormat="1" ht="54.75" customHeight="1">
      <c r="A562" s="350"/>
      <c r="B562" s="135" t="s">
        <v>429</v>
      </c>
      <c r="C562" s="136" t="s">
        <v>377</v>
      </c>
      <c r="D562" s="152" t="s">
        <v>57</v>
      </c>
      <c r="E562" s="152" t="s">
        <v>92</v>
      </c>
      <c r="F562" s="535" t="s">
        <v>84</v>
      </c>
      <c r="G562" s="536" t="s">
        <v>50</v>
      </c>
      <c r="H562" s="536" t="s">
        <v>59</v>
      </c>
      <c r="I562" s="537" t="s">
        <v>126</v>
      </c>
      <c r="J562" s="131"/>
      <c r="K562" s="538">
        <f t="shared" si="135"/>
        <v>131.19999999999999</v>
      </c>
      <c r="L562" s="538">
        <f t="shared" si="135"/>
        <v>0</v>
      </c>
      <c r="M562" s="538">
        <f t="shared" si="135"/>
        <v>131.19999999999999</v>
      </c>
    </row>
    <row r="563" spans="1:13" s="351" customFormat="1" ht="56.25" customHeight="1">
      <c r="A563" s="350"/>
      <c r="B563" s="135" t="s">
        <v>75</v>
      </c>
      <c r="C563" s="136" t="s">
        <v>377</v>
      </c>
      <c r="D563" s="152" t="s">
        <v>57</v>
      </c>
      <c r="E563" s="152" t="s">
        <v>92</v>
      </c>
      <c r="F563" s="535" t="s">
        <v>84</v>
      </c>
      <c r="G563" s="536" t="s">
        <v>50</v>
      </c>
      <c r="H563" s="536" t="s">
        <v>59</v>
      </c>
      <c r="I563" s="537" t="s">
        <v>126</v>
      </c>
      <c r="J563" s="152" t="s">
        <v>76</v>
      </c>
      <c r="K563" s="538">
        <f>50.7+80.5</f>
        <v>131.19999999999999</v>
      </c>
      <c r="L563" s="137">
        <f>M563-K563</f>
        <v>0</v>
      </c>
      <c r="M563" s="538">
        <f>50.7+80.5</f>
        <v>131.19999999999999</v>
      </c>
    </row>
    <row r="564" spans="1:13" s="351" customFormat="1" ht="37.15" customHeight="1">
      <c r="A564" s="350"/>
      <c r="B564" s="135" t="s">
        <v>464</v>
      </c>
      <c r="C564" s="136" t="s">
        <v>377</v>
      </c>
      <c r="D564" s="152" t="s">
        <v>57</v>
      </c>
      <c r="E564" s="152" t="s">
        <v>92</v>
      </c>
      <c r="F564" s="535" t="s">
        <v>84</v>
      </c>
      <c r="G564" s="536" t="s">
        <v>50</v>
      </c>
      <c r="H564" s="536" t="s">
        <v>84</v>
      </c>
      <c r="I564" s="537" t="s">
        <v>64</v>
      </c>
      <c r="J564" s="152"/>
      <c r="K564" s="538">
        <f t="shared" si="135"/>
        <v>0</v>
      </c>
      <c r="L564" s="137">
        <f t="shared" si="135"/>
        <v>94.6</v>
      </c>
      <c r="M564" s="538">
        <f t="shared" si="135"/>
        <v>94.6</v>
      </c>
    </row>
    <row r="565" spans="1:13" s="351" customFormat="1" ht="36" customHeight="1">
      <c r="A565" s="350"/>
      <c r="B565" s="135" t="s">
        <v>402</v>
      </c>
      <c r="C565" s="136" t="s">
        <v>377</v>
      </c>
      <c r="D565" s="152" t="s">
        <v>57</v>
      </c>
      <c r="E565" s="152" t="s">
        <v>92</v>
      </c>
      <c r="F565" s="535" t="s">
        <v>84</v>
      </c>
      <c r="G565" s="536" t="s">
        <v>50</v>
      </c>
      <c r="H565" s="536" t="s">
        <v>84</v>
      </c>
      <c r="I565" s="537" t="s">
        <v>401</v>
      </c>
      <c r="J565" s="152"/>
      <c r="K565" s="538">
        <f t="shared" si="135"/>
        <v>0</v>
      </c>
      <c r="L565" s="137">
        <f t="shared" si="135"/>
        <v>94.6</v>
      </c>
      <c r="M565" s="538">
        <f t="shared" si="135"/>
        <v>94.6</v>
      </c>
    </row>
    <row r="566" spans="1:13" s="351" customFormat="1" ht="23.45" customHeight="1">
      <c r="A566" s="350"/>
      <c r="B566" s="135" t="s">
        <v>77</v>
      </c>
      <c r="C566" s="136" t="s">
        <v>377</v>
      </c>
      <c r="D566" s="152" t="s">
        <v>57</v>
      </c>
      <c r="E566" s="152" t="s">
        <v>92</v>
      </c>
      <c r="F566" s="535" t="s">
        <v>84</v>
      </c>
      <c r="G566" s="536" t="s">
        <v>50</v>
      </c>
      <c r="H566" s="536" t="s">
        <v>84</v>
      </c>
      <c r="I566" s="537" t="s">
        <v>401</v>
      </c>
      <c r="J566" s="152" t="s">
        <v>78</v>
      </c>
      <c r="K566" s="538">
        <v>0</v>
      </c>
      <c r="L566" s="137">
        <f>M566-K566</f>
        <v>94.6</v>
      </c>
      <c r="M566" s="538">
        <f>94.6</f>
        <v>94.6</v>
      </c>
    </row>
    <row r="567" spans="1:13" s="118" customFormat="1" ht="18.75" customHeight="1">
      <c r="A567" s="122"/>
      <c r="B567" s="141" t="s">
        <v>201</v>
      </c>
      <c r="C567" s="136" t="s">
        <v>377</v>
      </c>
      <c r="D567" s="121" t="s">
        <v>246</v>
      </c>
      <c r="E567" s="121"/>
      <c r="F567" s="734"/>
      <c r="G567" s="735"/>
      <c r="H567" s="735"/>
      <c r="I567" s="736"/>
      <c r="J567" s="121"/>
      <c r="K567" s="137">
        <f>K568+K584+K578</f>
        <v>57858.3</v>
      </c>
      <c r="L567" s="137">
        <f>L568+L584+L578</f>
        <v>655.69999999999982</v>
      </c>
      <c r="M567" s="137">
        <f>M568+M584+M578</f>
        <v>58514</v>
      </c>
    </row>
    <row r="568" spans="1:13" s="351" customFormat="1" ht="18.75" customHeight="1">
      <c r="A568" s="122"/>
      <c r="B568" s="141" t="s">
        <v>424</v>
      </c>
      <c r="C568" s="136" t="s">
        <v>377</v>
      </c>
      <c r="D568" s="121" t="s">
        <v>246</v>
      </c>
      <c r="E568" s="121" t="s">
        <v>84</v>
      </c>
      <c r="F568" s="734"/>
      <c r="G568" s="735"/>
      <c r="H568" s="735"/>
      <c r="I568" s="736"/>
      <c r="J568" s="121"/>
      <c r="K568" s="137">
        <f t="shared" ref="K568:M569" si="137">K569</f>
        <v>57382.400000000001</v>
      </c>
      <c r="L568" s="137">
        <f t="shared" si="137"/>
        <v>655.69999999999982</v>
      </c>
      <c r="M568" s="137">
        <f t="shared" si="137"/>
        <v>58038.1</v>
      </c>
    </row>
    <row r="569" spans="1:13" s="351" customFormat="1" ht="56.25" customHeight="1">
      <c r="A569" s="122"/>
      <c r="B569" s="141" t="s">
        <v>235</v>
      </c>
      <c r="C569" s="136" t="s">
        <v>377</v>
      </c>
      <c r="D569" s="121" t="s">
        <v>246</v>
      </c>
      <c r="E569" s="121" t="s">
        <v>84</v>
      </c>
      <c r="F569" s="734" t="s">
        <v>84</v>
      </c>
      <c r="G569" s="735" t="s">
        <v>62</v>
      </c>
      <c r="H569" s="735" t="s">
        <v>63</v>
      </c>
      <c r="I569" s="736" t="s">
        <v>64</v>
      </c>
      <c r="J569" s="121"/>
      <c r="K569" s="137">
        <f t="shared" si="137"/>
        <v>57382.400000000001</v>
      </c>
      <c r="L569" s="137">
        <f t="shared" si="137"/>
        <v>655.69999999999982</v>
      </c>
      <c r="M569" s="137">
        <f t="shared" si="137"/>
        <v>58038.1</v>
      </c>
    </row>
    <row r="570" spans="1:13" s="351" customFormat="1" ht="75" customHeight="1">
      <c r="A570" s="122"/>
      <c r="B570" s="141" t="s">
        <v>236</v>
      </c>
      <c r="C570" s="136" t="s">
        <v>377</v>
      </c>
      <c r="D570" s="121" t="s">
        <v>246</v>
      </c>
      <c r="E570" s="121" t="s">
        <v>84</v>
      </c>
      <c r="F570" s="734" t="s">
        <v>84</v>
      </c>
      <c r="G570" s="735" t="s">
        <v>65</v>
      </c>
      <c r="H570" s="735" t="s">
        <v>63</v>
      </c>
      <c r="I570" s="736" t="s">
        <v>64</v>
      </c>
      <c r="J570" s="121"/>
      <c r="K570" s="137">
        <f>K571</f>
        <v>57382.400000000001</v>
      </c>
      <c r="L570" s="137">
        <f>L571</f>
        <v>655.69999999999982</v>
      </c>
      <c r="M570" s="137">
        <f>M571</f>
        <v>58038.1</v>
      </c>
    </row>
    <row r="571" spans="1:13" s="351" customFormat="1" ht="37.5" customHeight="1">
      <c r="A571" s="122"/>
      <c r="B571" s="141" t="s">
        <v>316</v>
      </c>
      <c r="C571" s="136" t="s">
        <v>377</v>
      </c>
      <c r="D571" s="121" t="s">
        <v>246</v>
      </c>
      <c r="E571" s="121" t="s">
        <v>84</v>
      </c>
      <c r="F571" s="734" t="s">
        <v>84</v>
      </c>
      <c r="G571" s="735" t="s">
        <v>65</v>
      </c>
      <c r="H571" s="735" t="s">
        <v>57</v>
      </c>
      <c r="I571" s="736" t="s">
        <v>64</v>
      </c>
      <c r="J571" s="121"/>
      <c r="K571" s="137">
        <f>K572+K576+K574</f>
        <v>57382.400000000001</v>
      </c>
      <c r="L571" s="137">
        <f>L572+L576+L574</f>
        <v>655.69999999999982</v>
      </c>
      <c r="M571" s="137">
        <f>M572+M576+M574</f>
        <v>58038.1</v>
      </c>
    </row>
    <row r="572" spans="1:13" s="351" customFormat="1" ht="37.5" customHeight="1">
      <c r="A572" s="122"/>
      <c r="B572" s="138" t="s">
        <v>795</v>
      </c>
      <c r="C572" s="136" t="s">
        <v>377</v>
      </c>
      <c r="D572" s="121" t="s">
        <v>246</v>
      </c>
      <c r="E572" s="121" t="s">
        <v>84</v>
      </c>
      <c r="F572" s="734" t="s">
        <v>84</v>
      </c>
      <c r="G572" s="735" t="s">
        <v>65</v>
      </c>
      <c r="H572" s="735" t="s">
        <v>57</v>
      </c>
      <c r="I572" s="736" t="s">
        <v>112</v>
      </c>
      <c r="J572" s="121"/>
      <c r="K572" s="137">
        <f>K573</f>
        <v>54070.9</v>
      </c>
      <c r="L572" s="137">
        <f>L573</f>
        <v>181.5</v>
      </c>
      <c r="M572" s="137">
        <f>M573</f>
        <v>54252.4</v>
      </c>
    </row>
    <row r="573" spans="1:13" s="118" customFormat="1" ht="56.25" customHeight="1">
      <c r="A573" s="122"/>
      <c r="B573" s="139" t="s">
        <v>97</v>
      </c>
      <c r="C573" s="136" t="s">
        <v>377</v>
      </c>
      <c r="D573" s="121" t="s">
        <v>246</v>
      </c>
      <c r="E573" s="121" t="s">
        <v>84</v>
      </c>
      <c r="F573" s="734" t="s">
        <v>84</v>
      </c>
      <c r="G573" s="735" t="s">
        <v>65</v>
      </c>
      <c r="H573" s="735" t="s">
        <v>57</v>
      </c>
      <c r="I573" s="736" t="s">
        <v>112</v>
      </c>
      <c r="J573" s="121" t="s">
        <v>98</v>
      </c>
      <c r="K573" s="137">
        <f>53968.8+65+37.1-382.4+382.4</f>
        <v>54070.9</v>
      </c>
      <c r="L573" s="137">
        <f>M573-K573</f>
        <v>181.5</v>
      </c>
      <c r="M573" s="137">
        <f>53968.8+65+37.1-382.4+382.4+181.5</f>
        <v>54252.4</v>
      </c>
    </row>
    <row r="574" spans="1:13" s="118" customFormat="1" ht="21" customHeight="1">
      <c r="A574" s="122"/>
      <c r="B574" s="139" t="s">
        <v>796</v>
      </c>
      <c r="C574" s="136" t="s">
        <v>377</v>
      </c>
      <c r="D574" s="121" t="s">
        <v>246</v>
      </c>
      <c r="E574" s="121" t="s">
        <v>84</v>
      </c>
      <c r="F574" s="734" t="s">
        <v>84</v>
      </c>
      <c r="G574" s="735" t="s">
        <v>65</v>
      </c>
      <c r="H574" s="735" t="s">
        <v>57</v>
      </c>
      <c r="I574" s="736" t="s">
        <v>479</v>
      </c>
      <c r="J574" s="121"/>
      <c r="K574" s="137">
        <f>K575</f>
        <v>929.59999999999991</v>
      </c>
      <c r="L574" s="137">
        <f>L575</f>
        <v>0</v>
      </c>
      <c r="M574" s="137">
        <f>M575</f>
        <v>929.59999999999991</v>
      </c>
    </row>
    <row r="575" spans="1:13" s="118" customFormat="1" ht="56.25" customHeight="1">
      <c r="A575" s="122"/>
      <c r="B575" s="139" t="s">
        <v>97</v>
      </c>
      <c r="C575" s="136" t="s">
        <v>377</v>
      </c>
      <c r="D575" s="121" t="s">
        <v>246</v>
      </c>
      <c r="E575" s="121" t="s">
        <v>84</v>
      </c>
      <c r="F575" s="734" t="s">
        <v>84</v>
      </c>
      <c r="G575" s="735" t="s">
        <v>65</v>
      </c>
      <c r="H575" s="735" t="s">
        <v>57</v>
      </c>
      <c r="I575" s="736" t="s">
        <v>479</v>
      </c>
      <c r="J575" s="121" t="s">
        <v>98</v>
      </c>
      <c r="K575" s="137">
        <f>337.2+592.4</f>
        <v>929.59999999999991</v>
      </c>
      <c r="L575" s="137">
        <f>M575-K575</f>
        <v>0</v>
      </c>
      <c r="M575" s="137">
        <f>337.2+592.4</f>
        <v>929.59999999999991</v>
      </c>
    </row>
    <row r="576" spans="1:13" s="118" customFormat="1" ht="37.5" customHeight="1">
      <c r="A576" s="122"/>
      <c r="B576" s="139" t="s">
        <v>378</v>
      </c>
      <c r="C576" s="136" t="s">
        <v>377</v>
      </c>
      <c r="D576" s="121" t="s">
        <v>246</v>
      </c>
      <c r="E576" s="121" t="s">
        <v>84</v>
      </c>
      <c r="F576" s="734" t="s">
        <v>84</v>
      </c>
      <c r="G576" s="735" t="s">
        <v>65</v>
      </c>
      <c r="H576" s="735" t="s">
        <v>57</v>
      </c>
      <c r="I576" s="736" t="s">
        <v>379</v>
      </c>
      <c r="J576" s="121"/>
      <c r="K576" s="137">
        <f>K577</f>
        <v>2381.9</v>
      </c>
      <c r="L576" s="137">
        <f>L577</f>
        <v>474.19999999999982</v>
      </c>
      <c r="M576" s="137">
        <f>M577</f>
        <v>2856.1</v>
      </c>
    </row>
    <row r="577" spans="1:13" s="118" customFormat="1" ht="56.25" customHeight="1">
      <c r="A577" s="122"/>
      <c r="B577" s="139" t="s">
        <v>97</v>
      </c>
      <c r="C577" s="136" t="s">
        <v>377</v>
      </c>
      <c r="D577" s="121" t="s">
        <v>246</v>
      </c>
      <c r="E577" s="121" t="s">
        <v>84</v>
      </c>
      <c r="F577" s="734" t="s">
        <v>84</v>
      </c>
      <c r="G577" s="735" t="s">
        <v>65</v>
      </c>
      <c r="H577" s="735" t="s">
        <v>57</v>
      </c>
      <c r="I577" s="736" t="s">
        <v>379</v>
      </c>
      <c r="J577" s="121" t="s">
        <v>98</v>
      </c>
      <c r="K577" s="137">
        <f>1864+382.4+135.5</f>
        <v>2381.9</v>
      </c>
      <c r="L577" s="137">
        <f>M577-K577</f>
        <v>474.19999999999982</v>
      </c>
      <c r="M577" s="137">
        <f>1864+382.4+135.5+567+88.7-181.5</f>
        <v>2856.1</v>
      </c>
    </row>
    <row r="578" spans="1:13" s="118" customFormat="1" ht="22.5" customHeight="1">
      <c r="A578" s="122"/>
      <c r="B578" s="139" t="s">
        <v>808</v>
      </c>
      <c r="C578" s="136" t="s">
        <v>377</v>
      </c>
      <c r="D578" s="121" t="s">
        <v>246</v>
      </c>
      <c r="E578" s="121" t="s">
        <v>246</v>
      </c>
      <c r="F578" s="734"/>
      <c r="G578" s="735"/>
      <c r="H578" s="735"/>
      <c r="I578" s="736"/>
      <c r="J578" s="121"/>
      <c r="K578" s="137">
        <f t="shared" ref="K578:M582" si="138">K579</f>
        <v>277.89999999999998</v>
      </c>
      <c r="L578" s="137">
        <f t="shared" si="138"/>
        <v>0</v>
      </c>
      <c r="M578" s="137">
        <f t="shared" si="138"/>
        <v>277.89999999999998</v>
      </c>
    </row>
    <row r="579" spans="1:13" s="118" customFormat="1" ht="56.25" customHeight="1">
      <c r="A579" s="122"/>
      <c r="B579" s="141" t="s">
        <v>235</v>
      </c>
      <c r="C579" s="136" t="s">
        <v>377</v>
      </c>
      <c r="D579" s="121" t="s">
        <v>246</v>
      </c>
      <c r="E579" s="121" t="s">
        <v>246</v>
      </c>
      <c r="F579" s="734" t="s">
        <v>84</v>
      </c>
      <c r="G579" s="735" t="s">
        <v>62</v>
      </c>
      <c r="H579" s="735" t="s">
        <v>63</v>
      </c>
      <c r="I579" s="736" t="s">
        <v>64</v>
      </c>
      <c r="J579" s="121"/>
      <c r="K579" s="137">
        <f t="shared" si="138"/>
        <v>277.89999999999998</v>
      </c>
      <c r="L579" s="137">
        <f t="shared" si="138"/>
        <v>0</v>
      </c>
      <c r="M579" s="137">
        <f t="shared" si="138"/>
        <v>277.89999999999998</v>
      </c>
    </row>
    <row r="580" spans="1:13" s="118" customFormat="1" ht="74.25" customHeight="1">
      <c r="A580" s="122"/>
      <c r="B580" s="141" t="s">
        <v>236</v>
      </c>
      <c r="C580" s="136" t="s">
        <v>377</v>
      </c>
      <c r="D580" s="121" t="s">
        <v>246</v>
      </c>
      <c r="E580" s="121" t="s">
        <v>246</v>
      </c>
      <c r="F580" s="734" t="s">
        <v>84</v>
      </c>
      <c r="G580" s="735" t="s">
        <v>65</v>
      </c>
      <c r="H580" s="735" t="s">
        <v>63</v>
      </c>
      <c r="I580" s="736" t="s">
        <v>64</v>
      </c>
      <c r="J580" s="121"/>
      <c r="K580" s="137">
        <f t="shared" si="138"/>
        <v>277.89999999999998</v>
      </c>
      <c r="L580" s="137">
        <f t="shared" si="138"/>
        <v>0</v>
      </c>
      <c r="M580" s="137">
        <f t="shared" si="138"/>
        <v>277.89999999999998</v>
      </c>
    </row>
    <row r="581" spans="1:13" s="118" customFormat="1" ht="54.75" customHeight="1">
      <c r="A581" s="122"/>
      <c r="B581" s="139" t="s">
        <v>321</v>
      </c>
      <c r="C581" s="136" t="s">
        <v>377</v>
      </c>
      <c r="D581" s="121" t="s">
        <v>246</v>
      </c>
      <c r="E581" s="121" t="s">
        <v>246</v>
      </c>
      <c r="F581" s="734" t="s">
        <v>84</v>
      </c>
      <c r="G581" s="735" t="s">
        <v>65</v>
      </c>
      <c r="H581" s="735" t="s">
        <v>86</v>
      </c>
      <c r="I581" s="736" t="s">
        <v>64</v>
      </c>
      <c r="J581" s="121"/>
      <c r="K581" s="137">
        <f t="shared" si="138"/>
        <v>277.89999999999998</v>
      </c>
      <c r="L581" s="137">
        <f t="shared" si="138"/>
        <v>0</v>
      </c>
      <c r="M581" s="137">
        <f t="shared" si="138"/>
        <v>277.89999999999998</v>
      </c>
    </row>
    <row r="582" spans="1:13" s="118" customFormat="1" ht="36.75" customHeight="1">
      <c r="A582" s="122"/>
      <c r="B582" s="139" t="s">
        <v>810</v>
      </c>
      <c r="C582" s="136" t="s">
        <v>377</v>
      </c>
      <c r="D582" s="121" t="s">
        <v>246</v>
      </c>
      <c r="E582" s="121" t="s">
        <v>246</v>
      </c>
      <c r="F582" s="734" t="s">
        <v>84</v>
      </c>
      <c r="G582" s="735" t="s">
        <v>65</v>
      </c>
      <c r="H582" s="735" t="s">
        <v>86</v>
      </c>
      <c r="I582" s="736" t="s">
        <v>809</v>
      </c>
      <c r="J582" s="121"/>
      <c r="K582" s="137">
        <f t="shared" si="138"/>
        <v>277.89999999999998</v>
      </c>
      <c r="L582" s="137">
        <f t="shared" si="138"/>
        <v>0</v>
      </c>
      <c r="M582" s="137">
        <f t="shared" si="138"/>
        <v>277.89999999999998</v>
      </c>
    </row>
    <row r="583" spans="1:13" s="118" customFormat="1" ht="56.25" customHeight="1">
      <c r="A583" s="122"/>
      <c r="B583" s="139" t="s">
        <v>97</v>
      </c>
      <c r="C583" s="136" t="s">
        <v>377</v>
      </c>
      <c r="D583" s="121" t="s">
        <v>246</v>
      </c>
      <c r="E583" s="121" t="s">
        <v>246</v>
      </c>
      <c r="F583" s="734" t="s">
        <v>84</v>
      </c>
      <c r="G583" s="735" t="s">
        <v>65</v>
      </c>
      <c r="H583" s="735" t="s">
        <v>86</v>
      </c>
      <c r="I583" s="736" t="s">
        <v>809</v>
      </c>
      <c r="J583" s="121" t="s">
        <v>98</v>
      </c>
      <c r="K583" s="137">
        <v>277.89999999999998</v>
      </c>
      <c r="L583" s="137">
        <f>M583-K583</f>
        <v>0</v>
      </c>
      <c r="M583" s="137">
        <v>277.89999999999998</v>
      </c>
    </row>
    <row r="584" spans="1:13" s="118" customFormat="1" ht="18.75" customHeight="1">
      <c r="A584" s="122"/>
      <c r="B584" s="135" t="s">
        <v>208</v>
      </c>
      <c r="C584" s="136" t="s">
        <v>377</v>
      </c>
      <c r="D584" s="121" t="s">
        <v>246</v>
      </c>
      <c r="E584" s="121" t="s">
        <v>100</v>
      </c>
      <c r="F584" s="734"/>
      <c r="G584" s="735"/>
      <c r="H584" s="735"/>
      <c r="I584" s="736"/>
      <c r="J584" s="121"/>
      <c r="K584" s="137">
        <f t="shared" ref="K584:M588" si="139">K585</f>
        <v>198</v>
      </c>
      <c r="L584" s="137">
        <f t="shared" si="139"/>
        <v>0</v>
      </c>
      <c r="M584" s="137">
        <f t="shared" si="139"/>
        <v>198</v>
      </c>
    </row>
    <row r="585" spans="1:13" s="118" customFormat="1" ht="56.25" customHeight="1">
      <c r="A585" s="122"/>
      <c r="B585" s="141" t="s">
        <v>235</v>
      </c>
      <c r="C585" s="136" t="s">
        <v>377</v>
      </c>
      <c r="D585" s="121" t="s">
        <v>246</v>
      </c>
      <c r="E585" s="121" t="s">
        <v>100</v>
      </c>
      <c r="F585" s="734" t="s">
        <v>84</v>
      </c>
      <c r="G585" s="735" t="s">
        <v>62</v>
      </c>
      <c r="H585" s="735" t="s">
        <v>63</v>
      </c>
      <c r="I585" s="736" t="s">
        <v>64</v>
      </c>
      <c r="J585" s="121"/>
      <c r="K585" s="137">
        <f t="shared" si="139"/>
        <v>198</v>
      </c>
      <c r="L585" s="137">
        <f t="shared" si="139"/>
        <v>0</v>
      </c>
      <c r="M585" s="137">
        <f t="shared" si="139"/>
        <v>198</v>
      </c>
    </row>
    <row r="586" spans="1:13" s="118" customFormat="1" ht="75" customHeight="1">
      <c r="A586" s="122"/>
      <c r="B586" s="141" t="s">
        <v>236</v>
      </c>
      <c r="C586" s="136" t="s">
        <v>377</v>
      </c>
      <c r="D586" s="121" t="s">
        <v>246</v>
      </c>
      <c r="E586" s="121" t="s">
        <v>100</v>
      </c>
      <c r="F586" s="734" t="s">
        <v>84</v>
      </c>
      <c r="G586" s="735" t="s">
        <v>65</v>
      </c>
      <c r="H586" s="735" t="s">
        <v>63</v>
      </c>
      <c r="I586" s="736" t="s">
        <v>64</v>
      </c>
      <c r="J586" s="121"/>
      <c r="K586" s="137">
        <f t="shared" si="139"/>
        <v>198</v>
      </c>
      <c r="L586" s="137">
        <f t="shared" si="139"/>
        <v>0</v>
      </c>
      <c r="M586" s="137">
        <f t="shared" si="139"/>
        <v>198</v>
      </c>
    </row>
    <row r="587" spans="1:13" s="118" customFormat="1" ht="18.75" customHeight="1">
      <c r="A587" s="122"/>
      <c r="B587" s="139" t="s">
        <v>317</v>
      </c>
      <c r="C587" s="136" t="s">
        <v>377</v>
      </c>
      <c r="D587" s="121" t="s">
        <v>246</v>
      </c>
      <c r="E587" s="121" t="s">
        <v>100</v>
      </c>
      <c r="F587" s="734" t="s">
        <v>84</v>
      </c>
      <c r="G587" s="735" t="s">
        <v>65</v>
      </c>
      <c r="H587" s="735" t="s">
        <v>59</v>
      </c>
      <c r="I587" s="736" t="s">
        <v>64</v>
      </c>
      <c r="J587" s="121"/>
      <c r="K587" s="137">
        <f t="shared" si="139"/>
        <v>198</v>
      </c>
      <c r="L587" s="137">
        <f t="shared" si="139"/>
        <v>0</v>
      </c>
      <c r="M587" s="137">
        <f t="shared" si="139"/>
        <v>198</v>
      </c>
    </row>
    <row r="588" spans="1:13" s="118" customFormat="1" ht="40.5" customHeight="1">
      <c r="A588" s="122"/>
      <c r="B588" s="139" t="s">
        <v>233</v>
      </c>
      <c r="C588" s="136" t="s">
        <v>377</v>
      </c>
      <c r="D588" s="121" t="s">
        <v>246</v>
      </c>
      <c r="E588" s="121" t="s">
        <v>100</v>
      </c>
      <c r="F588" s="734" t="s">
        <v>84</v>
      </c>
      <c r="G588" s="735" t="s">
        <v>65</v>
      </c>
      <c r="H588" s="735" t="s">
        <v>59</v>
      </c>
      <c r="I588" s="736" t="s">
        <v>319</v>
      </c>
      <c r="J588" s="121"/>
      <c r="K588" s="137">
        <f t="shared" si="139"/>
        <v>198</v>
      </c>
      <c r="L588" s="137">
        <f t="shared" si="139"/>
        <v>0</v>
      </c>
      <c r="M588" s="137">
        <f t="shared" si="139"/>
        <v>198</v>
      </c>
    </row>
    <row r="589" spans="1:13" s="118" customFormat="1" ht="37.5" customHeight="1">
      <c r="A589" s="122"/>
      <c r="B589" s="139" t="s">
        <v>141</v>
      </c>
      <c r="C589" s="136" t="s">
        <v>377</v>
      </c>
      <c r="D589" s="121" t="s">
        <v>246</v>
      </c>
      <c r="E589" s="121" t="s">
        <v>100</v>
      </c>
      <c r="F589" s="734" t="s">
        <v>84</v>
      </c>
      <c r="G589" s="735" t="s">
        <v>65</v>
      </c>
      <c r="H589" s="735" t="s">
        <v>59</v>
      </c>
      <c r="I589" s="736" t="s">
        <v>319</v>
      </c>
      <c r="J589" s="121" t="s">
        <v>142</v>
      </c>
      <c r="K589" s="137">
        <f>180+18</f>
        <v>198</v>
      </c>
      <c r="L589" s="137">
        <f>M589-K589</f>
        <v>0</v>
      </c>
      <c r="M589" s="137">
        <f>180+18</f>
        <v>198</v>
      </c>
    </row>
    <row r="590" spans="1:13" s="118" customFormat="1" ht="18.75" customHeight="1">
      <c r="A590" s="122"/>
      <c r="B590" s="135" t="s">
        <v>210</v>
      </c>
      <c r="C590" s="136" t="s">
        <v>377</v>
      </c>
      <c r="D590" s="121" t="s">
        <v>248</v>
      </c>
      <c r="E590" s="121"/>
      <c r="F590" s="734"/>
      <c r="G590" s="735"/>
      <c r="H590" s="735"/>
      <c r="I590" s="736"/>
      <c r="J590" s="121"/>
      <c r="K590" s="137">
        <f>K591+K617</f>
        <v>35575.699999999997</v>
      </c>
      <c r="L590" s="137">
        <f>L591+L617</f>
        <v>1017.3</v>
      </c>
      <c r="M590" s="137">
        <f>M591+M617</f>
        <v>36593</v>
      </c>
    </row>
    <row r="591" spans="1:13" s="118" customFormat="1" ht="18.75" customHeight="1">
      <c r="A591" s="122"/>
      <c r="B591" s="135" t="s">
        <v>212</v>
      </c>
      <c r="C591" s="136" t="s">
        <v>377</v>
      </c>
      <c r="D591" s="121" t="s">
        <v>248</v>
      </c>
      <c r="E591" s="121" t="s">
        <v>57</v>
      </c>
      <c r="F591" s="734"/>
      <c r="G591" s="735"/>
      <c r="H591" s="735"/>
      <c r="I591" s="736"/>
      <c r="J591" s="121"/>
      <c r="K591" s="137">
        <f>K592</f>
        <v>25033.4</v>
      </c>
      <c r="L591" s="137">
        <f>L592</f>
        <v>972.30000000000007</v>
      </c>
      <c r="M591" s="137">
        <f>M592</f>
        <v>26005.7</v>
      </c>
    </row>
    <row r="592" spans="1:13" s="118" customFormat="1" ht="56.25" customHeight="1">
      <c r="A592" s="122"/>
      <c r="B592" s="141" t="s">
        <v>235</v>
      </c>
      <c r="C592" s="136" t="s">
        <v>377</v>
      </c>
      <c r="D592" s="121" t="s">
        <v>248</v>
      </c>
      <c r="E592" s="121" t="s">
        <v>57</v>
      </c>
      <c r="F592" s="734" t="s">
        <v>84</v>
      </c>
      <c r="G592" s="735" t="s">
        <v>62</v>
      </c>
      <c r="H592" s="735" t="s">
        <v>63</v>
      </c>
      <c r="I592" s="736" t="s">
        <v>64</v>
      </c>
      <c r="J592" s="121"/>
      <c r="K592" s="137">
        <f>K593+K610</f>
        <v>25033.4</v>
      </c>
      <c r="L592" s="137">
        <f>L593+L610</f>
        <v>972.30000000000007</v>
      </c>
      <c r="M592" s="137">
        <f>M593+M610</f>
        <v>26005.7</v>
      </c>
    </row>
    <row r="593" spans="1:13" s="118" customFormat="1" ht="75" customHeight="1">
      <c r="A593" s="122"/>
      <c r="B593" s="141" t="s">
        <v>236</v>
      </c>
      <c r="C593" s="136" t="s">
        <v>377</v>
      </c>
      <c r="D593" s="121" t="s">
        <v>248</v>
      </c>
      <c r="E593" s="121" t="s">
        <v>57</v>
      </c>
      <c r="F593" s="151" t="s">
        <v>84</v>
      </c>
      <c r="G593" s="291" t="s">
        <v>65</v>
      </c>
      <c r="H593" s="291" t="s">
        <v>63</v>
      </c>
      <c r="I593" s="292" t="s">
        <v>64</v>
      </c>
      <c r="J593" s="293"/>
      <c r="K593" s="137">
        <f>K594+K603</f>
        <v>24973.4</v>
      </c>
      <c r="L593" s="137">
        <f>L594+L603</f>
        <v>452.50000000000011</v>
      </c>
      <c r="M593" s="137">
        <f>M594+M603</f>
        <v>25425.9</v>
      </c>
    </row>
    <row r="594" spans="1:13" s="118" customFormat="1" ht="18.75" customHeight="1">
      <c r="A594" s="122"/>
      <c r="B594" s="135" t="s">
        <v>380</v>
      </c>
      <c r="C594" s="136" t="s">
        <v>377</v>
      </c>
      <c r="D594" s="121" t="s">
        <v>248</v>
      </c>
      <c r="E594" s="121" t="s">
        <v>57</v>
      </c>
      <c r="F594" s="151" t="s">
        <v>84</v>
      </c>
      <c r="G594" s="291" t="s">
        <v>65</v>
      </c>
      <c r="H594" s="291" t="s">
        <v>84</v>
      </c>
      <c r="I594" s="292" t="s">
        <v>64</v>
      </c>
      <c r="J594" s="293"/>
      <c r="K594" s="137">
        <f t="shared" ref="K594" si="140">K595+K599+K601+K597</f>
        <v>12035.2</v>
      </c>
      <c r="L594" s="137">
        <f t="shared" ref="L594:M594" si="141">L595+L599+L601+L597</f>
        <v>127.39999999999998</v>
      </c>
      <c r="M594" s="137">
        <f t="shared" si="141"/>
        <v>12162.6</v>
      </c>
    </row>
    <row r="595" spans="1:13" s="118" customFormat="1" ht="35.25" customHeight="1">
      <c r="A595" s="122"/>
      <c r="B595" s="138" t="s">
        <v>795</v>
      </c>
      <c r="C595" s="136" t="s">
        <v>377</v>
      </c>
      <c r="D595" s="121" t="s">
        <v>248</v>
      </c>
      <c r="E595" s="121" t="s">
        <v>57</v>
      </c>
      <c r="F595" s="151" t="s">
        <v>84</v>
      </c>
      <c r="G595" s="291" t="s">
        <v>65</v>
      </c>
      <c r="H595" s="291" t="s">
        <v>84</v>
      </c>
      <c r="I595" s="292" t="s">
        <v>112</v>
      </c>
      <c r="J595" s="293"/>
      <c r="K595" s="137">
        <f>K596</f>
        <v>11263.800000000001</v>
      </c>
      <c r="L595" s="137">
        <f>L596</f>
        <v>0</v>
      </c>
      <c r="M595" s="137">
        <f>M596</f>
        <v>11263.800000000001</v>
      </c>
    </row>
    <row r="596" spans="1:13" s="118" customFormat="1" ht="56.25" customHeight="1">
      <c r="A596" s="122"/>
      <c r="B596" s="139" t="s">
        <v>97</v>
      </c>
      <c r="C596" s="136" t="s">
        <v>377</v>
      </c>
      <c r="D596" s="121" t="s">
        <v>248</v>
      </c>
      <c r="E596" s="121" t="s">
        <v>57</v>
      </c>
      <c r="F596" s="734" t="s">
        <v>84</v>
      </c>
      <c r="G596" s="735" t="s">
        <v>65</v>
      </c>
      <c r="H596" s="735" t="s">
        <v>84</v>
      </c>
      <c r="I596" s="736" t="s">
        <v>112</v>
      </c>
      <c r="J596" s="121" t="s">
        <v>98</v>
      </c>
      <c r="K596" s="137">
        <f>11139.6+62.6+13+10.1+38.5</f>
        <v>11263.800000000001</v>
      </c>
      <c r="L596" s="137">
        <f>M596-K596</f>
        <v>0</v>
      </c>
      <c r="M596" s="137">
        <f>11139.6+62.6+13+10.1+38.5</f>
        <v>11263.800000000001</v>
      </c>
    </row>
    <row r="597" spans="1:13" s="118" customFormat="1" ht="18.75" customHeight="1">
      <c r="A597" s="122"/>
      <c r="B597" s="135" t="s">
        <v>796</v>
      </c>
      <c r="C597" s="136" t="s">
        <v>377</v>
      </c>
      <c r="D597" s="121" t="s">
        <v>248</v>
      </c>
      <c r="E597" s="121" t="s">
        <v>57</v>
      </c>
      <c r="F597" s="734" t="s">
        <v>84</v>
      </c>
      <c r="G597" s="735" t="s">
        <v>65</v>
      </c>
      <c r="H597" s="735" t="s">
        <v>84</v>
      </c>
      <c r="I597" s="736" t="s">
        <v>479</v>
      </c>
      <c r="J597" s="121"/>
      <c r="K597" s="137">
        <f t="shared" ref="K597:M597" si="142">K598</f>
        <v>125.4</v>
      </c>
      <c r="L597" s="137">
        <f t="shared" ref="L597" si="143">L598</f>
        <v>0</v>
      </c>
      <c r="M597" s="137">
        <f t="shared" si="142"/>
        <v>125.4</v>
      </c>
    </row>
    <row r="598" spans="1:13" s="118" customFormat="1" ht="56.25" customHeight="1">
      <c r="A598" s="122"/>
      <c r="B598" s="139" t="s">
        <v>97</v>
      </c>
      <c r="C598" s="136" t="s">
        <v>377</v>
      </c>
      <c r="D598" s="121" t="s">
        <v>248</v>
      </c>
      <c r="E598" s="121" t="s">
        <v>57</v>
      </c>
      <c r="F598" s="734" t="s">
        <v>84</v>
      </c>
      <c r="G598" s="735" t="s">
        <v>65</v>
      </c>
      <c r="H598" s="735" t="s">
        <v>84</v>
      </c>
      <c r="I598" s="736" t="s">
        <v>479</v>
      </c>
      <c r="J598" s="121" t="s">
        <v>98</v>
      </c>
      <c r="K598" s="137">
        <v>125.4</v>
      </c>
      <c r="L598" s="137">
        <f t="shared" ref="L598" si="144">M598-K598</f>
        <v>0</v>
      </c>
      <c r="M598" s="137">
        <v>125.4</v>
      </c>
    </row>
    <row r="599" spans="1:13" s="118" customFormat="1" ht="37.5" customHeight="1">
      <c r="A599" s="122"/>
      <c r="B599" s="139" t="s">
        <v>378</v>
      </c>
      <c r="C599" s="136" t="s">
        <v>377</v>
      </c>
      <c r="D599" s="121" t="s">
        <v>248</v>
      </c>
      <c r="E599" s="121" t="s">
        <v>57</v>
      </c>
      <c r="F599" s="151" t="s">
        <v>84</v>
      </c>
      <c r="G599" s="291" t="s">
        <v>65</v>
      </c>
      <c r="H599" s="291" t="s">
        <v>84</v>
      </c>
      <c r="I599" s="292" t="s">
        <v>379</v>
      </c>
      <c r="J599" s="293"/>
      <c r="K599" s="137">
        <f>K600</f>
        <v>205</v>
      </c>
      <c r="L599" s="137">
        <f>L600</f>
        <v>127.39999999999998</v>
      </c>
      <c r="M599" s="137">
        <f>M600</f>
        <v>332.4</v>
      </c>
    </row>
    <row r="600" spans="1:13" s="118" customFormat="1" ht="56.25" customHeight="1">
      <c r="A600" s="122"/>
      <c r="B600" s="139" t="s">
        <v>97</v>
      </c>
      <c r="C600" s="136" t="s">
        <v>377</v>
      </c>
      <c r="D600" s="121" t="s">
        <v>248</v>
      </c>
      <c r="E600" s="121" t="s">
        <v>57</v>
      </c>
      <c r="F600" s="151" t="s">
        <v>84</v>
      </c>
      <c r="G600" s="291" t="s">
        <v>65</v>
      </c>
      <c r="H600" s="291" t="s">
        <v>84</v>
      </c>
      <c r="I600" s="292" t="s">
        <v>379</v>
      </c>
      <c r="J600" s="293" t="s">
        <v>98</v>
      </c>
      <c r="K600" s="137">
        <f>150+55</f>
        <v>205</v>
      </c>
      <c r="L600" s="137">
        <f>M600-K600</f>
        <v>127.39999999999998</v>
      </c>
      <c r="M600" s="137">
        <f>150+55+127.4</f>
        <v>332.4</v>
      </c>
    </row>
    <row r="601" spans="1:13" s="118" customFormat="1" ht="56.25" customHeight="1">
      <c r="A601" s="122"/>
      <c r="B601" s="139" t="s">
        <v>237</v>
      </c>
      <c r="C601" s="136" t="s">
        <v>377</v>
      </c>
      <c r="D601" s="121" t="s">
        <v>248</v>
      </c>
      <c r="E601" s="121" t="s">
        <v>57</v>
      </c>
      <c r="F601" s="734" t="s">
        <v>84</v>
      </c>
      <c r="G601" s="735" t="s">
        <v>65</v>
      </c>
      <c r="H601" s="735" t="s">
        <v>84</v>
      </c>
      <c r="I601" s="736" t="s">
        <v>381</v>
      </c>
      <c r="J601" s="121"/>
      <c r="K601" s="137">
        <f>K602</f>
        <v>441</v>
      </c>
      <c r="L601" s="137">
        <f>L602</f>
        <v>0</v>
      </c>
      <c r="M601" s="137">
        <f>M602</f>
        <v>441</v>
      </c>
    </row>
    <row r="602" spans="1:13" s="118" customFormat="1" ht="56.25" customHeight="1">
      <c r="A602" s="122"/>
      <c r="B602" s="139" t="s">
        <v>97</v>
      </c>
      <c r="C602" s="136" t="s">
        <v>377</v>
      </c>
      <c r="D602" s="121" t="s">
        <v>248</v>
      </c>
      <c r="E602" s="121" t="s">
        <v>57</v>
      </c>
      <c r="F602" s="734" t="s">
        <v>84</v>
      </c>
      <c r="G602" s="735" t="s">
        <v>65</v>
      </c>
      <c r="H602" s="735" t="s">
        <v>84</v>
      </c>
      <c r="I602" s="736" t="s">
        <v>381</v>
      </c>
      <c r="J602" s="121" t="s">
        <v>98</v>
      </c>
      <c r="K602" s="137">
        <v>441</v>
      </c>
      <c r="L602" s="137">
        <f>M602-K602</f>
        <v>0</v>
      </c>
      <c r="M602" s="137">
        <v>441</v>
      </c>
    </row>
    <row r="603" spans="1:13" s="118" customFormat="1" ht="37.5" customHeight="1">
      <c r="A603" s="122"/>
      <c r="B603" s="139" t="s">
        <v>382</v>
      </c>
      <c r="C603" s="136" t="s">
        <v>377</v>
      </c>
      <c r="D603" s="121" t="s">
        <v>248</v>
      </c>
      <c r="E603" s="121" t="s">
        <v>57</v>
      </c>
      <c r="F603" s="151" t="s">
        <v>84</v>
      </c>
      <c r="G603" s="291" t="s">
        <v>65</v>
      </c>
      <c r="H603" s="291" t="s">
        <v>72</v>
      </c>
      <c r="I603" s="736" t="s">
        <v>64</v>
      </c>
      <c r="J603" s="121"/>
      <c r="K603" s="137">
        <f t="shared" ref="K603" si="145">K604+K608</f>
        <v>12938.2</v>
      </c>
      <c r="L603" s="137">
        <f t="shared" ref="L603:M603" si="146">L604+L608</f>
        <v>325.10000000000014</v>
      </c>
      <c r="M603" s="137">
        <f t="shared" si="146"/>
        <v>13263.300000000001</v>
      </c>
    </row>
    <row r="604" spans="1:13" s="118" customFormat="1" ht="44.25" customHeight="1">
      <c r="A604" s="122"/>
      <c r="B604" s="138" t="s">
        <v>795</v>
      </c>
      <c r="C604" s="136" t="s">
        <v>377</v>
      </c>
      <c r="D604" s="121" t="s">
        <v>248</v>
      </c>
      <c r="E604" s="121" t="s">
        <v>57</v>
      </c>
      <c r="F604" s="151" t="s">
        <v>84</v>
      </c>
      <c r="G604" s="291" t="s">
        <v>65</v>
      </c>
      <c r="H604" s="291" t="s">
        <v>72</v>
      </c>
      <c r="I604" s="292" t="s">
        <v>112</v>
      </c>
      <c r="J604" s="293"/>
      <c r="K604" s="137">
        <f>K605+K606+K607</f>
        <v>12890.800000000001</v>
      </c>
      <c r="L604" s="137">
        <f>L605+L606+L607</f>
        <v>325.10000000000014</v>
      </c>
      <c r="M604" s="137">
        <f>M605+M606+M607</f>
        <v>13215.900000000001</v>
      </c>
    </row>
    <row r="605" spans="1:13" s="118" customFormat="1" ht="87" customHeight="1">
      <c r="A605" s="122"/>
      <c r="B605" s="135" t="s">
        <v>69</v>
      </c>
      <c r="C605" s="136" t="s">
        <v>377</v>
      </c>
      <c r="D605" s="121" t="s">
        <v>248</v>
      </c>
      <c r="E605" s="121" t="s">
        <v>57</v>
      </c>
      <c r="F605" s="734" t="s">
        <v>84</v>
      </c>
      <c r="G605" s="735" t="s">
        <v>65</v>
      </c>
      <c r="H605" s="735" t="s">
        <v>72</v>
      </c>
      <c r="I605" s="736" t="s">
        <v>112</v>
      </c>
      <c r="J605" s="121" t="s">
        <v>70</v>
      </c>
      <c r="K605" s="137">
        <v>11426.1</v>
      </c>
      <c r="L605" s="137">
        <f t="shared" ref="L605:L607" si="147">M605-K605</f>
        <v>0</v>
      </c>
      <c r="M605" s="137">
        <v>11426.1</v>
      </c>
    </row>
    <row r="606" spans="1:13" s="118" customFormat="1" ht="53.45" customHeight="1">
      <c r="A606" s="122"/>
      <c r="B606" s="135" t="s">
        <v>75</v>
      </c>
      <c r="C606" s="136" t="s">
        <v>377</v>
      </c>
      <c r="D606" s="121" t="s">
        <v>248</v>
      </c>
      <c r="E606" s="121" t="s">
        <v>57</v>
      </c>
      <c r="F606" s="734" t="s">
        <v>84</v>
      </c>
      <c r="G606" s="735" t="s">
        <v>65</v>
      </c>
      <c r="H606" s="735" t="s">
        <v>72</v>
      </c>
      <c r="I606" s="736" t="s">
        <v>112</v>
      </c>
      <c r="J606" s="121" t="s">
        <v>76</v>
      </c>
      <c r="K606" s="137">
        <f>918.9+405.1+13+80.7</f>
        <v>1417.7</v>
      </c>
      <c r="L606" s="137">
        <f t="shared" si="147"/>
        <v>325.10000000000014</v>
      </c>
      <c r="M606" s="137">
        <f>918.9+405.1+13+80.7+97.9+227.2</f>
        <v>1742.8000000000002</v>
      </c>
    </row>
    <row r="607" spans="1:13" s="118" customFormat="1" ht="18.75" customHeight="1">
      <c r="A607" s="122"/>
      <c r="B607" s="135" t="s">
        <v>77</v>
      </c>
      <c r="C607" s="136" t="s">
        <v>377</v>
      </c>
      <c r="D607" s="121" t="s">
        <v>248</v>
      </c>
      <c r="E607" s="121" t="s">
        <v>57</v>
      </c>
      <c r="F607" s="734" t="s">
        <v>84</v>
      </c>
      <c r="G607" s="735" t="s">
        <v>65</v>
      </c>
      <c r="H607" s="735" t="s">
        <v>72</v>
      </c>
      <c r="I607" s="736" t="s">
        <v>112</v>
      </c>
      <c r="J607" s="121" t="s">
        <v>78</v>
      </c>
      <c r="K607" s="137">
        <f>21.4+25.6</f>
        <v>47</v>
      </c>
      <c r="L607" s="137">
        <f t="shared" si="147"/>
        <v>0</v>
      </c>
      <c r="M607" s="137">
        <f>21.4+25.6</f>
        <v>47</v>
      </c>
    </row>
    <row r="608" spans="1:13" s="118" customFormat="1" ht="18.75" customHeight="1">
      <c r="A608" s="122"/>
      <c r="B608" s="135" t="s">
        <v>796</v>
      </c>
      <c r="C608" s="136" t="s">
        <v>377</v>
      </c>
      <c r="D608" s="121" t="s">
        <v>248</v>
      </c>
      <c r="E608" s="121" t="s">
        <v>57</v>
      </c>
      <c r="F608" s="734" t="s">
        <v>84</v>
      </c>
      <c r="G608" s="735" t="s">
        <v>65</v>
      </c>
      <c r="H608" s="735" t="s">
        <v>72</v>
      </c>
      <c r="I608" s="736" t="s">
        <v>479</v>
      </c>
      <c r="J608" s="121"/>
      <c r="K608" s="137">
        <f t="shared" ref="K608:M608" si="148">K609</f>
        <v>47.4</v>
      </c>
      <c r="L608" s="137">
        <f t="shared" si="148"/>
        <v>0</v>
      </c>
      <c r="M608" s="137">
        <f t="shared" si="148"/>
        <v>47.4</v>
      </c>
    </row>
    <row r="609" spans="1:13" s="118" customFormat="1" ht="56.25" customHeight="1">
      <c r="A609" s="122"/>
      <c r="B609" s="135" t="s">
        <v>75</v>
      </c>
      <c r="C609" s="136" t="s">
        <v>377</v>
      </c>
      <c r="D609" s="121" t="s">
        <v>248</v>
      </c>
      <c r="E609" s="121" t="s">
        <v>57</v>
      </c>
      <c r="F609" s="734" t="s">
        <v>84</v>
      </c>
      <c r="G609" s="735" t="s">
        <v>65</v>
      </c>
      <c r="H609" s="735" t="s">
        <v>72</v>
      </c>
      <c r="I609" s="736" t="s">
        <v>479</v>
      </c>
      <c r="J609" s="121" t="s">
        <v>76</v>
      </c>
      <c r="K609" s="137">
        <v>47.4</v>
      </c>
      <c r="L609" s="137">
        <f t="shared" ref="L609" si="149">M609-K609</f>
        <v>0</v>
      </c>
      <c r="M609" s="137">
        <v>47.4</v>
      </c>
    </row>
    <row r="610" spans="1:13" s="118" customFormat="1" ht="52.9" customHeight="1">
      <c r="A610" s="122"/>
      <c r="B610" s="135" t="s">
        <v>391</v>
      </c>
      <c r="C610" s="136" t="s">
        <v>377</v>
      </c>
      <c r="D610" s="121" t="s">
        <v>248</v>
      </c>
      <c r="E610" s="121" t="s">
        <v>57</v>
      </c>
      <c r="F610" s="151" t="s">
        <v>84</v>
      </c>
      <c r="G610" s="291" t="s">
        <v>110</v>
      </c>
      <c r="H610" s="291" t="s">
        <v>63</v>
      </c>
      <c r="I610" s="736" t="s">
        <v>64</v>
      </c>
      <c r="J610" s="121"/>
      <c r="K610" s="137">
        <f>K611</f>
        <v>60</v>
      </c>
      <c r="L610" s="137">
        <f>L611</f>
        <v>519.79999999999995</v>
      </c>
      <c r="M610" s="137">
        <f>M611</f>
        <v>579.79999999999995</v>
      </c>
    </row>
    <row r="611" spans="1:13" s="118" customFormat="1" ht="92.25" customHeight="1">
      <c r="A611" s="122"/>
      <c r="B611" s="139" t="s">
        <v>383</v>
      </c>
      <c r="C611" s="136" t="s">
        <v>377</v>
      </c>
      <c r="D611" s="121" t="s">
        <v>248</v>
      </c>
      <c r="E611" s="121" t="s">
        <v>57</v>
      </c>
      <c r="F611" s="151" t="s">
        <v>84</v>
      </c>
      <c r="G611" s="291" t="s">
        <v>110</v>
      </c>
      <c r="H611" s="291" t="s">
        <v>84</v>
      </c>
      <c r="I611" s="736" t="s">
        <v>64</v>
      </c>
      <c r="J611" s="121"/>
      <c r="K611" s="137">
        <f>K612+K615</f>
        <v>60</v>
      </c>
      <c r="L611" s="137">
        <f>L612+L615</f>
        <v>519.79999999999995</v>
      </c>
      <c r="M611" s="137">
        <f>M612+M615</f>
        <v>579.79999999999995</v>
      </c>
    </row>
    <row r="612" spans="1:13" s="118" customFormat="1" ht="37.5" customHeight="1">
      <c r="A612" s="122"/>
      <c r="B612" s="139" t="s">
        <v>378</v>
      </c>
      <c r="C612" s="136" t="s">
        <v>377</v>
      </c>
      <c r="D612" s="121" t="s">
        <v>248</v>
      </c>
      <c r="E612" s="121" t="s">
        <v>57</v>
      </c>
      <c r="F612" s="151" t="s">
        <v>84</v>
      </c>
      <c r="G612" s="291" t="s">
        <v>110</v>
      </c>
      <c r="H612" s="291" t="s">
        <v>84</v>
      </c>
      <c r="I612" s="292" t="s">
        <v>379</v>
      </c>
      <c r="J612" s="293"/>
      <c r="K612" s="137">
        <f>K614+K613</f>
        <v>17.899999999999999</v>
      </c>
      <c r="L612" s="137">
        <f t="shared" ref="L612:M612" si="150">L614+L613</f>
        <v>519.79999999999995</v>
      </c>
      <c r="M612" s="137">
        <f t="shared" si="150"/>
        <v>537.69999999999993</v>
      </c>
    </row>
    <row r="613" spans="1:13" s="118" customFormat="1" ht="51.6" customHeight="1">
      <c r="A613" s="122"/>
      <c r="B613" s="139" t="s">
        <v>75</v>
      </c>
      <c r="C613" s="136" t="s">
        <v>377</v>
      </c>
      <c r="D613" s="121" t="s">
        <v>248</v>
      </c>
      <c r="E613" s="121" t="s">
        <v>57</v>
      </c>
      <c r="F613" s="151" t="s">
        <v>84</v>
      </c>
      <c r="G613" s="291" t="s">
        <v>110</v>
      </c>
      <c r="H613" s="291" t="s">
        <v>84</v>
      </c>
      <c r="I613" s="292" t="s">
        <v>379</v>
      </c>
      <c r="J613" s="293" t="s">
        <v>76</v>
      </c>
      <c r="K613" s="137">
        <v>0</v>
      </c>
      <c r="L613" s="137">
        <f>M613-K613</f>
        <v>519.79999999999995</v>
      </c>
      <c r="M613" s="137">
        <f>519.8</f>
        <v>519.79999999999995</v>
      </c>
    </row>
    <row r="614" spans="1:13" s="118" customFormat="1" ht="56.25" customHeight="1">
      <c r="A614" s="122"/>
      <c r="B614" s="139" t="s">
        <v>97</v>
      </c>
      <c r="C614" s="136" t="s">
        <v>377</v>
      </c>
      <c r="D614" s="121" t="s">
        <v>248</v>
      </c>
      <c r="E614" s="121" t="s">
        <v>57</v>
      </c>
      <c r="F614" s="734" t="s">
        <v>84</v>
      </c>
      <c r="G614" s="735" t="s">
        <v>110</v>
      </c>
      <c r="H614" s="735" t="s">
        <v>84</v>
      </c>
      <c r="I614" s="736" t="s">
        <v>379</v>
      </c>
      <c r="J614" s="121" t="s">
        <v>98</v>
      </c>
      <c r="K614" s="137">
        <v>17.899999999999999</v>
      </c>
      <c r="L614" s="137">
        <f>M614-K614</f>
        <v>0</v>
      </c>
      <c r="M614" s="137">
        <v>17.899999999999999</v>
      </c>
    </row>
    <row r="615" spans="1:13" s="118" customFormat="1" ht="56.25" customHeight="1">
      <c r="A615" s="122"/>
      <c r="B615" s="139" t="s">
        <v>586</v>
      </c>
      <c r="C615" s="136" t="s">
        <v>377</v>
      </c>
      <c r="D615" s="121" t="s">
        <v>248</v>
      </c>
      <c r="E615" s="121" t="s">
        <v>57</v>
      </c>
      <c r="F615" s="734" t="s">
        <v>84</v>
      </c>
      <c r="G615" s="735" t="s">
        <v>110</v>
      </c>
      <c r="H615" s="735" t="s">
        <v>84</v>
      </c>
      <c r="I615" s="736" t="s">
        <v>587</v>
      </c>
      <c r="J615" s="121"/>
      <c r="K615" s="137">
        <f>K616</f>
        <v>42.1</v>
      </c>
      <c r="L615" s="137">
        <f>L616</f>
        <v>0</v>
      </c>
      <c r="M615" s="137">
        <f>M616</f>
        <v>42.1</v>
      </c>
    </row>
    <row r="616" spans="1:13" s="118" customFormat="1" ht="56.25" customHeight="1">
      <c r="A616" s="122"/>
      <c r="B616" s="139" t="s">
        <v>97</v>
      </c>
      <c r="C616" s="136" t="s">
        <v>377</v>
      </c>
      <c r="D616" s="121" t="s">
        <v>248</v>
      </c>
      <c r="E616" s="121" t="s">
        <v>57</v>
      </c>
      <c r="F616" s="734" t="s">
        <v>84</v>
      </c>
      <c r="G616" s="735" t="s">
        <v>110</v>
      </c>
      <c r="H616" s="735" t="s">
        <v>84</v>
      </c>
      <c r="I616" s="736" t="s">
        <v>587</v>
      </c>
      <c r="J616" s="121" t="s">
        <v>98</v>
      </c>
      <c r="K616" s="137">
        <v>42.1</v>
      </c>
      <c r="L616" s="137">
        <f>M616-K616</f>
        <v>0</v>
      </c>
      <c r="M616" s="137">
        <v>42.1</v>
      </c>
    </row>
    <row r="617" spans="1:13" s="118" customFormat="1" ht="37.5" customHeight="1">
      <c r="A617" s="122"/>
      <c r="B617" s="135" t="s">
        <v>384</v>
      </c>
      <c r="C617" s="136" t="s">
        <v>377</v>
      </c>
      <c r="D617" s="121" t="s">
        <v>248</v>
      </c>
      <c r="E617" s="121" t="s">
        <v>72</v>
      </c>
      <c r="F617" s="151"/>
      <c r="G617" s="291"/>
      <c r="H617" s="291"/>
      <c r="I617" s="292"/>
      <c r="J617" s="293"/>
      <c r="K617" s="137">
        <f>K618</f>
        <v>10542.3</v>
      </c>
      <c r="L617" s="137">
        <f>L618</f>
        <v>44.999999999999943</v>
      </c>
      <c r="M617" s="137">
        <f>M618</f>
        <v>10587.300000000001</v>
      </c>
    </row>
    <row r="618" spans="1:13" s="118" customFormat="1" ht="56.25" customHeight="1">
      <c r="A618" s="122"/>
      <c r="B618" s="141" t="s">
        <v>235</v>
      </c>
      <c r="C618" s="136" t="s">
        <v>377</v>
      </c>
      <c r="D618" s="121" t="s">
        <v>248</v>
      </c>
      <c r="E618" s="121" t="s">
        <v>72</v>
      </c>
      <c r="F618" s="151" t="s">
        <v>84</v>
      </c>
      <c r="G618" s="291" t="s">
        <v>62</v>
      </c>
      <c r="H618" s="291" t="s">
        <v>63</v>
      </c>
      <c r="I618" s="292" t="s">
        <v>64</v>
      </c>
      <c r="J618" s="293"/>
      <c r="K618" s="137">
        <f>K623+K619</f>
        <v>10542.3</v>
      </c>
      <c r="L618" s="137">
        <f>L623+L619</f>
        <v>44.999999999999943</v>
      </c>
      <c r="M618" s="137">
        <f>M623+M619</f>
        <v>10587.300000000001</v>
      </c>
    </row>
    <row r="619" spans="1:13" s="118" customFormat="1" ht="56.25" customHeight="1">
      <c r="A619" s="122"/>
      <c r="B619" s="135" t="s">
        <v>391</v>
      </c>
      <c r="C619" s="136" t="s">
        <v>377</v>
      </c>
      <c r="D619" s="121" t="s">
        <v>248</v>
      </c>
      <c r="E619" s="121" t="s">
        <v>72</v>
      </c>
      <c r="F619" s="734" t="s">
        <v>84</v>
      </c>
      <c r="G619" s="735" t="s">
        <v>110</v>
      </c>
      <c r="H619" s="735" t="s">
        <v>63</v>
      </c>
      <c r="I619" s="736" t="s">
        <v>64</v>
      </c>
      <c r="J619" s="121"/>
      <c r="K619" s="137">
        <f t="shared" ref="K619:M621" si="151">K620</f>
        <v>1144.8</v>
      </c>
      <c r="L619" s="137">
        <f t="shared" si="151"/>
        <v>0</v>
      </c>
      <c r="M619" s="137">
        <f t="shared" si="151"/>
        <v>1144.8</v>
      </c>
    </row>
    <row r="620" spans="1:13" s="118" customFormat="1" ht="87" customHeight="1">
      <c r="A620" s="122"/>
      <c r="B620" s="276" t="s">
        <v>383</v>
      </c>
      <c r="C620" s="136" t="s">
        <v>377</v>
      </c>
      <c r="D620" s="121" t="s">
        <v>248</v>
      </c>
      <c r="E620" s="121" t="s">
        <v>72</v>
      </c>
      <c r="F620" s="734" t="s">
        <v>84</v>
      </c>
      <c r="G620" s="735" t="s">
        <v>110</v>
      </c>
      <c r="H620" s="735" t="s">
        <v>84</v>
      </c>
      <c r="I620" s="736" t="s">
        <v>64</v>
      </c>
      <c r="J620" s="121"/>
      <c r="K620" s="137">
        <f t="shared" si="151"/>
        <v>1144.8</v>
      </c>
      <c r="L620" s="137">
        <f t="shared" si="151"/>
        <v>0</v>
      </c>
      <c r="M620" s="137">
        <f t="shared" si="151"/>
        <v>1144.8</v>
      </c>
    </row>
    <row r="621" spans="1:13" s="118" customFormat="1" ht="37.5" customHeight="1">
      <c r="A621" s="122"/>
      <c r="B621" s="139" t="s">
        <v>378</v>
      </c>
      <c r="C621" s="136" t="s">
        <v>377</v>
      </c>
      <c r="D621" s="121" t="s">
        <v>248</v>
      </c>
      <c r="E621" s="121" t="s">
        <v>72</v>
      </c>
      <c r="F621" s="734" t="s">
        <v>84</v>
      </c>
      <c r="G621" s="735" t="s">
        <v>110</v>
      </c>
      <c r="H621" s="735" t="s">
        <v>84</v>
      </c>
      <c r="I621" s="736" t="s">
        <v>379</v>
      </c>
      <c r="J621" s="121"/>
      <c r="K621" s="137">
        <f t="shared" si="151"/>
        <v>1144.8</v>
      </c>
      <c r="L621" s="137">
        <f t="shared" si="151"/>
        <v>0</v>
      </c>
      <c r="M621" s="137">
        <f t="shared" si="151"/>
        <v>1144.8</v>
      </c>
    </row>
    <row r="622" spans="1:13" s="118" customFormat="1" ht="50.25" customHeight="1">
      <c r="A622" s="122"/>
      <c r="B622" s="135" t="s">
        <v>75</v>
      </c>
      <c r="C622" s="136" t="s">
        <v>377</v>
      </c>
      <c r="D622" s="121" t="s">
        <v>248</v>
      </c>
      <c r="E622" s="121" t="s">
        <v>72</v>
      </c>
      <c r="F622" s="734" t="s">
        <v>84</v>
      </c>
      <c r="G622" s="735" t="s">
        <v>110</v>
      </c>
      <c r="H622" s="735" t="s">
        <v>84</v>
      </c>
      <c r="I622" s="736" t="s">
        <v>379</v>
      </c>
      <c r="J622" s="121" t="s">
        <v>76</v>
      </c>
      <c r="K622" s="137">
        <f>733.9+199+211.9</f>
        <v>1144.8</v>
      </c>
      <c r="L622" s="137">
        <f>M622-K622</f>
        <v>0</v>
      </c>
      <c r="M622" s="137">
        <f>733.9+199+211.9</f>
        <v>1144.8</v>
      </c>
    </row>
    <row r="623" spans="1:13" s="118" customFormat="1" ht="56.25" customHeight="1">
      <c r="A623" s="122"/>
      <c r="B623" s="135" t="s">
        <v>238</v>
      </c>
      <c r="C623" s="136" t="s">
        <v>377</v>
      </c>
      <c r="D623" s="121" t="s">
        <v>248</v>
      </c>
      <c r="E623" s="121" t="s">
        <v>72</v>
      </c>
      <c r="F623" s="734" t="s">
        <v>84</v>
      </c>
      <c r="G623" s="735" t="s">
        <v>50</v>
      </c>
      <c r="H623" s="735" t="s">
        <v>63</v>
      </c>
      <c r="I623" s="736" t="s">
        <v>64</v>
      </c>
      <c r="J623" s="121"/>
      <c r="K623" s="137">
        <f>K624</f>
        <v>9397.5</v>
      </c>
      <c r="L623" s="137">
        <f>L624</f>
        <v>44.999999999999943</v>
      </c>
      <c r="M623" s="137">
        <f>M624</f>
        <v>9442.5000000000018</v>
      </c>
    </row>
    <row r="624" spans="1:13" s="118" customFormat="1" ht="37.5" customHeight="1">
      <c r="A624" s="122"/>
      <c r="B624" s="135" t="s">
        <v>322</v>
      </c>
      <c r="C624" s="136" t="s">
        <v>377</v>
      </c>
      <c r="D624" s="121" t="s">
        <v>248</v>
      </c>
      <c r="E624" s="121" t="s">
        <v>72</v>
      </c>
      <c r="F624" s="734" t="s">
        <v>84</v>
      </c>
      <c r="G624" s="735" t="s">
        <v>50</v>
      </c>
      <c r="H624" s="735" t="s">
        <v>57</v>
      </c>
      <c r="I624" s="736" t="s">
        <v>64</v>
      </c>
      <c r="J624" s="121"/>
      <c r="K624" s="137">
        <f>K625+K629+K633</f>
        <v>9397.5</v>
      </c>
      <c r="L624" s="137">
        <f>L625+L629+L633</f>
        <v>44.999999999999943</v>
      </c>
      <c r="M624" s="137">
        <f>M625+M629+M633</f>
        <v>9442.5000000000018</v>
      </c>
    </row>
    <row r="625" spans="1:13" s="118" customFormat="1" ht="37.5" customHeight="1">
      <c r="A625" s="122"/>
      <c r="B625" s="135" t="s">
        <v>67</v>
      </c>
      <c r="C625" s="136" t="s">
        <v>377</v>
      </c>
      <c r="D625" s="121" t="s">
        <v>248</v>
      </c>
      <c r="E625" s="121" t="s">
        <v>72</v>
      </c>
      <c r="F625" s="734" t="s">
        <v>84</v>
      </c>
      <c r="G625" s="735" t="s">
        <v>50</v>
      </c>
      <c r="H625" s="735" t="s">
        <v>57</v>
      </c>
      <c r="I625" s="736" t="s">
        <v>68</v>
      </c>
      <c r="J625" s="293"/>
      <c r="K625" s="137">
        <f>K626+K627+K628</f>
        <v>2859.3000000000006</v>
      </c>
      <c r="L625" s="137">
        <f>L626+L627+L628</f>
        <v>0</v>
      </c>
      <c r="M625" s="137">
        <f>M626+M627+M628</f>
        <v>2859.3000000000006</v>
      </c>
    </row>
    <row r="626" spans="1:13" s="118" customFormat="1" ht="112.5" customHeight="1">
      <c r="A626" s="122"/>
      <c r="B626" s="135" t="s">
        <v>69</v>
      </c>
      <c r="C626" s="136" t="s">
        <v>377</v>
      </c>
      <c r="D626" s="121" t="s">
        <v>248</v>
      </c>
      <c r="E626" s="121" t="s">
        <v>72</v>
      </c>
      <c r="F626" s="734" t="s">
        <v>84</v>
      </c>
      <c r="G626" s="735" t="s">
        <v>50</v>
      </c>
      <c r="H626" s="735" t="s">
        <v>57</v>
      </c>
      <c r="I626" s="736" t="s">
        <v>68</v>
      </c>
      <c r="J626" s="293" t="s">
        <v>70</v>
      </c>
      <c r="K626" s="137">
        <f>2530.3+86.3</f>
        <v>2616.6000000000004</v>
      </c>
      <c r="L626" s="137">
        <f t="shared" ref="L626:L628" si="152">M626-K626</f>
        <v>0</v>
      </c>
      <c r="M626" s="697">
        <f>2530.3+86.3-94.6+94.6</f>
        <v>2616.6000000000004</v>
      </c>
    </row>
    <row r="627" spans="1:13" s="118" customFormat="1" ht="56.25" customHeight="1">
      <c r="A627" s="122"/>
      <c r="B627" s="135" t="s">
        <v>75</v>
      </c>
      <c r="C627" s="136" t="s">
        <v>377</v>
      </c>
      <c r="D627" s="121" t="s">
        <v>248</v>
      </c>
      <c r="E627" s="121" t="s">
        <v>72</v>
      </c>
      <c r="F627" s="734" t="s">
        <v>84</v>
      </c>
      <c r="G627" s="735" t="s">
        <v>50</v>
      </c>
      <c r="H627" s="735" t="s">
        <v>57</v>
      </c>
      <c r="I627" s="736" t="s">
        <v>68</v>
      </c>
      <c r="J627" s="293" t="s">
        <v>76</v>
      </c>
      <c r="K627" s="137">
        <f>225.3+13</f>
        <v>238.3</v>
      </c>
      <c r="L627" s="137">
        <f t="shared" si="152"/>
        <v>0</v>
      </c>
      <c r="M627" s="137">
        <f>225.3+13</f>
        <v>238.3</v>
      </c>
    </row>
    <row r="628" spans="1:13" s="118" customFormat="1" ht="18.75" customHeight="1">
      <c r="A628" s="122"/>
      <c r="B628" s="135" t="s">
        <v>77</v>
      </c>
      <c r="C628" s="136" t="s">
        <v>377</v>
      </c>
      <c r="D628" s="121" t="s">
        <v>248</v>
      </c>
      <c r="E628" s="121" t="s">
        <v>72</v>
      </c>
      <c r="F628" s="734" t="s">
        <v>84</v>
      </c>
      <c r="G628" s="735" t="s">
        <v>50</v>
      </c>
      <c r="H628" s="735" t="s">
        <v>57</v>
      </c>
      <c r="I628" s="736" t="s">
        <v>68</v>
      </c>
      <c r="J628" s="121" t="s">
        <v>78</v>
      </c>
      <c r="K628" s="137">
        <v>4.4000000000000004</v>
      </c>
      <c r="L628" s="137">
        <f t="shared" si="152"/>
        <v>0</v>
      </c>
      <c r="M628" s="697">
        <f>4.4+94.6-94.6</f>
        <v>4.4000000000000057</v>
      </c>
    </row>
    <row r="629" spans="1:13" s="118" customFormat="1" ht="39" customHeight="1">
      <c r="A629" s="122"/>
      <c r="B629" s="138" t="s">
        <v>795</v>
      </c>
      <c r="C629" s="136" t="s">
        <v>377</v>
      </c>
      <c r="D629" s="121" t="s">
        <v>248</v>
      </c>
      <c r="E629" s="121" t="s">
        <v>72</v>
      </c>
      <c r="F629" s="734" t="s">
        <v>84</v>
      </c>
      <c r="G629" s="735" t="s">
        <v>50</v>
      </c>
      <c r="H629" s="735" t="s">
        <v>57</v>
      </c>
      <c r="I629" s="736" t="s">
        <v>112</v>
      </c>
      <c r="J629" s="121"/>
      <c r="K629" s="137">
        <f>K630+K631+K632</f>
        <v>6409.2</v>
      </c>
      <c r="L629" s="137">
        <f>L630+L631+L632</f>
        <v>30.299999999999955</v>
      </c>
      <c r="M629" s="137">
        <f>M630+M631+M632</f>
        <v>6439.5</v>
      </c>
    </row>
    <row r="630" spans="1:13" s="118" customFormat="1" ht="112.5" customHeight="1">
      <c r="A630" s="122"/>
      <c r="B630" s="135" t="s">
        <v>69</v>
      </c>
      <c r="C630" s="389" t="s">
        <v>377</v>
      </c>
      <c r="D630" s="293" t="s">
        <v>248</v>
      </c>
      <c r="E630" s="293" t="s">
        <v>72</v>
      </c>
      <c r="F630" s="734" t="s">
        <v>84</v>
      </c>
      <c r="G630" s="735" t="s">
        <v>50</v>
      </c>
      <c r="H630" s="735" t="s">
        <v>57</v>
      </c>
      <c r="I630" s="736" t="s">
        <v>112</v>
      </c>
      <c r="J630" s="293" t="s">
        <v>70</v>
      </c>
      <c r="K630" s="137">
        <f>5786.6+45.4</f>
        <v>5832</v>
      </c>
      <c r="L630" s="137">
        <f t="shared" ref="L630:L632" si="153">M630-K630</f>
        <v>0</v>
      </c>
      <c r="M630" s="137">
        <f>5786.6+45.4</f>
        <v>5832</v>
      </c>
    </row>
    <row r="631" spans="1:13" s="118" customFormat="1" ht="56.25" customHeight="1">
      <c r="A631" s="122"/>
      <c r="B631" s="135" t="s">
        <v>75</v>
      </c>
      <c r="C631" s="389" t="s">
        <v>377</v>
      </c>
      <c r="D631" s="293" t="s">
        <v>248</v>
      </c>
      <c r="E631" s="293" t="s">
        <v>72</v>
      </c>
      <c r="F631" s="734" t="s">
        <v>84</v>
      </c>
      <c r="G631" s="735" t="s">
        <v>50</v>
      </c>
      <c r="H631" s="735" t="s">
        <v>57</v>
      </c>
      <c r="I631" s="736" t="s">
        <v>112</v>
      </c>
      <c r="J631" s="293" t="s">
        <v>76</v>
      </c>
      <c r="K631" s="137">
        <f>529.6+32.9+13</f>
        <v>575.5</v>
      </c>
      <c r="L631" s="137">
        <f t="shared" si="153"/>
        <v>30.299999999999955</v>
      </c>
      <c r="M631" s="137">
        <f>529.6+32.9+13+30.3</f>
        <v>605.79999999999995</v>
      </c>
    </row>
    <row r="632" spans="1:13" s="118" customFormat="1" ht="18.75" customHeight="1">
      <c r="A632" s="122"/>
      <c r="B632" s="135" t="s">
        <v>77</v>
      </c>
      <c r="C632" s="389" t="s">
        <v>377</v>
      </c>
      <c r="D632" s="293" t="s">
        <v>248</v>
      </c>
      <c r="E632" s="293" t="s">
        <v>72</v>
      </c>
      <c r="F632" s="734" t="s">
        <v>84</v>
      </c>
      <c r="G632" s="735" t="s">
        <v>50</v>
      </c>
      <c r="H632" s="735" t="s">
        <v>57</v>
      </c>
      <c r="I632" s="736" t="s">
        <v>112</v>
      </c>
      <c r="J632" s="121" t="s">
        <v>78</v>
      </c>
      <c r="K632" s="137">
        <v>1.7</v>
      </c>
      <c r="L632" s="137">
        <f t="shared" si="153"/>
        <v>0</v>
      </c>
      <c r="M632" s="137">
        <v>1.7</v>
      </c>
    </row>
    <row r="633" spans="1:13" s="372" customFormat="1" ht="18.75" customHeight="1">
      <c r="A633" s="544"/>
      <c r="B633" s="545" t="s">
        <v>796</v>
      </c>
      <c r="C633" s="389" t="s">
        <v>377</v>
      </c>
      <c r="D633" s="293" t="s">
        <v>248</v>
      </c>
      <c r="E633" s="293" t="s">
        <v>72</v>
      </c>
      <c r="F633" s="734" t="s">
        <v>84</v>
      </c>
      <c r="G633" s="735" t="s">
        <v>50</v>
      </c>
      <c r="H633" s="735" t="s">
        <v>57</v>
      </c>
      <c r="I633" s="413" t="s">
        <v>479</v>
      </c>
      <c r="J633" s="541"/>
      <c r="K633" s="492">
        <f>K634</f>
        <v>129</v>
      </c>
      <c r="L633" s="492">
        <f>L634</f>
        <v>14.699999999999989</v>
      </c>
      <c r="M633" s="492">
        <f>M634</f>
        <v>143.69999999999999</v>
      </c>
    </row>
    <row r="634" spans="1:13" s="372" customFormat="1" ht="55.5" customHeight="1">
      <c r="A634" s="546"/>
      <c r="B634" s="135" t="s">
        <v>75</v>
      </c>
      <c r="C634" s="389" t="s">
        <v>377</v>
      </c>
      <c r="D634" s="293" t="s">
        <v>248</v>
      </c>
      <c r="E634" s="293" t="s">
        <v>72</v>
      </c>
      <c r="F634" s="734" t="s">
        <v>84</v>
      </c>
      <c r="G634" s="735" t="s">
        <v>50</v>
      </c>
      <c r="H634" s="735" t="s">
        <v>57</v>
      </c>
      <c r="I634" s="543" t="s">
        <v>479</v>
      </c>
      <c r="J634" s="542" t="s">
        <v>76</v>
      </c>
      <c r="K634" s="669">
        <f>91.3+37.7</f>
        <v>129</v>
      </c>
      <c r="L634" s="137">
        <f>M634-K634</f>
        <v>14.699999999999989</v>
      </c>
      <c r="M634" s="669">
        <f>91.3+37.7+14.7</f>
        <v>143.69999999999999</v>
      </c>
    </row>
    <row r="635" spans="1:13" s="372" customFormat="1" ht="18.75" customHeight="1">
      <c r="A635" s="546"/>
      <c r="B635" s="539"/>
      <c r="C635" s="389"/>
      <c r="D635" s="293"/>
      <c r="E635" s="293"/>
      <c r="F635" s="734"/>
      <c r="G635" s="735"/>
      <c r="H635" s="735"/>
      <c r="I635" s="540"/>
      <c r="J635" s="542"/>
      <c r="K635" s="669"/>
      <c r="L635" s="670"/>
      <c r="M635" s="669"/>
    </row>
    <row r="636" spans="1:13" s="351" customFormat="1" ht="56.25" customHeight="1">
      <c r="A636" s="350">
        <v>7</v>
      </c>
      <c r="B636" s="129" t="s">
        <v>26</v>
      </c>
      <c r="C636" s="130" t="s">
        <v>331</v>
      </c>
      <c r="D636" s="131"/>
      <c r="E636" s="131"/>
      <c r="F636" s="132"/>
      <c r="G636" s="133"/>
      <c r="H636" s="133"/>
      <c r="I636" s="134"/>
      <c r="J636" s="131"/>
      <c r="K636" s="160">
        <f>K644+K637</f>
        <v>40344.9</v>
      </c>
      <c r="L636" s="160">
        <f>L644+L637</f>
        <v>422.90000000000055</v>
      </c>
      <c r="M636" s="160">
        <f>M644+M637</f>
        <v>40767.800000000003</v>
      </c>
    </row>
    <row r="637" spans="1:13" s="351" customFormat="1" ht="29.25" customHeight="1">
      <c r="A637" s="350"/>
      <c r="B637" s="551" t="s">
        <v>56</v>
      </c>
      <c r="C637" s="552" t="s">
        <v>331</v>
      </c>
      <c r="D637" s="152" t="s">
        <v>57</v>
      </c>
      <c r="E637" s="152"/>
      <c r="F637" s="535"/>
      <c r="G637" s="536"/>
      <c r="H637" s="536"/>
      <c r="I637" s="537"/>
      <c r="J637" s="152"/>
      <c r="K637" s="538">
        <f t="shared" ref="K637:M641" si="154">K638</f>
        <v>35.299999999999997</v>
      </c>
      <c r="L637" s="538">
        <f t="shared" si="154"/>
        <v>0</v>
      </c>
      <c r="M637" s="538">
        <f t="shared" si="154"/>
        <v>35.299999999999997</v>
      </c>
    </row>
    <row r="638" spans="1:13" s="351" customFormat="1" ht="23.25" customHeight="1">
      <c r="A638" s="350"/>
      <c r="B638" s="551" t="s">
        <v>91</v>
      </c>
      <c r="C638" s="552" t="s">
        <v>331</v>
      </c>
      <c r="D638" s="152" t="s">
        <v>57</v>
      </c>
      <c r="E638" s="152" t="s">
        <v>92</v>
      </c>
      <c r="F638" s="535"/>
      <c r="G638" s="536"/>
      <c r="H638" s="536"/>
      <c r="I638" s="537"/>
      <c r="J638" s="152"/>
      <c r="K638" s="538">
        <f t="shared" si="154"/>
        <v>35.299999999999997</v>
      </c>
      <c r="L638" s="538">
        <f t="shared" si="154"/>
        <v>0</v>
      </c>
      <c r="M638" s="538">
        <f t="shared" si="154"/>
        <v>35.299999999999997</v>
      </c>
    </row>
    <row r="639" spans="1:13" s="351" customFormat="1" ht="56.25" customHeight="1">
      <c r="A639" s="350"/>
      <c r="B639" s="135" t="s">
        <v>239</v>
      </c>
      <c r="C639" s="552" t="s">
        <v>331</v>
      </c>
      <c r="D639" s="152" t="s">
        <v>57</v>
      </c>
      <c r="E639" s="152" t="s">
        <v>92</v>
      </c>
      <c r="F639" s="535" t="s">
        <v>72</v>
      </c>
      <c r="G639" s="536" t="s">
        <v>62</v>
      </c>
      <c r="H639" s="536" t="s">
        <v>63</v>
      </c>
      <c r="I639" s="537" t="s">
        <v>64</v>
      </c>
      <c r="J639" s="152"/>
      <c r="K639" s="538">
        <f t="shared" si="154"/>
        <v>35.299999999999997</v>
      </c>
      <c r="L639" s="538">
        <f t="shared" si="154"/>
        <v>0</v>
      </c>
      <c r="M639" s="538">
        <f t="shared" si="154"/>
        <v>35.299999999999997</v>
      </c>
    </row>
    <row r="640" spans="1:13" s="351" customFormat="1" ht="37.5" customHeight="1">
      <c r="A640" s="350"/>
      <c r="B640" s="135" t="s">
        <v>242</v>
      </c>
      <c r="C640" s="552" t="s">
        <v>331</v>
      </c>
      <c r="D640" s="152" t="s">
        <v>57</v>
      </c>
      <c r="E640" s="152" t="s">
        <v>92</v>
      </c>
      <c r="F640" s="535" t="s">
        <v>72</v>
      </c>
      <c r="G640" s="536" t="s">
        <v>110</v>
      </c>
      <c r="H640" s="536" t="s">
        <v>63</v>
      </c>
      <c r="I640" s="537" t="s">
        <v>64</v>
      </c>
      <c r="J640" s="152"/>
      <c r="K640" s="538">
        <f t="shared" si="154"/>
        <v>35.299999999999997</v>
      </c>
      <c r="L640" s="538">
        <f t="shared" si="154"/>
        <v>0</v>
      </c>
      <c r="M640" s="538">
        <f t="shared" si="154"/>
        <v>35.299999999999997</v>
      </c>
    </row>
    <row r="641" spans="1:13" s="351" customFormat="1" ht="41.25" customHeight="1">
      <c r="A641" s="350"/>
      <c r="B641" s="551" t="s">
        <v>428</v>
      </c>
      <c r="C641" s="552" t="s">
        <v>331</v>
      </c>
      <c r="D641" s="152" t="s">
        <v>57</v>
      </c>
      <c r="E641" s="152" t="s">
        <v>92</v>
      </c>
      <c r="F641" s="535" t="s">
        <v>72</v>
      </c>
      <c r="G641" s="536" t="s">
        <v>110</v>
      </c>
      <c r="H641" s="536" t="s">
        <v>84</v>
      </c>
      <c r="I641" s="537" t="s">
        <v>64</v>
      </c>
      <c r="J641" s="152"/>
      <c r="K641" s="538">
        <f t="shared" si="154"/>
        <v>35.299999999999997</v>
      </c>
      <c r="L641" s="538">
        <f t="shared" si="154"/>
        <v>0</v>
      </c>
      <c r="M641" s="538">
        <f t="shared" si="154"/>
        <v>35.299999999999997</v>
      </c>
    </row>
    <row r="642" spans="1:13" s="351" customFormat="1" ht="56.25" customHeight="1">
      <c r="A642" s="350"/>
      <c r="B642" s="612" t="s">
        <v>429</v>
      </c>
      <c r="C642" s="552" t="s">
        <v>331</v>
      </c>
      <c r="D642" s="152" t="s">
        <v>57</v>
      </c>
      <c r="E642" s="152" t="s">
        <v>92</v>
      </c>
      <c r="F642" s="535" t="s">
        <v>72</v>
      </c>
      <c r="G642" s="536" t="s">
        <v>110</v>
      </c>
      <c r="H642" s="536" t="s">
        <v>84</v>
      </c>
      <c r="I642" s="537" t="s">
        <v>126</v>
      </c>
      <c r="J642" s="152"/>
      <c r="K642" s="538">
        <f>K643</f>
        <v>35.299999999999997</v>
      </c>
      <c r="L642" s="538">
        <f>L643</f>
        <v>0</v>
      </c>
      <c r="M642" s="538">
        <f>M643</f>
        <v>35.299999999999997</v>
      </c>
    </row>
    <row r="643" spans="1:13" s="351" customFormat="1" ht="56.25" customHeight="1">
      <c r="A643" s="350"/>
      <c r="B643" s="135" t="s">
        <v>75</v>
      </c>
      <c r="C643" s="552" t="s">
        <v>331</v>
      </c>
      <c r="D643" s="152" t="s">
        <v>57</v>
      </c>
      <c r="E643" s="152" t="s">
        <v>92</v>
      </c>
      <c r="F643" s="535" t="s">
        <v>72</v>
      </c>
      <c r="G643" s="536" t="s">
        <v>110</v>
      </c>
      <c r="H643" s="536" t="s">
        <v>84</v>
      </c>
      <c r="I643" s="537" t="s">
        <v>126</v>
      </c>
      <c r="J643" s="152" t="s">
        <v>76</v>
      </c>
      <c r="K643" s="538">
        <v>35.299999999999997</v>
      </c>
      <c r="L643" s="137">
        <f>M643-K643</f>
        <v>0</v>
      </c>
      <c r="M643" s="538">
        <v>35.299999999999997</v>
      </c>
    </row>
    <row r="644" spans="1:13" s="118" customFormat="1" ht="18.75" customHeight="1">
      <c r="A644" s="122"/>
      <c r="B644" s="141" t="s">
        <v>385</v>
      </c>
      <c r="C644" s="136" t="s">
        <v>331</v>
      </c>
      <c r="D644" s="121" t="s">
        <v>88</v>
      </c>
      <c r="E644" s="121"/>
      <c r="F644" s="734"/>
      <c r="G644" s="735"/>
      <c r="H644" s="735"/>
      <c r="I644" s="736"/>
      <c r="J644" s="121"/>
      <c r="K644" s="137">
        <f>K645+K669+K676</f>
        <v>40309.599999999999</v>
      </c>
      <c r="L644" s="137">
        <f>L645+L669+L676</f>
        <v>422.90000000000055</v>
      </c>
      <c r="M644" s="137">
        <f>M645+M669+M676</f>
        <v>40732.5</v>
      </c>
    </row>
    <row r="645" spans="1:13" s="351" customFormat="1" ht="18.75" customHeight="1">
      <c r="A645" s="122"/>
      <c r="B645" s="141" t="s">
        <v>443</v>
      </c>
      <c r="C645" s="136" t="s">
        <v>331</v>
      </c>
      <c r="D645" s="121" t="s">
        <v>88</v>
      </c>
      <c r="E645" s="121" t="s">
        <v>57</v>
      </c>
      <c r="F645" s="734"/>
      <c r="G645" s="735"/>
      <c r="H645" s="735"/>
      <c r="I645" s="736"/>
      <c r="J645" s="121"/>
      <c r="K645" s="137">
        <f>K646</f>
        <v>37170.499999999993</v>
      </c>
      <c r="L645" s="137">
        <f>L646</f>
        <v>257.90000000000055</v>
      </c>
      <c r="M645" s="137">
        <f>M646</f>
        <v>37428.399999999994</v>
      </c>
    </row>
    <row r="646" spans="1:13" s="351" customFormat="1" ht="57" customHeight="1">
      <c r="A646" s="122"/>
      <c r="B646" s="135" t="s">
        <v>239</v>
      </c>
      <c r="C646" s="136" t="s">
        <v>331</v>
      </c>
      <c r="D646" s="121" t="s">
        <v>88</v>
      </c>
      <c r="E646" s="121" t="s">
        <v>57</v>
      </c>
      <c r="F646" s="734" t="s">
        <v>72</v>
      </c>
      <c r="G646" s="735" t="s">
        <v>62</v>
      </c>
      <c r="H646" s="735" t="s">
        <v>63</v>
      </c>
      <c r="I646" s="736" t="s">
        <v>64</v>
      </c>
      <c r="J646" s="121"/>
      <c r="K646" s="137">
        <f>K647+K651+K665</f>
        <v>37170.499999999993</v>
      </c>
      <c r="L646" s="137">
        <f>L647+L651+L665</f>
        <v>257.90000000000055</v>
      </c>
      <c r="M646" s="137">
        <f>M647+M651+M665</f>
        <v>37428.399999999994</v>
      </c>
    </row>
    <row r="647" spans="1:13" s="351" customFormat="1" ht="37.5" customHeight="1">
      <c r="A647" s="122"/>
      <c r="B647" s="141" t="s">
        <v>240</v>
      </c>
      <c r="C647" s="136" t="s">
        <v>331</v>
      </c>
      <c r="D647" s="121" t="s">
        <v>88</v>
      </c>
      <c r="E647" s="121" t="s">
        <v>57</v>
      </c>
      <c r="F647" s="734" t="s">
        <v>72</v>
      </c>
      <c r="G647" s="735" t="s">
        <v>65</v>
      </c>
      <c r="H647" s="735" t="s">
        <v>63</v>
      </c>
      <c r="I647" s="736" t="s">
        <v>64</v>
      </c>
      <c r="J647" s="121"/>
      <c r="K647" s="137">
        <f>K648</f>
        <v>144</v>
      </c>
      <c r="L647" s="137">
        <f>L648</f>
        <v>0</v>
      </c>
      <c r="M647" s="137">
        <f>M648</f>
        <v>144</v>
      </c>
    </row>
    <row r="648" spans="1:13" s="351" customFormat="1" ht="18.75" customHeight="1">
      <c r="A648" s="122"/>
      <c r="B648" s="135" t="s">
        <v>317</v>
      </c>
      <c r="C648" s="136" t="s">
        <v>331</v>
      </c>
      <c r="D648" s="121" t="s">
        <v>88</v>
      </c>
      <c r="E648" s="121" t="s">
        <v>57</v>
      </c>
      <c r="F648" s="734" t="s">
        <v>72</v>
      </c>
      <c r="G648" s="735" t="s">
        <v>65</v>
      </c>
      <c r="H648" s="735" t="s">
        <v>57</v>
      </c>
      <c r="I648" s="736" t="s">
        <v>64</v>
      </c>
      <c r="J648" s="121"/>
      <c r="K648" s="137">
        <f t="shared" ref="K648:M649" si="155">K649</f>
        <v>144</v>
      </c>
      <c r="L648" s="137">
        <f t="shared" si="155"/>
        <v>0</v>
      </c>
      <c r="M648" s="137">
        <f t="shared" si="155"/>
        <v>144</v>
      </c>
    </row>
    <row r="649" spans="1:13" s="351" customFormat="1" ht="56.25">
      <c r="A649" s="122"/>
      <c r="B649" s="135" t="s">
        <v>318</v>
      </c>
      <c r="C649" s="136" t="s">
        <v>331</v>
      </c>
      <c r="D649" s="121" t="s">
        <v>88</v>
      </c>
      <c r="E649" s="121" t="s">
        <v>57</v>
      </c>
      <c r="F649" s="734" t="s">
        <v>72</v>
      </c>
      <c r="G649" s="735" t="s">
        <v>65</v>
      </c>
      <c r="H649" s="735" t="s">
        <v>57</v>
      </c>
      <c r="I649" s="736" t="s">
        <v>319</v>
      </c>
      <c r="J649" s="121"/>
      <c r="K649" s="137">
        <f t="shared" si="155"/>
        <v>144</v>
      </c>
      <c r="L649" s="137">
        <f t="shared" si="155"/>
        <v>0</v>
      </c>
      <c r="M649" s="137">
        <f t="shared" si="155"/>
        <v>144</v>
      </c>
    </row>
    <row r="650" spans="1:13" s="351" customFormat="1" ht="37.5" customHeight="1">
      <c r="A650" s="122"/>
      <c r="B650" s="135" t="s">
        <v>141</v>
      </c>
      <c r="C650" s="136" t="s">
        <v>331</v>
      </c>
      <c r="D650" s="121" t="s">
        <v>88</v>
      </c>
      <c r="E650" s="121" t="s">
        <v>57</v>
      </c>
      <c r="F650" s="734" t="s">
        <v>72</v>
      </c>
      <c r="G650" s="735" t="s">
        <v>65</v>
      </c>
      <c r="H650" s="735" t="s">
        <v>57</v>
      </c>
      <c r="I650" s="736" t="s">
        <v>319</v>
      </c>
      <c r="J650" s="121" t="s">
        <v>142</v>
      </c>
      <c r="K650" s="137">
        <v>144</v>
      </c>
      <c r="L650" s="137">
        <f>M650-K650</f>
        <v>0</v>
      </c>
      <c r="M650" s="137">
        <v>144</v>
      </c>
    </row>
    <row r="651" spans="1:13" s="118" customFormat="1" ht="37.5" customHeight="1">
      <c r="A651" s="122"/>
      <c r="B651" s="135" t="s">
        <v>242</v>
      </c>
      <c r="C651" s="136" t="s">
        <v>331</v>
      </c>
      <c r="D651" s="121" t="s">
        <v>88</v>
      </c>
      <c r="E651" s="121" t="s">
        <v>57</v>
      </c>
      <c r="F651" s="734" t="s">
        <v>72</v>
      </c>
      <c r="G651" s="735" t="s">
        <v>110</v>
      </c>
      <c r="H651" s="735" t="s">
        <v>63</v>
      </c>
      <c r="I651" s="736" t="s">
        <v>64</v>
      </c>
      <c r="J651" s="121"/>
      <c r="K651" s="137">
        <f>K652</f>
        <v>31071.799999999996</v>
      </c>
      <c r="L651" s="137">
        <f>L652</f>
        <v>257.90000000000055</v>
      </c>
      <c r="M651" s="137">
        <f>M652</f>
        <v>31329.699999999997</v>
      </c>
    </row>
    <row r="652" spans="1:13" s="351" customFormat="1" ht="36.6" customHeight="1">
      <c r="A652" s="122"/>
      <c r="B652" s="135" t="s">
        <v>444</v>
      </c>
      <c r="C652" s="136" t="s">
        <v>331</v>
      </c>
      <c r="D652" s="121" t="s">
        <v>88</v>
      </c>
      <c r="E652" s="121" t="s">
        <v>57</v>
      </c>
      <c r="F652" s="734" t="s">
        <v>72</v>
      </c>
      <c r="G652" s="735" t="s">
        <v>110</v>
      </c>
      <c r="H652" s="735" t="s">
        <v>59</v>
      </c>
      <c r="I652" s="736" t="s">
        <v>64</v>
      </c>
      <c r="J652" s="121"/>
      <c r="K652" s="137">
        <f>K653+K657+K663+K659+K661</f>
        <v>31071.799999999996</v>
      </c>
      <c r="L652" s="137">
        <f>L653+L657+L663+L659+L661</f>
        <v>257.90000000000055</v>
      </c>
      <c r="M652" s="137">
        <f>M653+M657+M663+M659+M661</f>
        <v>31329.699999999997</v>
      </c>
    </row>
    <row r="653" spans="1:13" s="351" customFormat="1" ht="39" customHeight="1">
      <c r="A653" s="122"/>
      <c r="B653" s="138" t="s">
        <v>795</v>
      </c>
      <c r="C653" s="136" t="s">
        <v>331</v>
      </c>
      <c r="D653" s="121" t="s">
        <v>88</v>
      </c>
      <c r="E653" s="121" t="s">
        <v>57</v>
      </c>
      <c r="F653" s="734" t="s">
        <v>72</v>
      </c>
      <c r="G653" s="735" t="s">
        <v>110</v>
      </c>
      <c r="H653" s="735" t="s">
        <v>59</v>
      </c>
      <c r="I653" s="736" t="s">
        <v>112</v>
      </c>
      <c r="J653" s="121"/>
      <c r="K653" s="137">
        <f>K654+K655+K656</f>
        <v>25367.399999999998</v>
      </c>
      <c r="L653" s="137">
        <f>L654+L655+L656</f>
        <v>257.90000000000055</v>
      </c>
      <c r="M653" s="137">
        <f>M654+M655+M656</f>
        <v>25625.3</v>
      </c>
    </row>
    <row r="654" spans="1:13" s="351" customFormat="1" ht="112.5" customHeight="1">
      <c r="A654" s="122"/>
      <c r="B654" s="135" t="s">
        <v>69</v>
      </c>
      <c r="C654" s="136" t="s">
        <v>331</v>
      </c>
      <c r="D654" s="121" t="s">
        <v>88</v>
      </c>
      <c r="E654" s="121" t="s">
        <v>57</v>
      </c>
      <c r="F654" s="734" t="s">
        <v>72</v>
      </c>
      <c r="G654" s="735" t="s">
        <v>110</v>
      </c>
      <c r="H654" s="735" t="s">
        <v>59</v>
      </c>
      <c r="I654" s="736" t="s">
        <v>112</v>
      </c>
      <c r="J654" s="121" t="s">
        <v>70</v>
      </c>
      <c r="K654" s="137">
        <f>17673+972.7+215+289+268.6</f>
        <v>19418.3</v>
      </c>
      <c r="L654" s="137">
        <f t="shared" ref="L654:L656" si="156">M654-K654</f>
        <v>0</v>
      </c>
      <c r="M654" s="137">
        <f>17673+972.7+215+289+268.6</f>
        <v>19418.3</v>
      </c>
    </row>
    <row r="655" spans="1:13" s="118" customFormat="1" ht="56.25" customHeight="1">
      <c r="A655" s="122"/>
      <c r="B655" s="135" t="s">
        <v>75</v>
      </c>
      <c r="C655" s="136" t="s">
        <v>331</v>
      </c>
      <c r="D655" s="121" t="s">
        <v>88</v>
      </c>
      <c r="E655" s="121" t="s">
        <v>57</v>
      </c>
      <c r="F655" s="734" t="s">
        <v>72</v>
      </c>
      <c r="G655" s="735" t="s">
        <v>110</v>
      </c>
      <c r="H655" s="735" t="s">
        <v>59</v>
      </c>
      <c r="I655" s="736" t="s">
        <v>112</v>
      </c>
      <c r="J655" s="121" t="s">
        <v>76</v>
      </c>
      <c r="K655" s="137">
        <f>5643.8-972.7+750-289+211.9+69+140.1+45.2+289</f>
        <v>5887.3</v>
      </c>
      <c r="L655" s="137">
        <f t="shared" si="156"/>
        <v>247.90000000000055</v>
      </c>
      <c r="M655" s="697">
        <f>5643.8-972.7+750-289+211.9+69+140.1+45.2+289-10+200.1+57.8</f>
        <v>6135.2000000000007</v>
      </c>
    </row>
    <row r="656" spans="1:13" s="351" customFormat="1" ht="18.75" customHeight="1">
      <c r="A656" s="122"/>
      <c r="B656" s="135" t="s">
        <v>77</v>
      </c>
      <c r="C656" s="136" t="s">
        <v>331</v>
      </c>
      <c r="D656" s="121" t="s">
        <v>88</v>
      </c>
      <c r="E656" s="121" t="s">
        <v>57</v>
      </c>
      <c r="F656" s="734" t="s">
        <v>72</v>
      </c>
      <c r="G656" s="735" t="s">
        <v>110</v>
      </c>
      <c r="H656" s="735" t="s">
        <v>59</v>
      </c>
      <c r="I656" s="736" t="s">
        <v>112</v>
      </c>
      <c r="J656" s="121" t="s">
        <v>78</v>
      </c>
      <c r="K656" s="137">
        <v>61.8</v>
      </c>
      <c r="L656" s="137">
        <f t="shared" si="156"/>
        <v>10</v>
      </c>
      <c r="M656" s="697">
        <f>61.8+10</f>
        <v>71.8</v>
      </c>
    </row>
    <row r="657" spans="1:14" s="351" customFormat="1" ht="22.5" customHeight="1">
      <c r="A657" s="122"/>
      <c r="B657" s="135" t="s">
        <v>796</v>
      </c>
      <c r="C657" s="136" t="s">
        <v>331</v>
      </c>
      <c r="D657" s="121" t="s">
        <v>88</v>
      </c>
      <c r="E657" s="121" t="s">
        <v>57</v>
      </c>
      <c r="F657" s="734" t="s">
        <v>72</v>
      </c>
      <c r="G657" s="735" t="s">
        <v>110</v>
      </c>
      <c r="H657" s="735" t="s">
        <v>59</v>
      </c>
      <c r="I657" s="736" t="s">
        <v>479</v>
      </c>
      <c r="J657" s="121"/>
      <c r="K657" s="137">
        <f>K658</f>
        <v>2355.8000000000002</v>
      </c>
      <c r="L657" s="137">
        <f>L658</f>
        <v>0</v>
      </c>
      <c r="M657" s="137">
        <f>M658</f>
        <v>2355.8000000000002</v>
      </c>
    </row>
    <row r="658" spans="1:14" s="351" customFormat="1" ht="56.25" customHeight="1">
      <c r="A658" s="122"/>
      <c r="B658" s="135" t="s">
        <v>75</v>
      </c>
      <c r="C658" s="136" t="s">
        <v>331</v>
      </c>
      <c r="D658" s="121" t="s">
        <v>88</v>
      </c>
      <c r="E658" s="121" t="s">
        <v>57</v>
      </c>
      <c r="F658" s="734" t="s">
        <v>72</v>
      </c>
      <c r="G658" s="735" t="s">
        <v>110</v>
      </c>
      <c r="H658" s="735" t="s">
        <v>59</v>
      </c>
      <c r="I658" s="736" t="s">
        <v>479</v>
      </c>
      <c r="J658" s="121" t="s">
        <v>76</v>
      </c>
      <c r="K658" s="137">
        <v>2355.8000000000002</v>
      </c>
      <c r="L658" s="137">
        <f>M658-K658</f>
        <v>0</v>
      </c>
      <c r="M658" s="137">
        <v>2355.8000000000002</v>
      </c>
    </row>
    <row r="659" spans="1:14" s="351" customFormat="1" ht="56.25" customHeight="1">
      <c r="A659" s="122"/>
      <c r="B659" s="135" t="s">
        <v>241</v>
      </c>
      <c r="C659" s="136" t="s">
        <v>331</v>
      </c>
      <c r="D659" s="121" t="s">
        <v>88</v>
      </c>
      <c r="E659" s="121" t="s">
        <v>57</v>
      </c>
      <c r="F659" s="734" t="s">
        <v>72</v>
      </c>
      <c r="G659" s="735" t="s">
        <v>110</v>
      </c>
      <c r="H659" s="735" t="s">
        <v>59</v>
      </c>
      <c r="I659" s="736" t="s">
        <v>333</v>
      </c>
      <c r="J659" s="121"/>
      <c r="K659" s="137">
        <f t="shared" ref="K659:M659" si="157">K660</f>
        <v>2325.8000000000002</v>
      </c>
      <c r="L659" s="137">
        <f t="shared" si="157"/>
        <v>0</v>
      </c>
      <c r="M659" s="137">
        <f t="shared" si="157"/>
        <v>2325.8000000000002</v>
      </c>
    </row>
    <row r="660" spans="1:14" s="351" customFormat="1" ht="56.25" customHeight="1">
      <c r="A660" s="122"/>
      <c r="B660" s="135" t="s">
        <v>75</v>
      </c>
      <c r="C660" s="136" t="s">
        <v>331</v>
      </c>
      <c r="D660" s="121" t="s">
        <v>88</v>
      </c>
      <c r="E660" s="121" t="s">
        <v>57</v>
      </c>
      <c r="F660" s="734" t="s">
        <v>72</v>
      </c>
      <c r="G660" s="735" t="s">
        <v>110</v>
      </c>
      <c r="H660" s="735" t="s">
        <v>59</v>
      </c>
      <c r="I660" s="736" t="s">
        <v>333</v>
      </c>
      <c r="J660" s="121" t="s">
        <v>76</v>
      </c>
      <c r="K660" s="137">
        <f>2325.8-211.9+211.9</f>
        <v>2325.8000000000002</v>
      </c>
      <c r="L660" s="137">
        <f>M660-K660</f>
        <v>0</v>
      </c>
      <c r="M660" s="137">
        <f>2325.8-211.9+211.9</f>
        <v>2325.8000000000002</v>
      </c>
    </row>
    <row r="661" spans="1:14" s="351" customFormat="1" ht="181.9" customHeight="1">
      <c r="A661" s="122"/>
      <c r="B661" s="135" t="s">
        <v>694</v>
      </c>
      <c r="C661" s="136" t="s">
        <v>331</v>
      </c>
      <c r="D661" s="121" t="s">
        <v>88</v>
      </c>
      <c r="E661" s="121" t="s">
        <v>57</v>
      </c>
      <c r="F661" s="734" t="s">
        <v>72</v>
      </c>
      <c r="G661" s="735" t="s">
        <v>110</v>
      </c>
      <c r="H661" s="735" t="s">
        <v>59</v>
      </c>
      <c r="I661" s="736" t="s">
        <v>538</v>
      </c>
      <c r="J661" s="121"/>
      <c r="K661" s="137">
        <f>K662</f>
        <v>125</v>
      </c>
      <c r="L661" s="137">
        <f>L662</f>
        <v>0</v>
      </c>
      <c r="M661" s="137">
        <f>M662</f>
        <v>125</v>
      </c>
    </row>
    <row r="662" spans="1:14" s="351" customFormat="1" ht="109.5" customHeight="1">
      <c r="A662" s="122"/>
      <c r="B662" s="135" t="s">
        <v>69</v>
      </c>
      <c r="C662" s="136" t="s">
        <v>331</v>
      </c>
      <c r="D662" s="121" t="s">
        <v>88</v>
      </c>
      <c r="E662" s="121" t="s">
        <v>57</v>
      </c>
      <c r="F662" s="734" t="s">
        <v>72</v>
      </c>
      <c r="G662" s="735" t="s">
        <v>110</v>
      </c>
      <c r="H662" s="735" t="s">
        <v>59</v>
      </c>
      <c r="I662" s="736" t="s">
        <v>538</v>
      </c>
      <c r="J662" s="121" t="s">
        <v>70</v>
      </c>
      <c r="K662" s="137">
        <v>125</v>
      </c>
      <c r="L662" s="137">
        <f>M662-K662</f>
        <v>0</v>
      </c>
      <c r="M662" s="137">
        <v>125</v>
      </c>
    </row>
    <row r="663" spans="1:14" s="351" customFormat="1" ht="58.5" customHeight="1">
      <c r="A663" s="122"/>
      <c r="B663" s="135" t="s">
        <v>729</v>
      </c>
      <c r="C663" s="136" t="s">
        <v>331</v>
      </c>
      <c r="D663" s="121" t="s">
        <v>88</v>
      </c>
      <c r="E663" s="121" t="s">
        <v>57</v>
      </c>
      <c r="F663" s="734" t="s">
        <v>72</v>
      </c>
      <c r="G663" s="735" t="s">
        <v>110</v>
      </c>
      <c r="H663" s="735" t="s">
        <v>59</v>
      </c>
      <c r="I663" s="736" t="s">
        <v>583</v>
      </c>
      <c r="J663" s="121"/>
      <c r="K663" s="137">
        <f>K664</f>
        <v>897.8</v>
      </c>
      <c r="L663" s="137">
        <f>L664</f>
        <v>0</v>
      </c>
      <c r="M663" s="137">
        <f>M664</f>
        <v>897.8</v>
      </c>
    </row>
    <row r="664" spans="1:14" s="351" customFormat="1" ht="112.5" customHeight="1">
      <c r="A664" s="122"/>
      <c r="B664" s="135" t="s">
        <v>69</v>
      </c>
      <c r="C664" s="136" t="s">
        <v>331</v>
      </c>
      <c r="D664" s="121" t="s">
        <v>88</v>
      </c>
      <c r="E664" s="121" t="s">
        <v>57</v>
      </c>
      <c r="F664" s="734" t="s">
        <v>72</v>
      </c>
      <c r="G664" s="735" t="s">
        <v>110</v>
      </c>
      <c r="H664" s="735" t="s">
        <v>59</v>
      </c>
      <c r="I664" s="736" t="s">
        <v>583</v>
      </c>
      <c r="J664" s="121" t="s">
        <v>70</v>
      </c>
      <c r="K664" s="137">
        <v>897.8</v>
      </c>
      <c r="L664" s="137">
        <f>M664-K664</f>
        <v>0</v>
      </c>
      <c r="M664" s="137">
        <v>897.8</v>
      </c>
    </row>
    <row r="665" spans="1:14" s="118" customFormat="1" ht="37.5" customHeight="1">
      <c r="A665" s="122"/>
      <c r="B665" s="135" t="s">
        <v>404</v>
      </c>
      <c r="C665" s="136" t="s">
        <v>331</v>
      </c>
      <c r="D665" s="121" t="s">
        <v>88</v>
      </c>
      <c r="E665" s="121" t="s">
        <v>57</v>
      </c>
      <c r="F665" s="734" t="s">
        <v>72</v>
      </c>
      <c r="G665" s="735" t="s">
        <v>51</v>
      </c>
      <c r="H665" s="735" t="s">
        <v>63</v>
      </c>
      <c r="I665" s="736" t="s">
        <v>64</v>
      </c>
      <c r="J665" s="121"/>
      <c r="K665" s="137">
        <f t="shared" ref="K665:M667" si="158">K666</f>
        <v>5954.7</v>
      </c>
      <c r="L665" s="137">
        <f t="shared" si="158"/>
        <v>0</v>
      </c>
      <c r="M665" s="137">
        <f t="shared" si="158"/>
        <v>5954.7</v>
      </c>
    </row>
    <row r="666" spans="1:14" s="351" customFormat="1" ht="75" customHeight="1">
      <c r="A666" s="122"/>
      <c r="B666" s="135" t="s">
        <v>584</v>
      </c>
      <c r="C666" s="136" t="s">
        <v>331</v>
      </c>
      <c r="D666" s="121" t="s">
        <v>88</v>
      </c>
      <c r="E666" s="121" t="s">
        <v>57</v>
      </c>
      <c r="F666" s="734" t="s">
        <v>72</v>
      </c>
      <c r="G666" s="735" t="s">
        <v>51</v>
      </c>
      <c r="H666" s="735" t="s">
        <v>84</v>
      </c>
      <c r="I666" s="736" t="s">
        <v>64</v>
      </c>
      <c r="J666" s="121"/>
      <c r="K666" s="137">
        <f t="shared" si="158"/>
        <v>5954.7</v>
      </c>
      <c r="L666" s="137">
        <f t="shared" si="158"/>
        <v>0</v>
      </c>
      <c r="M666" s="137">
        <f t="shared" si="158"/>
        <v>5954.7</v>
      </c>
    </row>
    <row r="667" spans="1:14" s="351" customFormat="1" ht="56.25" customHeight="1">
      <c r="A667" s="122"/>
      <c r="B667" s="135" t="s">
        <v>241</v>
      </c>
      <c r="C667" s="136" t="s">
        <v>331</v>
      </c>
      <c r="D667" s="121" t="s">
        <v>88</v>
      </c>
      <c r="E667" s="121" t="s">
        <v>57</v>
      </c>
      <c r="F667" s="734" t="s">
        <v>72</v>
      </c>
      <c r="G667" s="735" t="s">
        <v>51</v>
      </c>
      <c r="H667" s="735" t="s">
        <v>84</v>
      </c>
      <c r="I667" s="736" t="s">
        <v>333</v>
      </c>
      <c r="J667" s="121"/>
      <c r="K667" s="137">
        <f t="shared" si="158"/>
        <v>5954.7</v>
      </c>
      <c r="L667" s="137">
        <f t="shared" si="158"/>
        <v>0</v>
      </c>
      <c r="M667" s="137">
        <f t="shared" si="158"/>
        <v>5954.7</v>
      </c>
    </row>
    <row r="668" spans="1:14" s="351" customFormat="1" ht="56.25" customHeight="1">
      <c r="A668" s="122"/>
      <c r="B668" s="135" t="s">
        <v>225</v>
      </c>
      <c r="C668" s="136" t="s">
        <v>331</v>
      </c>
      <c r="D668" s="121" t="s">
        <v>88</v>
      </c>
      <c r="E668" s="121" t="s">
        <v>57</v>
      </c>
      <c r="F668" s="734" t="s">
        <v>72</v>
      </c>
      <c r="G668" s="735" t="s">
        <v>51</v>
      </c>
      <c r="H668" s="735" t="s">
        <v>84</v>
      </c>
      <c r="I668" s="736" t="s">
        <v>333</v>
      </c>
      <c r="J668" s="121" t="s">
        <v>226</v>
      </c>
      <c r="K668" s="137">
        <f>1500+1556.9+1100+1743.2+54.6</f>
        <v>5954.7</v>
      </c>
      <c r="L668" s="137">
        <f>M668-K668</f>
        <v>0</v>
      </c>
      <c r="M668" s="137">
        <f>1500+1556.9+1100+1743.2+54.6</f>
        <v>5954.7</v>
      </c>
    </row>
    <row r="669" spans="1:14" s="118" customFormat="1" ht="18.75" customHeight="1">
      <c r="A669" s="122"/>
      <c r="B669" s="141" t="s">
        <v>334</v>
      </c>
      <c r="C669" s="136" t="s">
        <v>331</v>
      </c>
      <c r="D669" s="121" t="s">
        <v>88</v>
      </c>
      <c r="E669" s="121" t="s">
        <v>59</v>
      </c>
      <c r="F669" s="734"/>
      <c r="G669" s="735"/>
      <c r="H669" s="735"/>
      <c r="I669" s="736"/>
      <c r="J669" s="121"/>
      <c r="K669" s="137">
        <f t="shared" ref="K669:M669" si="159">K670</f>
        <v>713.8</v>
      </c>
      <c r="L669" s="137">
        <f t="shared" si="159"/>
        <v>165</v>
      </c>
      <c r="M669" s="137">
        <f t="shared" si="159"/>
        <v>878.8</v>
      </c>
      <c r="N669" s="403"/>
    </row>
    <row r="670" spans="1:14" s="118" customFormat="1" ht="56.25" customHeight="1">
      <c r="A670" s="122"/>
      <c r="B670" s="135" t="s">
        <v>239</v>
      </c>
      <c r="C670" s="136" t="s">
        <v>331</v>
      </c>
      <c r="D670" s="121" t="s">
        <v>88</v>
      </c>
      <c r="E670" s="121" t="s">
        <v>59</v>
      </c>
      <c r="F670" s="734" t="s">
        <v>72</v>
      </c>
      <c r="G670" s="735" t="s">
        <v>62</v>
      </c>
      <c r="H670" s="735" t="s">
        <v>63</v>
      </c>
      <c r="I670" s="736" t="s">
        <v>64</v>
      </c>
      <c r="J670" s="121"/>
      <c r="K670" s="137">
        <f>K671</f>
        <v>713.8</v>
      </c>
      <c r="L670" s="137">
        <f>L671</f>
        <v>165</v>
      </c>
      <c r="M670" s="137">
        <f>M671</f>
        <v>878.8</v>
      </c>
    </row>
    <row r="671" spans="1:14" s="118" customFormat="1" ht="37.5" customHeight="1">
      <c r="A671" s="122"/>
      <c r="B671" s="141" t="s">
        <v>240</v>
      </c>
      <c r="C671" s="136" t="s">
        <v>331</v>
      </c>
      <c r="D671" s="121" t="s">
        <v>88</v>
      </c>
      <c r="E671" s="121" t="s">
        <v>59</v>
      </c>
      <c r="F671" s="734" t="s">
        <v>72</v>
      </c>
      <c r="G671" s="735" t="s">
        <v>65</v>
      </c>
      <c r="H671" s="735" t="s">
        <v>63</v>
      </c>
      <c r="I671" s="736" t="s">
        <v>64</v>
      </c>
      <c r="J671" s="121"/>
      <c r="K671" s="137">
        <f t="shared" ref="K671:M672" si="160">K672</f>
        <v>713.8</v>
      </c>
      <c r="L671" s="137">
        <f t="shared" si="160"/>
        <v>165</v>
      </c>
      <c r="M671" s="137">
        <f t="shared" si="160"/>
        <v>878.8</v>
      </c>
      <c r="N671" s="403"/>
    </row>
    <row r="672" spans="1:14" s="118" customFormat="1" ht="56.25" customHeight="1">
      <c r="A672" s="122"/>
      <c r="B672" s="135" t="s">
        <v>332</v>
      </c>
      <c r="C672" s="136" t="s">
        <v>331</v>
      </c>
      <c r="D672" s="121" t="s">
        <v>88</v>
      </c>
      <c r="E672" s="121" t="s">
        <v>59</v>
      </c>
      <c r="F672" s="734" t="s">
        <v>72</v>
      </c>
      <c r="G672" s="735" t="s">
        <v>65</v>
      </c>
      <c r="H672" s="735" t="s">
        <v>59</v>
      </c>
      <c r="I672" s="736" t="s">
        <v>64</v>
      </c>
      <c r="J672" s="121"/>
      <c r="K672" s="137">
        <f t="shared" si="160"/>
        <v>713.8</v>
      </c>
      <c r="L672" s="137">
        <f t="shared" si="160"/>
        <v>165</v>
      </c>
      <c r="M672" s="137">
        <f t="shared" si="160"/>
        <v>878.8</v>
      </c>
      <c r="N672" s="403"/>
    </row>
    <row r="673" spans="1:14" s="118" customFormat="1" ht="56.25" customHeight="1">
      <c r="A673" s="122"/>
      <c r="B673" s="135" t="s">
        <v>241</v>
      </c>
      <c r="C673" s="136" t="s">
        <v>331</v>
      </c>
      <c r="D673" s="121" t="s">
        <v>88</v>
      </c>
      <c r="E673" s="121" t="s">
        <v>59</v>
      </c>
      <c r="F673" s="734" t="s">
        <v>72</v>
      </c>
      <c r="G673" s="735" t="s">
        <v>65</v>
      </c>
      <c r="H673" s="735" t="s">
        <v>59</v>
      </c>
      <c r="I673" s="736" t="s">
        <v>333</v>
      </c>
      <c r="J673" s="121"/>
      <c r="K673" s="137">
        <f t="shared" ref="K673" si="161">SUM(K674:K675)</f>
        <v>713.8</v>
      </c>
      <c r="L673" s="137">
        <f t="shared" ref="L673" si="162">SUM(L674:L675)</f>
        <v>165</v>
      </c>
      <c r="M673" s="137">
        <f t="shared" ref="M673" si="163">SUM(M674:M675)</f>
        <v>878.8</v>
      </c>
    </row>
    <row r="674" spans="1:14" s="118" customFormat="1" ht="112.5" customHeight="1">
      <c r="A674" s="122"/>
      <c r="B674" s="135" t="s">
        <v>69</v>
      </c>
      <c r="C674" s="136" t="s">
        <v>331</v>
      </c>
      <c r="D674" s="121" t="s">
        <v>88</v>
      </c>
      <c r="E674" s="121" t="s">
        <v>59</v>
      </c>
      <c r="F674" s="734" t="s">
        <v>72</v>
      </c>
      <c r="G674" s="735" t="s">
        <v>65</v>
      </c>
      <c r="H674" s="735" t="s">
        <v>59</v>
      </c>
      <c r="I674" s="736" t="s">
        <v>333</v>
      </c>
      <c r="J674" s="121" t="s">
        <v>70</v>
      </c>
      <c r="K674" s="137">
        <f>549.8-116.7+116.7</f>
        <v>549.79999999999995</v>
      </c>
      <c r="L674" s="137">
        <f t="shared" ref="L674:L675" si="164">M674-K674</f>
        <v>165</v>
      </c>
      <c r="M674" s="137">
        <f>549.8-116.7+116.7+165</f>
        <v>714.8</v>
      </c>
    </row>
    <row r="675" spans="1:14" s="118" customFormat="1" ht="56.25" customHeight="1">
      <c r="A675" s="122"/>
      <c r="B675" s="135" t="s">
        <v>75</v>
      </c>
      <c r="C675" s="136" t="s">
        <v>331</v>
      </c>
      <c r="D675" s="121" t="s">
        <v>88</v>
      </c>
      <c r="E675" s="121" t="s">
        <v>59</v>
      </c>
      <c r="F675" s="734" t="s">
        <v>72</v>
      </c>
      <c r="G675" s="735" t="s">
        <v>65</v>
      </c>
      <c r="H675" s="735" t="s">
        <v>59</v>
      </c>
      <c r="I675" s="736" t="s">
        <v>333</v>
      </c>
      <c r="J675" s="121" t="s">
        <v>76</v>
      </c>
      <c r="K675" s="137">
        <f>47.3+116.7</f>
        <v>164</v>
      </c>
      <c r="L675" s="137">
        <f t="shared" si="164"/>
        <v>0</v>
      </c>
      <c r="M675" s="137">
        <f>47.3+116.7</f>
        <v>164</v>
      </c>
      <c r="N675" s="403"/>
    </row>
    <row r="676" spans="1:14" s="118" customFormat="1" ht="37.5" customHeight="1">
      <c r="A676" s="122"/>
      <c r="B676" s="141" t="s">
        <v>221</v>
      </c>
      <c r="C676" s="136" t="s">
        <v>331</v>
      </c>
      <c r="D676" s="121" t="s">
        <v>88</v>
      </c>
      <c r="E676" s="121" t="s">
        <v>86</v>
      </c>
      <c r="F676" s="734"/>
      <c r="G676" s="735"/>
      <c r="H676" s="735"/>
      <c r="I676" s="736"/>
      <c r="J676" s="121"/>
      <c r="K676" s="137">
        <f t="shared" ref="K676:M679" si="165">K677</f>
        <v>2425.3000000000002</v>
      </c>
      <c r="L676" s="137">
        <f t="shared" si="165"/>
        <v>0</v>
      </c>
      <c r="M676" s="137">
        <f t="shared" si="165"/>
        <v>2425.3000000000002</v>
      </c>
      <c r="N676" s="403"/>
    </row>
    <row r="677" spans="1:14" s="118" customFormat="1" ht="61.5" customHeight="1">
      <c r="A677" s="122"/>
      <c r="B677" s="135" t="s">
        <v>239</v>
      </c>
      <c r="C677" s="136" t="s">
        <v>331</v>
      </c>
      <c r="D677" s="121" t="s">
        <v>88</v>
      </c>
      <c r="E677" s="121" t="s">
        <v>86</v>
      </c>
      <c r="F677" s="734" t="s">
        <v>72</v>
      </c>
      <c r="G677" s="735" t="s">
        <v>62</v>
      </c>
      <c r="H677" s="735" t="s">
        <v>63</v>
      </c>
      <c r="I677" s="736" t="s">
        <v>64</v>
      </c>
      <c r="J677" s="121"/>
      <c r="K677" s="137">
        <f t="shared" si="165"/>
        <v>2425.3000000000002</v>
      </c>
      <c r="L677" s="137">
        <f t="shared" si="165"/>
        <v>0</v>
      </c>
      <c r="M677" s="137">
        <f t="shared" si="165"/>
        <v>2425.3000000000002</v>
      </c>
      <c r="N677" s="403"/>
    </row>
    <row r="678" spans="1:14" s="118" customFormat="1" ht="37.5" customHeight="1">
      <c r="A678" s="122"/>
      <c r="B678" s="139" t="s">
        <v>242</v>
      </c>
      <c r="C678" s="136" t="s">
        <v>331</v>
      </c>
      <c r="D678" s="121" t="s">
        <v>88</v>
      </c>
      <c r="E678" s="121" t="s">
        <v>86</v>
      </c>
      <c r="F678" s="734" t="s">
        <v>72</v>
      </c>
      <c r="G678" s="735" t="s">
        <v>110</v>
      </c>
      <c r="H678" s="735" t="s">
        <v>63</v>
      </c>
      <c r="I678" s="736" t="s">
        <v>64</v>
      </c>
      <c r="J678" s="121"/>
      <c r="K678" s="137">
        <f t="shared" si="165"/>
        <v>2425.3000000000002</v>
      </c>
      <c r="L678" s="137">
        <f t="shared" si="165"/>
        <v>0</v>
      </c>
      <c r="M678" s="137">
        <f t="shared" si="165"/>
        <v>2425.3000000000002</v>
      </c>
      <c r="N678" s="403"/>
    </row>
    <row r="679" spans="1:14" s="118" customFormat="1" ht="37.5" customHeight="1">
      <c r="A679" s="122"/>
      <c r="B679" s="135" t="s">
        <v>322</v>
      </c>
      <c r="C679" s="136" t="s">
        <v>331</v>
      </c>
      <c r="D679" s="121" t="s">
        <v>88</v>
      </c>
      <c r="E679" s="121" t="s">
        <v>86</v>
      </c>
      <c r="F679" s="734" t="s">
        <v>72</v>
      </c>
      <c r="G679" s="735" t="s">
        <v>110</v>
      </c>
      <c r="H679" s="735" t="s">
        <v>57</v>
      </c>
      <c r="I679" s="736" t="s">
        <v>64</v>
      </c>
      <c r="J679" s="121"/>
      <c r="K679" s="137">
        <f t="shared" si="165"/>
        <v>2425.3000000000002</v>
      </c>
      <c r="L679" s="137">
        <f t="shared" si="165"/>
        <v>0</v>
      </c>
      <c r="M679" s="137">
        <f t="shared" si="165"/>
        <v>2425.3000000000002</v>
      </c>
      <c r="N679" s="403"/>
    </row>
    <row r="680" spans="1:14" s="118" customFormat="1" ht="37.5" customHeight="1">
      <c r="A680" s="122"/>
      <c r="B680" s="135" t="s">
        <v>67</v>
      </c>
      <c r="C680" s="136" t="s">
        <v>331</v>
      </c>
      <c r="D680" s="121" t="s">
        <v>88</v>
      </c>
      <c r="E680" s="121" t="s">
        <v>86</v>
      </c>
      <c r="F680" s="734" t="s">
        <v>72</v>
      </c>
      <c r="G680" s="735" t="s">
        <v>110</v>
      </c>
      <c r="H680" s="735" t="s">
        <v>57</v>
      </c>
      <c r="I680" s="736" t="s">
        <v>68</v>
      </c>
      <c r="J680" s="121"/>
      <c r="K680" s="137">
        <f>K681+K682+K683</f>
        <v>2425.3000000000002</v>
      </c>
      <c r="L680" s="137">
        <f>L681+L682+L683</f>
        <v>0</v>
      </c>
      <c r="M680" s="137">
        <f>M681+M682+M683</f>
        <v>2425.3000000000002</v>
      </c>
      <c r="N680" s="403"/>
    </row>
    <row r="681" spans="1:14" s="118" customFormat="1" ht="112.5" customHeight="1">
      <c r="A681" s="122"/>
      <c r="B681" s="135" t="s">
        <v>69</v>
      </c>
      <c r="C681" s="136" t="s">
        <v>331</v>
      </c>
      <c r="D681" s="121" t="s">
        <v>88</v>
      </c>
      <c r="E681" s="121" t="s">
        <v>86</v>
      </c>
      <c r="F681" s="734" t="s">
        <v>72</v>
      </c>
      <c r="G681" s="735" t="s">
        <v>110</v>
      </c>
      <c r="H681" s="735" t="s">
        <v>57</v>
      </c>
      <c r="I681" s="736" t="s">
        <v>68</v>
      </c>
      <c r="J681" s="121" t="s">
        <v>70</v>
      </c>
      <c r="K681" s="137">
        <v>2371.8000000000002</v>
      </c>
      <c r="L681" s="137">
        <f t="shared" ref="L681:L683" si="166">M681-K681</f>
        <v>0</v>
      </c>
      <c r="M681" s="137">
        <v>2371.8000000000002</v>
      </c>
      <c r="N681" s="403"/>
    </row>
    <row r="682" spans="1:14" s="118" customFormat="1" ht="56.25" customHeight="1">
      <c r="A682" s="122"/>
      <c r="B682" s="135" t="s">
        <v>75</v>
      </c>
      <c r="C682" s="136" t="s">
        <v>331</v>
      </c>
      <c r="D682" s="121" t="s">
        <v>88</v>
      </c>
      <c r="E682" s="121" t="s">
        <v>86</v>
      </c>
      <c r="F682" s="734" t="s">
        <v>72</v>
      </c>
      <c r="G682" s="735" t="s">
        <v>110</v>
      </c>
      <c r="H682" s="735" t="s">
        <v>57</v>
      </c>
      <c r="I682" s="736" t="s">
        <v>68</v>
      </c>
      <c r="J682" s="121" t="s">
        <v>76</v>
      </c>
      <c r="K682" s="137">
        <v>51.4</v>
      </c>
      <c r="L682" s="137">
        <f t="shared" si="166"/>
        <v>0</v>
      </c>
      <c r="M682" s="137">
        <v>51.4</v>
      </c>
      <c r="N682" s="403"/>
    </row>
    <row r="683" spans="1:14" s="118" customFormat="1" ht="18.75" customHeight="1">
      <c r="A683" s="122"/>
      <c r="B683" s="135" t="s">
        <v>77</v>
      </c>
      <c r="C683" s="136" t="s">
        <v>331</v>
      </c>
      <c r="D683" s="121" t="s">
        <v>88</v>
      </c>
      <c r="E683" s="121" t="s">
        <v>86</v>
      </c>
      <c r="F683" s="734" t="s">
        <v>72</v>
      </c>
      <c r="G683" s="735" t="s">
        <v>110</v>
      </c>
      <c r="H683" s="735" t="s">
        <v>57</v>
      </c>
      <c r="I683" s="736" t="s">
        <v>68</v>
      </c>
      <c r="J683" s="121" t="s">
        <v>78</v>
      </c>
      <c r="K683" s="137">
        <v>2.1</v>
      </c>
      <c r="L683" s="137">
        <f t="shared" si="166"/>
        <v>0</v>
      </c>
      <c r="M683" s="137">
        <v>2.1</v>
      </c>
      <c r="N683" s="403"/>
    </row>
    <row r="684" spans="1:14" s="118" customFormat="1" ht="18.75" customHeight="1">
      <c r="A684" s="122"/>
      <c r="B684" s="135"/>
      <c r="C684" s="136"/>
      <c r="D684" s="121"/>
      <c r="E684" s="121"/>
      <c r="F684" s="734"/>
      <c r="G684" s="735"/>
      <c r="H684" s="735"/>
      <c r="I684" s="736"/>
      <c r="J684" s="121"/>
      <c r="K684" s="137"/>
      <c r="L684" s="665"/>
      <c r="M684" s="137"/>
      <c r="N684" s="403"/>
    </row>
    <row r="685" spans="1:14" s="351" customFormat="1" ht="56.25" customHeight="1">
      <c r="A685" s="350">
        <v>8</v>
      </c>
      <c r="B685" s="129" t="s">
        <v>27</v>
      </c>
      <c r="C685" s="130" t="s">
        <v>327</v>
      </c>
      <c r="D685" s="131"/>
      <c r="E685" s="131"/>
      <c r="F685" s="132"/>
      <c r="G685" s="133"/>
      <c r="H685" s="133"/>
      <c r="I685" s="134"/>
      <c r="J685" s="131"/>
      <c r="K685" s="160">
        <f>K699+K686</f>
        <v>7038.3999999999987</v>
      </c>
      <c r="L685" s="160">
        <f>L699+L686</f>
        <v>50.699999999999996</v>
      </c>
      <c r="M685" s="160">
        <f>M699+M686</f>
        <v>7089.0999999999995</v>
      </c>
    </row>
    <row r="686" spans="1:14" s="351" customFormat="1" ht="18.75" customHeight="1">
      <c r="A686" s="350"/>
      <c r="B686" s="135" t="s">
        <v>56</v>
      </c>
      <c r="C686" s="136" t="s">
        <v>327</v>
      </c>
      <c r="D686" s="121" t="s">
        <v>57</v>
      </c>
      <c r="E686" s="121"/>
      <c r="F686" s="734"/>
      <c r="G686" s="735"/>
      <c r="H686" s="735"/>
      <c r="I686" s="736"/>
      <c r="J686" s="121"/>
      <c r="K686" s="538">
        <f t="shared" ref="K686:M688" si="167">K687</f>
        <v>120.2</v>
      </c>
      <c r="L686" s="538">
        <f t="shared" si="167"/>
        <v>17.500000000000007</v>
      </c>
      <c r="M686" s="538">
        <f t="shared" si="167"/>
        <v>137.69999999999999</v>
      </c>
    </row>
    <row r="687" spans="1:14" s="351" customFormat="1" ht="21.75" customHeight="1">
      <c r="A687" s="350"/>
      <c r="B687" s="135" t="s">
        <v>91</v>
      </c>
      <c r="C687" s="136" t="s">
        <v>327</v>
      </c>
      <c r="D687" s="121" t="s">
        <v>57</v>
      </c>
      <c r="E687" s="121" t="s">
        <v>92</v>
      </c>
      <c r="F687" s="734"/>
      <c r="G687" s="735"/>
      <c r="H687" s="735"/>
      <c r="I687" s="736"/>
      <c r="J687" s="121"/>
      <c r="K687" s="538">
        <f t="shared" si="167"/>
        <v>120.2</v>
      </c>
      <c r="L687" s="538">
        <f t="shared" si="167"/>
        <v>17.500000000000007</v>
      </c>
      <c r="M687" s="538">
        <f t="shared" si="167"/>
        <v>137.69999999999999</v>
      </c>
    </row>
    <row r="688" spans="1:14" s="351" customFormat="1" ht="56.25" customHeight="1">
      <c r="A688" s="350"/>
      <c r="B688" s="135" t="s">
        <v>243</v>
      </c>
      <c r="C688" s="136" t="s">
        <v>327</v>
      </c>
      <c r="D688" s="121" t="s">
        <v>57</v>
      </c>
      <c r="E688" s="121" t="s">
        <v>92</v>
      </c>
      <c r="F688" s="734" t="s">
        <v>86</v>
      </c>
      <c r="G688" s="735" t="s">
        <v>62</v>
      </c>
      <c r="H688" s="735" t="s">
        <v>63</v>
      </c>
      <c r="I688" s="736" t="s">
        <v>64</v>
      </c>
      <c r="J688" s="121"/>
      <c r="K688" s="538">
        <f t="shared" si="167"/>
        <v>120.2</v>
      </c>
      <c r="L688" s="538">
        <f t="shared" si="167"/>
        <v>17.500000000000007</v>
      </c>
      <c r="M688" s="538">
        <f t="shared" si="167"/>
        <v>137.69999999999999</v>
      </c>
    </row>
    <row r="689" spans="1:13" s="351" customFormat="1" ht="33" customHeight="1">
      <c r="A689" s="350"/>
      <c r="B689" s="135" t="s">
        <v>242</v>
      </c>
      <c r="C689" s="136" t="s">
        <v>327</v>
      </c>
      <c r="D689" s="121" t="s">
        <v>57</v>
      </c>
      <c r="E689" s="121" t="s">
        <v>92</v>
      </c>
      <c r="F689" s="734" t="s">
        <v>86</v>
      </c>
      <c r="G689" s="735" t="s">
        <v>110</v>
      </c>
      <c r="H689" s="735" t="s">
        <v>63</v>
      </c>
      <c r="I689" s="736" t="s">
        <v>64</v>
      </c>
      <c r="J689" s="121"/>
      <c r="K689" s="538">
        <f>K690+K693+K696</f>
        <v>120.2</v>
      </c>
      <c r="L689" s="538">
        <f>L690+L693+L696</f>
        <v>17.500000000000007</v>
      </c>
      <c r="M689" s="538">
        <f>M690+M693+M696</f>
        <v>137.69999999999999</v>
      </c>
    </row>
    <row r="690" spans="1:13" s="351" customFormat="1" ht="44.25" customHeight="1">
      <c r="A690" s="350"/>
      <c r="B690" s="612" t="s">
        <v>428</v>
      </c>
      <c r="C690" s="136" t="s">
        <v>327</v>
      </c>
      <c r="D690" s="121" t="s">
        <v>57</v>
      </c>
      <c r="E690" s="121" t="s">
        <v>92</v>
      </c>
      <c r="F690" s="734" t="s">
        <v>86</v>
      </c>
      <c r="G690" s="735" t="s">
        <v>110</v>
      </c>
      <c r="H690" s="735" t="s">
        <v>59</v>
      </c>
      <c r="I690" s="736" t="s">
        <v>64</v>
      </c>
      <c r="J690" s="121"/>
      <c r="K690" s="538">
        <f t="shared" ref="K690:M691" si="168">K691</f>
        <v>62.9</v>
      </c>
      <c r="L690" s="538">
        <f t="shared" si="168"/>
        <v>17.500000000000007</v>
      </c>
      <c r="M690" s="538">
        <f t="shared" si="168"/>
        <v>80.400000000000006</v>
      </c>
    </row>
    <row r="691" spans="1:13" s="351" customFormat="1" ht="56.25" customHeight="1">
      <c r="A691" s="350"/>
      <c r="B691" s="612" t="s">
        <v>429</v>
      </c>
      <c r="C691" s="136" t="s">
        <v>327</v>
      </c>
      <c r="D691" s="121" t="s">
        <v>57</v>
      </c>
      <c r="E691" s="121" t="s">
        <v>92</v>
      </c>
      <c r="F691" s="734" t="s">
        <v>86</v>
      </c>
      <c r="G691" s="735" t="s">
        <v>110</v>
      </c>
      <c r="H691" s="735" t="s">
        <v>59</v>
      </c>
      <c r="I691" s="736" t="s">
        <v>126</v>
      </c>
      <c r="J691" s="121"/>
      <c r="K691" s="538">
        <f t="shared" si="168"/>
        <v>62.9</v>
      </c>
      <c r="L691" s="538">
        <f t="shared" si="168"/>
        <v>17.500000000000007</v>
      </c>
      <c r="M691" s="538">
        <f t="shared" si="168"/>
        <v>80.400000000000006</v>
      </c>
    </row>
    <row r="692" spans="1:13" s="351" customFormat="1" ht="56.25" customHeight="1">
      <c r="A692" s="350"/>
      <c r="B692" s="612" t="s">
        <v>75</v>
      </c>
      <c r="C692" s="136" t="s">
        <v>327</v>
      </c>
      <c r="D692" s="121" t="s">
        <v>57</v>
      </c>
      <c r="E692" s="121" t="s">
        <v>92</v>
      </c>
      <c r="F692" s="734" t="s">
        <v>86</v>
      </c>
      <c r="G692" s="735" t="s">
        <v>110</v>
      </c>
      <c r="H692" s="735" t="s">
        <v>59</v>
      </c>
      <c r="I692" s="736" t="s">
        <v>126</v>
      </c>
      <c r="J692" s="121" t="s">
        <v>76</v>
      </c>
      <c r="K692" s="538">
        <v>62.9</v>
      </c>
      <c r="L692" s="137">
        <f>M692-K692</f>
        <v>17.500000000000007</v>
      </c>
      <c r="M692" s="538">
        <f>62.9+17.5</f>
        <v>80.400000000000006</v>
      </c>
    </row>
    <row r="693" spans="1:13" s="351" customFormat="1" ht="42" customHeight="1">
      <c r="A693" s="350"/>
      <c r="B693" s="135" t="s">
        <v>799</v>
      </c>
      <c r="C693" s="136" t="s">
        <v>327</v>
      </c>
      <c r="D693" s="121" t="s">
        <v>57</v>
      </c>
      <c r="E693" s="121" t="s">
        <v>92</v>
      </c>
      <c r="F693" s="734" t="s">
        <v>86</v>
      </c>
      <c r="G693" s="735" t="s">
        <v>110</v>
      </c>
      <c r="H693" s="735" t="s">
        <v>84</v>
      </c>
      <c r="I693" s="736" t="s">
        <v>64</v>
      </c>
      <c r="J693" s="121"/>
      <c r="K693" s="538">
        <f t="shared" ref="K693:M694" si="169">K694</f>
        <v>14.8</v>
      </c>
      <c r="L693" s="538">
        <f t="shared" si="169"/>
        <v>0</v>
      </c>
      <c r="M693" s="538">
        <f t="shared" si="169"/>
        <v>14.8</v>
      </c>
    </row>
    <row r="694" spans="1:13" s="351" customFormat="1" ht="21" customHeight="1">
      <c r="A694" s="350"/>
      <c r="B694" s="135" t="s">
        <v>797</v>
      </c>
      <c r="C694" s="136" t="s">
        <v>327</v>
      </c>
      <c r="D694" s="121" t="s">
        <v>57</v>
      </c>
      <c r="E694" s="121" t="s">
        <v>92</v>
      </c>
      <c r="F694" s="734" t="s">
        <v>86</v>
      </c>
      <c r="G694" s="735" t="s">
        <v>110</v>
      </c>
      <c r="H694" s="735" t="s">
        <v>84</v>
      </c>
      <c r="I694" s="736" t="s">
        <v>798</v>
      </c>
      <c r="J694" s="121"/>
      <c r="K694" s="538">
        <f t="shared" si="169"/>
        <v>14.8</v>
      </c>
      <c r="L694" s="538">
        <f t="shared" si="169"/>
        <v>0</v>
      </c>
      <c r="M694" s="538">
        <f t="shared" si="169"/>
        <v>14.8</v>
      </c>
    </row>
    <row r="695" spans="1:13" s="351" customFormat="1" ht="56.25" customHeight="1">
      <c r="A695" s="350"/>
      <c r="B695" s="612" t="s">
        <v>75</v>
      </c>
      <c r="C695" s="136" t="s">
        <v>327</v>
      </c>
      <c r="D695" s="121" t="s">
        <v>57</v>
      </c>
      <c r="E695" s="121" t="s">
        <v>92</v>
      </c>
      <c r="F695" s="734" t="s">
        <v>86</v>
      </c>
      <c r="G695" s="735" t="s">
        <v>110</v>
      </c>
      <c r="H695" s="735" t="s">
        <v>84</v>
      </c>
      <c r="I695" s="736" t="s">
        <v>798</v>
      </c>
      <c r="J695" s="152" t="s">
        <v>76</v>
      </c>
      <c r="K695" s="538">
        <v>14.8</v>
      </c>
      <c r="L695" s="137">
        <f>M695-K695</f>
        <v>0</v>
      </c>
      <c r="M695" s="538">
        <v>14.8</v>
      </c>
    </row>
    <row r="696" spans="1:13" s="351" customFormat="1" ht="41.25" customHeight="1">
      <c r="A696" s="350"/>
      <c r="B696" s="612" t="s">
        <v>811</v>
      </c>
      <c r="C696" s="136" t="s">
        <v>327</v>
      </c>
      <c r="D696" s="121" t="s">
        <v>57</v>
      </c>
      <c r="E696" s="121" t="s">
        <v>92</v>
      </c>
      <c r="F696" s="734" t="s">
        <v>86</v>
      </c>
      <c r="G696" s="735" t="s">
        <v>110</v>
      </c>
      <c r="H696" s="735" t="s">
        <v>72</v>
      </c>
      <c r="I696" s="736" t="s">
        <v>64</v>
      </c>
      <c r="J696" s="131"/>
      <c r="K696" s="538">
        <f t="shared" ref="K696:M697" si="170">K697</f>
        <v>42.5</v>
      </c>
      <c r="L696" s="538">
        <f t="shared" si="170"/>
        <v>0</v>
      </c>
      <c r="M696" s="538">
        <f t="shared" si="170"/>
        <v>42.5</v>
      </c>
    </row>
    <row r="697" spans="1:13" s="351" customFormat="1" ht="38.25" customHeight="1">
      <c r="A697" s="350"/>
      <c r="B697" s="547" t="s">
        <v>148</v>
      </c>
      <c r="C697" s="136" t="s">
        <v>327</v>
      </c>
      <c r="D697" s="121" t="s">
        <v>57</v>
      </c>
      <c r="E697" s="121" t="s">
        <v>92</v>
      </c>
      <c r="F697" s="734" t="s">
        <v>86</v>
      </c>
      <c r="G697" s="735" t="s">
        <v>110</v>
      </c>
      <c r="H697" s="735" t="s">
        <v>72</v>
      </c>
      <c r="I697" s="736" t="s">
        <v>111</v>
      </c>
      <c r="J697" s="131"/>
      <c r="K697" s="538">
        <f t="shared" si="170"/>
        <v>42.5</v>
      </c>
      <c r="L697" s="538">
        <f t="shared" si="170"/>
        <v>0</v>
      </c>
      <c r="M697" s="538">
        <f t="shared" si="170"/>
        <v>42.5</v>
      </c>
    </row>
    <row r="698" spans="1:13" s="351" customFormat="1" ht="56.25" customHeight="1">
      <c r="A698" s="350"/>
      <c r="B698" s="612" t="s">
        <v>75</v>
      </c>
      <c r="C698" s="136" t="s">
        <v>327</v>
      </c>
      <c r="D698" s="121" t="s">
        <v>57</v>
      </c>
      <c r="E698" s="121" t="s">
        <v>92</v>
      </c>
      <c r="F698" s="734" t="s">
        <v>86</v>
      </c>
      <c r="G698" s="735" t="s">
        <v>110</v>
      </c>
      <c r="H698" s="735" t="s">
        <v>72</v>
      </c>
      <c r="I698" s="736" t="s">
        <v>111</v>
      </c>
      <c r="J698" s="152" t="s">
        <v>76</v>
      </c>
      <c r="K698" s="538">
        <v>42.5</v>
      </c>
      <c r="L698" s="137">
        <f>M698-K698</f>
        <v>0</v>
      </c>
      <c r="M698" s="538">
        <v>42.5</v>
      </c>
    </row>
    <row r="699" spans="1:13" s="118" customFormat="1" ht="18.75" customHeight="1">
      <c r="A699" s="350"/>
      <c r="B699" s="135" t="s">
        <v>201</v>
      </c>
      <c r="C699" s="136" t="s">
        <v>327</v>
      </c>
      <c r="D699" s="121" t="s">
        <v>246</v>
      </c>
      <c r="E699" s="121"/>
      <c r="F699" s="734"/>
      <c r="G699" s="735"/>
      <c r="H699" s="735"/>
      <c r="I699" s="736"/>
      <c r="J699" s="121"/>
      <c r="K699" s="137">
        <f>K700+K710</f>
        <v>6918.1999999999989</v>
      </c>
      <c r="L699" s="137">
        <f>L700+L710</f>
        <v>33.199999999999989</v>
      </c>
      <c r="M699" s="137">
        <f>M700+M710</f>
        <v>6951.4</v>
      </c>
    </row>
    <row r="700" spans="1:13" s="351" customFormat="1" ht="18.75" customHeight="1">
      <c r="A700" s="350"/>
      <c r="B700" s="135" t="s">
        <v>425</v>
      </c>
      <c r="C700" s="136" t="s">
        <v>327</v>
      </c>
      <c r="D700" s="121" t="s">
        <v>246</v>
      </c>
      <c r="E700" s="121" t="s">
        <v>246</v>
      </c>
      <c r="F700" s="734"/>
      <c r="G700" s="735"/>
      <c r="H700" s="735"/>
      <c r="I700" s="736"/>
      <c r="J700" s="121"/>
      <c r="K700" s="137">
        <f t="shared" ref="K700:M702" si="171">K701</f>
        <v>3966.8999999999996</v>
      </c>
      <c r="L700" s="137">
        <f t="shared" si="171"/>
        <v>33.199999999999989</v>
      </c>
      <c r="M700" s="137">
        <f t="shared" si="171"/>
        <v>4000.0999999999995</v>
      </c>
    </row>
    <row r="701" spans="1:13" s="351" customFormat="1" ht="56.25" customHeight="1">
      <c r="A701" s="350"/>
      <c r="B701" s="135" t="s">
        <v>243</v>
      </c>
      <c r="C701" s="136" t="s">
        <v>327</v>
      </c>
      <c r="D701" s="121" t="s">
        <v>246</v>
      </c>
      <c r="E701" s="121" t="s">
        <v>246</v>
      </c>
      <c r="F701" s="734" t="s">
        <v>86</v>
      </c>
      <c r="G701" s="735" t="s">
        <v>62</v>
      </c>
      <c r="H701" s="735" t="s">
        <v>63</v>
      </c>
      <c r="I701" s="736" t="s">
        <v>64</v>
      </c>
      <c r="J701" s="121"/>
      <c r="K701" s="137">
        <f t="shared" si="171"/>
        <v>3966.8999999999996</v>
      </c>
      <c r="L701" s="137">
        <f t="shared" si="171"/>
        <v>33.199999999999989</v>
      </c>
      <c r="M701" s="137">
        <f t="shared" si="171"/>
        <v>4000.0999999999995</v>
      </c>
    </row>
    <row r="702" spans="1:13" s="351" customFormat="1" ht="18.75" customHeight="1">
      <c r="A702" s="350"/>
      <c r="B702" s="135" t="s">
        <v>244</v>
      </c>
      <c r="C702" s="136" t="s">
        <v>327</v>
      </c>
      <c r="D702" s="121" t="s">
        <v>246</v>
      </c>
      <c r="E702" s="121" t="s">
        <v>246</v>
      </c>
      <c r="F702" s="734" t="s">
        <v>86</v>
      </c>
      <c r="G702" s="735" t="s">
        <v>65</v>
      </c>
      <c r="H702" s="735" t="s">
        <v>63</v>
      </c>
      <c r="I702" s="736" t="s">
        <v>64</v>
      </c>
      <c r="J702" s="121"/>
      <c r="K702" s="137">
        <f t="shared" si="171"/>
        <v>3966.8999999999996</v>
      </c>
      <c r="L702" s="137">
        <f t="shared" si="171"/>
        <v>33.199999999999989</v>
      </c>
      <c r="M702" s="137">
        <f t="shared" si="171"/>
        <v>4000.0999999999995</v>
      </c>
    </row>
    <row r="703" spans="1:13" s="351" customFormat="1" ht="76.5" customHeight="1">
      <c r="A703" s="350"/>
      <c r="B703" s="135" t="s">
        <v>328</v>
      </c>
      <c r="C703" s="136" t="s">
        <v>327</v>
      </c>
      <c r="D703" s="121" t="s">
        <v>246</v>
      </c>
      <c r="E703" s="121" t="s">
        <v>246</v>
      </c>
      <c r="F703" s="734" t="s">
        <v>86</v>
      </c>
      <c r="G703" s="735" t="s">
        <v>65</v>
      </c>
      <c r="H703" s="735" t="s">
        <v>57</v>
      </c>
      <c r="I703" s="736" t="s">
        <v>64</v>
      </c>
      <c r="J703" s="121"/>
      <c r="K703" s="137">
        <f>K704+K708</f>
        <v>3966.8999999999996</v>
      </c>
      <c r="L703" s="137">
        <f>L704+L708</f>
        <v>33.199999999999989</v>
      </c>
      <c r="M703" s="137">
        <f>M704+M708</f>
        <v>4000.0999999999995</v>
      </c>
    </row>
    <row r="704" spans="1:13" s="351" customFormat="1" ht="38.25" customHeight="1">
      <c r="A704" s="350"/>
      <c r="B704" s="138" t="s">
        <v>795</v>
      </c>
      <c r="C704" s="136" t="s">
        <v>327</v>
      </c>
      <c r="D704" s="121" t="s">
        <v>246</v>
      </c>
      <c r="E704" s="121" t="s">
        <v>246</v>
      </c>
      <c r="F704" s="734" t="s">
        <v>86</v>
      </c>
      <c r="G704" s="735" t="s">
        <v>65</v>
      </c>
      <c r="H704" s="735" t="s">
        <v>57</v>
      </c>
      <c r="I704" s="736" t="s">
        <v>112</v>
      </c>
      <c r="J704" s="121"/>
      <c r="K704" s="137">
        <f>K705+K706+K707</f>
        <v>3348.2999999999997</v>
      </c>
      <c r="L704" s="137">
        <f>L705+L706+L707</f>
        <v>33.199999999999989</v>
      </c>
      <c r="M704" s="137">
        <f>M705+M706+M707</f>
        <v>3381.4999999999995</v>
      </c>
    </row>
    <row r="705" spans="1:14" s="351" customFormat="1" ht="112.5" customHeight="1">
      <c r="A705" s="122"/>
      <c r="B705" s="135" t="s">
        <v>69</v>
      </c>
      <c r="C705" s="136" t="s">
        <v>327</v>
      </c>
      <c r="D705" s="121" t="s">
        <v>246</v>
      </c>
      <c r="E705" s="121" t="s">
        <v>246</v>
      </c>
      <c r="F705" s="734" t="s">
        <v>86</v>
      </c>
      <c r="G705" s="735" t="s">
        <v>65</v>
      </c>
      <c r="H705" s="735" t="s">
        <v>57</v>
      </c>
      <c r="I705" s="736" t="s">
        <v>112</v>
      </c>
      <c r="J705" s="121" t="s">
        <v>70</v>
      </c>
      <c r="K705" s="137">
        <f>2590.3+8.2+455.7</f>
        <v>3054.2</v>
      </c>
      <c r="L705" s="137">
        <f t="shared" ref="L705:L707" si="172">M705-K705</f>
        <v>0</v>
      </c>
      <c r="M705" s="137">
        <f>2590.3+8.2+455.7</f>
        <v>3054.2</v>
      </c>
    </row>
    <row r="706" spans="1:14" s="118" customFormat="1" ht="53.25" customHeight="1">
      <c r="A706" s="122"/>
      <c r="B706" s="135" t="s">
        <v>75</v>
      </c>
      <c r="C706" s="136" t="s">
        <v>327</v>
      </c>
      <c r="D706" s="121" t="s">
        <v>246</v>
      </c>
      <c r="E706" s="121" t="s">
        <v>246</v>
      </c>
      <c r="F706" s="734" t="s">
        <v>86</v>
      </c>
      <c r="G706" s="735" t="s">
        <v>65</v>
      </c>
      <c r="H706" s="735" t="s">
        <v>57</v>
      </c>
      <c r="I706" s="736" t="s">
        <v>112</v>
      </c>
      <c r="J706" s="121" t="s">
        <v>76</v>
      </c>
      <c r="K706" s="137">
        <f>299.6-15.7</f>
        <v>283.90000000000003</v>
      </c>
      <c r="L706" s="137">
        <f t="shared" si="172"/>
        <v>33.199999999999989</v>
      </c>
      <c r="M706" s="137">
        <f>299.6-15.7+33.2</f>
        <v>317.10000000000002</v>
      </c>
    </row>
    <row r="707" spans="1:14" s="118" customFormat="1" ht="18.75" customHeight="1">
      <c r="A707" s="122"/>
      <c r="B707" s="135" t="s">
        <v>77</v>
      </c>
      <c r="C707" s="136" t="s">
        <v>327</v>
      </c>
      <c r="D707" s="121" t="s">
        <v>246</v>
      </c>
      <c r="E707" s="121" t="s">
        <v>246</v>
      </c>
      <c r="F707" s="734" t="s">
        <v>86</v>
      </c>
      <c r="G707" s="735" t="s">
        <v>65</v>
      </c>
      <c r="H707" s="735" t="s">
        <v>57</v>
      </c>
      <c r="I707" s="736" t="s">
        <v>112</v>
      </c>
      <c r="J707" s="121" t="s">
        <v>78</v>
      </c>
      <c r="K707" s="137">
        <f>2.7+7.5</f>
        <v>10.199999999999999</v>
      </c>
      <c r="L707" s="137">
        <f t="shared" si="172"/>
        <v>0</v>
      </c>
      <c r="M707" s="137">
        <f>2.7+7.5</f>
        <v>10.199999999999999</v>
      </c>
    </row>
    <row r="708" spans="1:14" s="118" customFormat="1" ht="34.5" customHeight="1">
      <c r="A708" s="122"/>
      <c r="B708" s="135" t="s">
        <v>329</v>
      </c>
      <c r="C708" s="136" t="s">
        <v>327</v>
      </c>
      <c r="D708" s="121" t="s">
        <v>246</v>
      </c>
      <c r="E708" s="121" t="s">
        <v>246</v>
      </c>
      <c r="F708" s="734" t="s">
        <v>86</v>
      </c>
      <c r="G708" s="735" t="s">
        <v>65</v>
      </c>
      <c r="H708" s="735" t="s">
        <v>57</v>
      </c>
      <c r="I708" s="736" t="s">
        <v>330</v>
      </c>
      <c r="J708" s="121"/>
      <c r="K708" s="137">
        <f>K709</f>
        <v>618.6</v>
      </c>
      <c r="L708" s="137">
        <f>L709</f>
        <v>0</v>
      </c>
      <c r="M708" s="137">
        <f>M709</f>
        <v>618.6</v>
      </c>
    </row>
    <row r="709" spans="1:14" s="118" customFormat="1" ht="56.25" customHeight="1">
      <c r="A709" s="122"/>
      <c r="B709" s="135" t="s">
        <v>75</v>
      </c>
      <c r="C709" s="136" t="s">
        <v>327</v>
      </c>
      <c r="D709" s="121" t="s">
        <v>246</v>
      </c>
      <c r="E709" s="121" t="s">
        <v>246</v>
      </c>
      <c r="F709" s="734" t="s">
        <v>86</v>
      </c>
      <c r="G709" s="735" t="s">
        <v>65</v>
      </c>
      <c r="H709" s="735" t="s">
        <v>57</v>
      </c>
      <c r="I709" s="736" t="s">
        <v>330</v>
      </c>
      <c r="J709" s="121" t="s">
        <v>76</v>
      </c>
      <c r="K709" s="137">
        <f>418.6+200</f>
        <v>618.6</v>
      </c>
      <c r="L709" s="137">
        <f>M709-K709</f>
        <v>0</v>
      </c>
      <c r="M709" s="137">
        <f>418.6+200</f>
        <v>618.6</v>
      </c>
    </row>
    <row r="710" spans="1:14" s="118" customFormat="1" ht="18.75" customHeight="1">
      <c r="A710" s="122"/>
      <c r="B710" s="135" t="s">
        <v>208</v>
      </c>
      <c r="C710" s="389" t="s">
        <v>327</v>
      </c>
      <c r="D710" s="121" t="s">
        <v>246</v>
      </c>
      <c r="E710" s="121" t="s">
        <v>100</v>
      </c>
      <c r="F710" s="734"/>
      <c r="G710" s="735"/>
      <c r="H710" s="735"/>
      <c r="I710" s="736"/>
      <c r="J710" s="121"/>
      <c r="K710" s="137">
        <f t="shared" ref="K710:M712" si="173">K711</f>
        <v>2951.2999999999997</v>
      </c>
      <c r="L710" s="137">
        <f t="shared" si="173"/>
        <v>0</v>
      </c>
      <c r="M710" s="137">
        <f t="shared" si="173"/>
        <v>2951.2999999999997</v>
      </c>
      <c r="N710" s="403"/>
    </row>
    <row r="711" spans="1:14" s="118" customFormat="1" ht="56.25" customHeight="1">
      <c r="A711" s="122"/>
      <c r="B711" s="135" t="s">
        <v>243</v>
      </c>
      <c r="C711" s="389" t="s">
        <v>327</v>
      </c>
      <c r="D711" s="121" t="s">
        <v>246</v>
      </c>
      <c r="E711" s="121" t="s">
        <v>100</v>
      </c>
      <c r="F711" s="734" t="s">
        <v>86</v>
      </c>
      <c r="G711" s="735" t="s">
        <v>62</v>
      </c>
      <c r="H711" s="735" t="s">
        <v>63</v>
      </c>
      <c r="I711" s="736" t="s">
        <v>64</v>
      </c>
      <c r="J711" s="121"/>
      <c r="K711" s="137">
        <f t="shared" si="173"/>
        <v>2951.2999999999997</v>
      </c>
      <c r="L711" s="137">
        <f t="shared" si="173"/>
        <v>0</v>
      </c>
      <c r="M711" s="137">
        <f t="shared" si="173"/>
        <v>2951.2999999999997</v>
      </c>
      <c r="N711" s="403"/>
    </row>
    <row r="712" spans="1:14" s="118" customFormat="1" ht="37.5" customHeight="1">
      <c r="A712" s="122"/>
      <c r="B712" s="135" t="s">
        <v>242</v>
      </c>
      <c r="C712" s="136" t="s">
        <v>327</v>
      </c>
      <c r="D712" s="121" t="s">
        <v>246</v>
      </c>
      <c r="E712" s="121" t="s">
        <v>100</v>
      </c>
      <c r="F712" s="734" t="s">
        <v>86</v>
      </c>
      <c r="G712" s="735" t="s">
        <v>110</v>
      </c>
      <c r="H712" s="735" t="s">
        <v>63</v>
      </c>
      <c r="I712" s="736" t="s">
        <v>64</v>
      </c>
      <c r="J712" s="121"/>
      <c r="K712" s="137">
        <f t="shared" si="173"/>
        <v>2951.2999999999997</v>
      </c>
      <c r="L712" s="137">
        <f t="shared" si="173"/>
        <v>0</v>
      </c>
      <c r="M712" s="137">
        <f t="shared" si="173"/>
        <v>2951.2999999999997</v>
      </c>
    </row>
    <row r="713" spans="1:14" s="351" customFormat="1" ht="37.5" customHeight="1">
      <c r="A713" s="122"/>
      <c r="B713" s="135" t="s">
        <v>322</v>
      </c>
      <c r="C713" s="136" t="s">
        <v>327</v>
      </c>
      <c r="D713" s="121" t="s">
        <v>246</v>
      </c>
      <c r="E713" s="121" t="s">
        <v>100</v>
      </c>
      <c r="F713" s="734" t="s">
        <v>86</v>
      </c>
      <c r="G713" s="735" t="s">
        <v>110</v>
      </c>
      <c r="H713" s="735" t="s">
        <v>57</v>
      </c>
      <c r="I713" s="736" t="s">
        <v>64</v>
      </c>
      <c r="J713" s="121"/>
      <c r="K713" s="137">
        <f>K714</f>
        <v>2951.2999999999997</v>
      </c>
      <c r="L713" s="137">
        <f>L714</f>
        <v>0</v>
      </c>
      <c r="M713" s="137">
        <f>M714</f>
        <v>2951.2999999999997</v>
      </c>
    </row>
    <row r="714" spans="1:14" s="118" customFormat="1" ht="37.5" customHeight="1">
      <c r="A714" s="122"/>
      <c r="B714" s="135" t="s">
        <v>67</v>
      </c>
      <c r="C714" s="136" t="s">
        <v>327</v>
      </c>
      <c r="D714" s="121" t="s">
        <v>246</v>
      </c>
      <c r="E714" s="121" t="s">
        <v>100</v>
      </c>
      <c r="F714" s="734" t="s">
        <v>86</v>
      </c>
      <c r="G714" s="735" t="s">
        <v>110</v>
      </c>
      <c r="H714" s="735" t="s">
        <v>57</v>
      </c>
      <c r="I714" s="736" t="s">
        <v>68</v>
      </c>
      <c r="J714" s="121"/>
      <c r="K714" s="137">
        <f>K715+K716+K717</f>
        <v>2951.2999999999997</v>
      </c>
      <c r="L714" s="137">
        <f>L715+L716+L717</f>
        <v>0</v>
      </c>
      <c r="M714" s="137">
        <f>M715+M716+M717</f>
        <v>2951.2999999999997</v>
      </c>
    </row>
    <row r="715" spans="1:14" s="118" customFormat="1" ht="112.5" customHeight="1">
      <c r="A715" s="122"/>
      <c r="B715" s="135" t="s">
        <v>69</v>
      </c>
      <c r="C715" s="136" t="s">
        <v>327</v>
      </c>
      <c r="D715" s="121" t="s">
        <v>246</v>
      </c>
      <c r="E715" s="121" t="s">
        <v>100</v>
      </c>
      <c r="F715" s="734" t="s">
        <v>86</v>
      </c>
      <c r="G715" s="735" t="s">
        <v>110</v>
      </c>
      <c r="H715" s="735" t="s">
        <v>57</v>
      </c>
      <c r="I715" s="736" t="s">
        <v>68</v>
      </c>
      <c r="J715" s="121" t="s">
        <v>70</v>
      </c>
      <c r="K715" s="137">
        <f>2656.5+8.2</f>
        <v>2664.7</v>
      </c>
      <c r="L715" s="137">
        <f t="shared" ref="L715:L717" si="174">M715-K715</f>
        <v>0</v>
      </c>
      <c r="M715" s="137">
        <f>2656.5+8.2</f>
        <v>2664.7</v>
      </c>
      <c r="N715" s="403"/>
    </row>
    <row r="716" spans="1:14" s="118" customFormat="1" ht="56.25" customHeight="1">
      <c r="A716" s="122"/>
      <c r="B716" s="135" t="s">
        <v>75</v>
      </c>
      <c r="C716" s="389" t="s">
        <v>327</v>
      </c>
      <c r="D716" s="293" t="s">
        <v>246</v>
      </c>
      <c r="E716" s="293" t="s">
        <v>100</v>
      </c>
      <c r="F716" s="734" t="s">
        <v>86</v>
      </c>
      <c r="G716" s="735" t="s">
        <v>110</v>
      </c>
      <c r="H716" s="735" t="s">
        <v>57</v>
      </c>
      <c r="I716" s="736" t="s">
        <v>68</v>
      </c>
      <c r="J716" s="121" t="s">
        <v>76</v>
      </c>
      <c r="K716" s="137">
        <f>280.6-8.2+13</f>
        <v>285.40000000000003</v>
      </c>
      <c r="L716" s="137">
        <f t="shared" si="174"/>
        <v>0</v>
      </c>
      <c r="M716" s="137">
        <f>280.6-8.2+13</f>
        <v>285.40000000000003</v>
      </c>
    </row>
    <row r="717" spans="1:14" s="118" customFormat="1" ht="18.75" customHeight="1">
      <c r="A717" s="122"/>
      <c r="B717" s="135" t="s">
        <v>77</v>
      </c>
      <c r="C717" s="389" t="s">
        <v>327</v>
      </c>
      <c r="D717" s="293" t="s">
        <v>246</v>
      </c>
      <c r="E717" s="293" t="s">
        <v>100</v>
      </c>
      <c r="F717" s="734" t="s">
        <v>86</v>
      </c>
      <c r="G717" s="735" t="s">
        <v>110</v>
      </c>
      <c r="H717" s="735" t="s">
        <v>57</v>
      </c>
      <c r="I717" s="736" t="s">
        <v>68</v>
      </c>
      <c r="J717" s="121" t="s">
        <v>78</v>
      </c>
      <c r="K717" s="137">
        <v>1.2</v>
      </c>
      <c r="L717" s="137">
        <f t="shared" si="174"/>
        <v>0</v>
      </c>
      <c r="M717" s="137">
        <v>1.2</v>
      </c>
      <c r="N717" s="403"/>
    </row>
    <row r="718" spans="1:14" s="118" customFormat="1" ht="14.25" customHeight="1">
      <c r="A718" s="122"/>
      <c r="B718" s="135"/>
      <c r="C718" s="389"/>
      <c r="D718" s="293"/>
      <c r="E718" s="293"/>
      <c r="F718" s="734"/>
      <c r="G718" s="735"/>
      <c r="H718" s="735"/>
      <c r="I718" s="736"/>
      <c r="J718" s="121"/>
      <c r="K718" s="137"/>
      <c r="L718" s="665"/>
      <c r="M718" s="137"/>
      <c r="N718" s="403"/>
    </row>
    <row r="719" spans="1:14" s="351" customFormat="1" ht="54" customHeight="1">
      <c r="A719" s="350">
        <v>9</v>
      </c>
      <c r="B719" s="129" t="s">
        <v>28</v>
      </c>
      <c r="C719" s="130" t="s">
        <v>338</v>
      </c>
      <c r="D719" s="131"/>
      <c r="E719" s="131"/>
      <c r="F719" s="132"/>
      <c r="G719" s="133"/>
      <c r="H719" s="133"/>
      <c r="I719" s="134"/>
      <c r="J719" s="131"/>
      <c r="K719" s="160">
        <f>K720+K727</f>
        <v>66798</v>
      </c>
      <c r="L719" s="160">
        <f>L720+L727</f>
        <v>0</v>
      </c>
      <c r="M719" s="160">
        <f>M720+M727</f>
        <v>66798</v>
      </c>
    </row>
    <row r="720" spans="1:14" s="118" customFormat="1" ht="18.75" customHeight="1">
      <c r="A720" s="122"/>
      <c r="B720" s="141" t="s">
        <v>201</v>
      </c>
      <c r="C720" s="136" t="s">
        <v>338</v>
      </c>
      <c r="D720" s="121" t="s">
        <v>246</v>
      </c>
      <c r="E720" s="121"/>
      <c r="F720" s="734"/>
      <c r="G720" s="735"/>
      <c r="H720" s="735"/>
      <c r="I720" s="736"/>
      <c r="J720" s="121"/>
      <c r="K720" s="137">
        <f t="shared" ref="K720:M725" si="175">K721</f>
        <v>10.1</v>
      </c>
      <c r="L720" s="137">
        <f t="shared" si="175"/>
        <v>0</v>
      </c>
      <c r="M720" s="137">
        <f t="shared" si="175"/>
        <v>10.1</v>
      </c>
    </row>
    <row r="721" spans="1:13" s="351" customFormat="1" ht="18.75" customHeight="1">
      <c r="A721" s="122"/>
      <c r="B721" s="135" t="s">
        <v>425</v>
      </c>
      <c r="C721" s="136" t="s">
        <v>338</v>
      </c>
      <c r="D721" s="121" t="s">
        <v>246</v>
      </c>
      <c r="E721" s="121" t="s">
        <v>246</v>
      </c>
      <c r="F721" s="734"/>
      <c r="G721" s="735"/>
      <c r="H721" s="735"/>
      <c r="I721" s="736"/>
      <c r="J721" s="121"/>
      <c r="K721" s="137">
        <f t="shared" si="175"/>
        <v>10.1</v>
      </c>
      <c r="L721" s="137">
        <f t="shared" si="175"/>
        <v>0</v>
      </c>
      <c r="M721" s="137">
        <f t="shared" si="175"/>
        <v>10.1</v>
      </c>
    </row>
    <row r="722" spans="1:13" s="351" customFormat="1" ht="56.25" customHeight="1">
      <c r="A722" s="122"/>
      <c r="B722" s="135" t="s">
        <v>339</v>
      </c>
      <c r="C722" s="136" t="s">
        <v>338</v>
      </c>
      <c r="D722" s="121" t="s">
        <v>246</v>
      </c>
      <c r="E722" s="121" t="s">
        <v>246</v>
      </c>
      <c r="F722" s="734" t="s">
        <v>100</v>
      </c>
      <c r="G722" s="735" t="s">
        <v>62</v>
      </c>
      <c r="H722" s="735" t="s">
        <v>63</v>
      </c>
      <c r="I722" s="736" t="s">
        <v>64</v>
      </c>
      <c r="J722" s="121"/>
      <c r="K722" s="137">
        <f t="shared" si="175"/>
        <v>10.1</v>
      </c>
      <c r="L722" s="137">
        <f t="shared" si="175"/>
        <v>0</v>
      </c>
      <c r="M722" s="137">
        <f t="shared" si="175"/>
        <v>10.1</v>
      </c>
    </row>
    <row r="723" spans="1:13" s="351" customFormat="1" ht="37.5" customHeight="1">
      <c r="A723" s="122"/>
      <c r="B723" s="135" t="s">
        <v>404</v>
      </c>
      <c r="C723" s="136" t="s">
        <v>338</v>
      </c>
      <c r="D723" s="121" t="s">
        <v>246</v>
      </c>
      <c r="E723" s="121" t="s">
        <v>246</v>
      </c>
      <c r="F723" s="734" t="s">
        <v>100</v>
      </c>
      <c r="G723" s="735" t="s">
        <v>65</v>
      </c>
      <c r="H723" s="735" t="s">
        <v>63</v>
      </c>
      <c r="I723" s="736" t="s">
        <v>64</v>
      </c>
      <c r="J723" s="121"/>
      <c r="K723" s="137">
        <f t="shared" si="175"/>
        <v>10.1</v>
      </c>
      <c r="L723" s="137">
        <f t="shared" si="175"/>
        <v>0</v>
      </c>
      <c r="M723" s="137">
        <f t="shared" si="175"/>
        <v>10.1</v>
      </c>
    </row>
    <row r="724" spans="1:13" s="351" customFormat="1" ht="37.5" customHeight="1">
      <c r="A724" s="122"/>
      <c r="B724" s="135" t="s">
        <v>325</v>
      </c>
      <c r="C724" s="136" t="s">
        <v>338</v>
      </c>
      <c r="D724" s="121" t="s">
        <v>246</v>
      </c>
      <c r="E724" s="121" t="s">
        <v>246</v>
      </c>
      <c r="F724" s="734" t="s">
        <v>100</v>
      </c>
      <c r="G724" s="735" t="s">
        <v>65</v>
      </c>
      <c r="H724" s="735" t="s">
        <v>57</v>
      </c>
      <c r="I724" s="736" t="s">
        <v>64</v>
      </c>
      <c r="J724" s="121"/>
      <c r="K724" s="137">
        <f t="shared" si="175"/>
        <v>10.1</v>
      </c>
      <c r="L724" s="137">
        <f t="shared" si="175"/>
        <v>0</v>
      </c>
      <c r="M724" s="137">
        <f t="shared" si="175"/>
        <v>10.1</v>
      </c>
    </row>
    <row r="725" spans="1:13" s="351" customFormat="1" ht="153.75" customHeight="1">
      <c r="A725" s="122"/>
      <c r="B725" s="390" t="s">
        <v>439</v>
      </c>
      <c r="C725" s="136" t="s">
        <v>338</v>
      </c>
      <c r="D725" s="121" t="s">
        <v>246</v>
      </c>
      <c r="E725" s="121" t="s">
        <v>246</v>
      </c>
      <c r="F725" s="734" t="s">
        <v>100</v>
      </c>
      <c r="G725" s="735" t="s">
        <v>65</v>
      </c>
      <c r="H725" s="735" t="s">
        <v>57</v>
      </c>
      <c r="I725" s="736" t="s">
        <v>340</v>
      </c>
      <c r="J725" s="121"/>
      <c r="K725" s="137">
        <f t="shared" si="175"/>
        <v>10.1</v>
      </c>
      <c r="L725" s="137">
        <f t="shared" si="175"/>
        <v>0</v>
      </c>
      <c r="M725" s="137">
        <f t="shared" si="175"/>
        <v>10.1</v>
      </c>
    </row>
    <row r="726" spans="1:13" s="351" customFormat="1" ht="37.5" customHeight="1">
      <c r="A726" s="122"/>
      <c r="B726" s="135" t="s">
        <v>141</v>
      </c>
      <c r="C726" s="136" t="s">
        <v>338</v>
      </c>
      <c r="D726" s="121" t="s">
        <v>246</v>
      </c>
      <c r="E726" s="121" t="s">
        <v>246</v>
      </c>
      <c r="F726" s="734" t="s">
        <v>100</v>
      </c>
      <c r="G726" s="735" t="s">
        <v>65</v>
      </c>
      <c r="H726" s="735" t="s">
        <v>57</v>
      </c>
      <c r="I726" s="736" t="s">
        <v>340</v>
      </c>
      <c r="J726" s="121" t="s">
        <v>142</v>
      </c>
      <c r="K726" s="137">
        <v>10.1</v>
      </c>
      <c r="L726" s="137">
        <f>M726-K726</f>
        <v>0</v>
      </c>
      <c r="M726" s="137">
        <v>10.1</v>
      </c>
    </row>
    <row r="727" spans="1:13" s="118" customFormat="1" ht="18.75" customHeight="1">
      <c r="A727" s="122"/>
      <c r="B727" s="141" t="s">
        <v>140</v>
      </c>
      <c r="C727" s="136" t="s">
        <v>338</v>
      </c>
      <c r="D727" s="121" t="s">
        <v>125</v>
      </c>
      <c r="E727" s="121"/>
      <c r="F727" s="734"/>
      <c r="G727" s="735"/>
      <c r="H727" s="735"/>
      <c r="I727" s="736"/>
      <c r="J727" s="121"/>
      <c r="K727" s="137">
        <f>K728+K747</f>
        <v>66787.899999999994</v>
      </c>
      <c r="L727" s="137">
        <f>L728+L747</f>
        <v>0</v>
      </c>
      <c r="M727" s="137">
        <f>M728+M747</f>
        <v>66787.899999999994</v>
      </c>
    </row>
    <row r="728" spans="1:13" s="118" customFormat="1" ht="18.75" customHeight="1">
      <c r="A728" s="122"/>
      <c r="B728" s="135" t="s">
        <v>215</v>
      </c>
      <c r="C728" s="136" t="s">
        <v>338</v>
      </c>
      <c r="D728" s="121" t="s">
        <v>125</v>
      </c>
      <c r="E728" s="121" t="s">
        <v>72</v>
      </c>
      <c r="F728" s="734"/>
      <c r="G728" s="735"/>
      <c r="H728" s="735"/>
      <c r="I728" s="736"/>
      <c r="J728" s="121"/>
      <c r="K728" s="137">
        <f t="shared" ref="K728:M729" si="176">K729</f>
        <v>59196.19999999999</v>
      </c>
      <c r="L728" s="137">
        <f t="shared" si="176"/>
        <v>0</v>
      </c>
      <c r="M728" s="137">
        <f t="shared" si="176"/>
        <v>59196.19999999999</v>
      </c>
    </row>
    <row r="729" spans="1:13" s="118" customFormat="1" ht="56.25" customHeight="1">
      <c r="A729" s="122"/>
      <c r="B729" s="139" t="s">
        <v>252</v>
      </c>
      <c r="C729" s="136" t="s">
        <v>338</v>
      </c>
      <c r="D729" s="121" t="s">
        <v>125</v>
      </c>
      <c r="E729" s="121" t="s">
        <v>72</v>
      </c>
      <c r="F729" s="734" t="s">
        <v>100</v>
      </c>
      <c r="G729" s="735" t="s">
        <v>62</v>
      </c>
      <c r="H729" s="735" t="s">
        <v>63</v>
      </c>
      <c r="I729" s="736" t="s">
        <v>64</v>
      </c>
      <c r="J729" s="121"/>
      <c r="K729" s="137">
        <f t="shared" si="176"/>
        <v>59196.19999999999</v>
      </c>
      <c r="L729" s="137">
        <f t="shared" si="176"/>
        <v>0</v>
      </c>
      <c r="M729" s="137">
        <f t="shared" si="176"/>
        <v>59196.19999999999</v>
      </c>
    </row>
    <row r="730" spans="1:13" s="118" customFormat="1" ht="37.5" customHeight="1">
      <c r="A730" s="122"/>
      <c r="B730" s="135" t="s">
        <v>404</v>
      </c>
      <c r="C730" s="136" t="s">
        <v>338</v>
      </c>
      <c r="D730" s="121" t="s">
        <v>125</v>
      </c>
      <c r="E730" s="121" t="s">
        <v>72</v>
      </c>
      <c r="F730" s="734" t="s">
        <v>100</v>
      </c>
      <c r="G730" s="735" t="s">
        <v>65</v>
      </c>
      <c r="H730" s="735" t="s">
        <v>63</v>
      </c>
      <c r="I730" s="736" t="s">
        <v>64</v>
      </c>
      <c r="J730" s="121"/>
      <c r="K730" s="137">
        <f>K731+K744</f>
        <v>59196.19999999999</v>
      </c>
      <c r="L730" s="137">
        <f>L731+L744</f>
        <v>0</v>
      </c>
      <c r="M730" s="137">
        <f>M731+M744</f>
        <v>59196.19999999999</v>
      </c>
    </row>
    <row r="731" spans="1:13" s="351" customFormat="1" ht="37.5" customHeight="1">
      <c r="A731" s="122"/>
      <c r="B731" s="135" t="s">
        <v>325</v>
      </c>
      <c r="C731" s="136" t="s">
        <v>338</v>
      </c>
      <c r="D731" s="121" t="s">
        <v>125</v>
      </c>
      <c r="E731" s="121" t="s">
        <v>72</v>
      </c>
      <c r="F731" s="734" t="s">
        <v>100</v>
      </c>
      <c r="G731" s="735" t="s">
        <v>65</v>
      </c>
      <c r="H731" s="735" t="s">
        <v>57</v>
      </c>
      <c r="I731" s="736" t="s">
        <v>64</v>
      </c>
      <c r="J731" s="121"/>
      <c r="K731" s="137">
        <f>K732+K735+K738+K741</f>
        <v>59190.999999999993</v>
      </c>
      <c r="L731" s="137">
        <f>L732+L735+L738+L741</f>
        <v>0</v>
      </c>
      <c r="M731" s="137">
        <f>M732+M735+M738+M741</f>
        <v>59190.999999999993</v>
      </c>
    </row>
    <row r="732" spans="1:13" s="351" customFormat="1" ht="150.75" customHeight="1">
      <c r="A732" s="122"/>
      <c r="B732" s="391" t="s">
        <v>440</v>
      </c>
      <c r="C732" s="136" t="s">
        <v>338</v>
      </c>
      <c r="D732" s="121" t="s">
        <v>125</v>
      </c>
      <c r="E732" s="121" t="s">
        <v>72</v>
      </c>
      <c r="F732" s="734" t="s">
        <v>100</v>
      </c>
      <c r="G732" s="735" t="s">
        <v>65</v>
      </c>
      <c r="H732" s="735" t="s">
        <v>57</v>
      </c>
      <c r="I732" s="736" t="s">
        <v>341</v>
      </c>
      <c r="J732" s="121"/>
      <c r="K732" s="137">
        <f>SUM(K733:K734)</f>
        <v>32982</v>
      </c>
      <c r="L732" s="137">
        <f>SUM(L733:L734)</f>
        <v>0</v>
      </c>
      <c r="M732" s="137">
        <f>SUM(M733:M734)</f>
        <v>32982</v>
      </c>
    </row>
    <row r="733" spans="1:13" s="351" customFormat="1" ht="56.25" customHeight="1">
      <c r="A733" s="122"/>
      <c r="B733" s="135" t="s">
        <v>75</v>
      </c>
      <c r="C733" s="136" t="s">
        <v>338</v>
      </c>
      <c r="D733" s="121" t="s">
        <v>125</v>
      </c>
      <c r="E733" s="121" t="s">
        <v>72</v>
      </c>
      <c r="F733" s="734" t="s">
        <v>100</v>
      </c>
      <c r="G733" s="735" t="s">
        <v>65</v>
      </c>
      <c r="H733" s="735" t="s">
        <v>57</v>
      </c>
      <c r="I733" s="736" t="s">
        <v>341</v>
      </c>
      <c r="J733" s="121" t="s">
        <v>76</v>
      </c>
      <c r="K733" s="137">
        <v>164.9</v>
      </c>
      <c r="L733" s="137">
        <f t="shared" ref="L733:L734" si="177">M733-K733</f>
        <v>0</v>
      </c>
      <c r="M733" s="137">
        <v>164.9</v>
      </c>
    </row>
    <row r="734" spans="1:13" s="351" customFormat="1" ht="37.5" customHeight="1">
      <c r="A734" s="122"/>
      <c r="B734" s="135" t="s">
        <v>141</v>
      </c>
      <c r="C734" s="136" t="s">
        <v>338</v>
      </c>
      <c r="D734" s="121" t="s">
        <v>125</v>
      </c>
      <c r="E734" s="121" t="s">
        <v>72</v>
      </c>
      <c r="F734" s="734" t="s">
        <v>100</v>
      </c>
      <c r="G734" s="735" t="s">
        <v>65</v>
      </c>
      <c r="H734" s="735" t="s">
        <v>57</v>
      </c>
      <c r="I734" s="736" t="s">
        <v>341</v>
      </c>
      <c r="J734" s="121" t="s">
        <v>142</v>
      </c>
      <c r="K734" s="137">
        <v>32817.1</v>
      </c>
      <c r="L734" s="137">
        <f t="shared" si="177"/>
        <v>0</v>
      </c>
      <c r="M734" s="137">
        <v>32817.1</v>
      </c>
    </row>
    <row r="735" spans="1:13" s="351" customFormat="1" ht="95.25" customHeight="1">
      <c r="A735" s="122"/>
      <c r="B735" s="135" t="s">
        <v>441</v>
      </c>
      <c r="C735" s="136" t="s">
        <v>338</v>
      </c>
      <c r="D735" s="121" t="s">
        <v>125</v>
      </c>
      <c r="E735" s="121" t="s">
        <v>72</v>
      </c>
      <c r="F735" s="734" t="s">
        <v>100</v>
      </c>
      <c r="G735" s="735" t="s">
        <v>65</v>
      </c>
      <c r="H735" s="735" t="s">
        <v>57</v>
      </c>
      <c r="I735" s="736" t="s">
        <v>342</v>
      </c>
      <c r="J735" s="121"/>
      <c r="K735" s="137">
        <f>SUM(K736:K737)</f>
        <v>25619.1</v>
      </c>
      <c r="L735" s="137">
        <f>SUM(L736:L737)</f>
        <v>0</v>
      </c>
      <c r="M735" s="137">
        <f>SUM(M736:M737)</f>
        <v>25619.1</v>
      </c>
    </row>
    <row r="736" spans="1:13" s="351" customFormat="1" ht="56.25" customHeight="1">
      <c r="A736" s="122"/>
      <c r="B736" s="135" t="s">
        <v>75</v>
      </c>
      <c r="C736" s="136" t="s">
        <v>338</v>
      </c>
      <c r="D736" s="121" t="s">
        <v>125</v>
      </c>
      <c r="E736" s="121" t="s">
        <v>72</v>
      </c>
      <c r="F736" s="734" t="s">
        <v>100</v>
      </c>
      <c r="G736" s="735" t="s">
        <v>65</v>
      </c>
      <c r="H736" s="735" t="s">
        <v>57</v>
      </c>
      <c r="I736" s="736" t="s">
        <v>342</v>
      </c>
      <c r="J736" s="121" t="s">
        <v>76</v>
      </c>
      <c r="K736" s="137">
        <v>128.1</v>
      </c>
      <c r="L736" s="137">
        <f t="shared" ref="L736:L737" si="178">M736-K736</f>
        <v>0</v>
      </c>
      <c r="M736" s="137">
        <v>128.1</v>
      </c>
    </row>
    <row r="737" spans="1:13" s="351" customFormat="1" ht="37.5" customHeight="1">
      <c r="A737" s="122"/>
      <c r="B737" s="135" t="s">
        <v>141</v>
      </c>
      <c r="C737" s="136" t="s">
        <v>338</v>
      </c>
      <c r="D737" s="121" t="s">
        <v>125</v>
      </c>
      <c r="E737" s="121" t="s">
        <v>72</v>
      </c>
      <c r="F737" s="734" t="s">
        <v>100</v>
      </c>
      <c r="G737" s="735" t="s">
        <v>65</v>
      </c>
      <c r="H737" s="735" t="s">
        <v>57</v>
      </c>
      <c r="I737" s="736" t="s">
        <v>342</v>
      </c>
      <c r="J737" s="121" t="s">
        <v>142</v>
      </c>
      <c r="K737" s="137">
        <v>25491</v>
      </c>
      <c r="L737" s="137">
        <f t="shared" si="178"/>
        <v>0</v>
      </c>
      <c r="M737" s="137">
        <v>25491</v>
      </c>
    </row>
    <row r="738" spans="1:13" s="351" customFormat="1" ht="95.25" customHeight="1">
      <c r="A738" s="122"/>
      <c r="B738" s="135" t="s">
        <v>442</v>
      </c>
      <c r="C738" s="136" t="s">
        <v>338</v>
      </c>
      <c r="D738" s="121" t="s">
        <v>125</v>
      </c>
      <c r="E738" s="121" t="s">
        <v>72</v>
      </c>
      <c r="F738" s="734" t="s">
        <v>100</v>
      </c>
      <c r="G738" s="735" t="s">
        <v>65</v>
      </c>
      <c r="H738" s="735" t="s">
        <v>57</v>
      </c>
      <c r="I738" s="736" t="s">
        <v>343</v>
      </c>
      <c r="J738" s="121"/>
      <c r="K738" s="137">
        <f>SUM(K739:K740)</f>
        <v>243.2</v>
      </c>
      <c r="L738" s="137">
        <f>SUM(L739:L740)</f>
        <v>0</v>
      </c>
      <c r="M738" s="137">
        <f>SUM(M739:M740)</f>
        <v>243.2</v>
      </c>
    </row>
    <row r="739" spans="1:13" s="351" customFormat="1" ht="56.25" customHeight="1">
      <c r="A739" s="122"/>
      <c r="B739" s="135" t="s">
        <v>75</v>
      </c>
      <c r="C739" s="136" t="s">
        <v>338</v>
      </c>
      <c r="D739" s="121" t="s">
        <v>125</v>
      </c>
      <c r="E739" s="121" t="s">
        <v>72</v>
      </c>
      <c r="F739" s="734" t="s">
        <v>100</v>
      </c>
      <c r="G739" s="735" t="s">
        <v>65</v>
      </c>
      <c r="H739" s="735" t="s">
        <v>57</v>
      </c>
      <c r="I739" s="736" t="s">
        <v>343</v>
      </c>
      <c r="J739" s="121" t="s">
        <v>76</v>
      </c>
      <c r="K739" s="137">
        <v>1.2</v>
      </c>
      <c r="L739" s="137">
        <f t="shared" ref="L739:L740" si="179">M739-K739</f>
        <v>0</v>
      </c>
      <c r="M739" s="137">
        <v>1.2</v>
      </c>
    </row>
    <row r="740" spans="1:13" s="351" customFormat="1" ht="34.5" customHeight="1">
      <c r="A740" s="122"/>
      <c r="B740" s="135" t="s">
        <v>141</v>
      </c>
      <c r="C740" s="136" t="s">
        <v>338</v>
      </c>
      <c r="D740" s="121" t="s">
        <v>125</v>
      </c>
      <c r="E740" s="121" t="s">
        <v>72</v>
      </c>
      <c r="F740" s="734" t="s">
        <v>100</v>
      </c>
      <c r="G740" s="735" t="s">
        <v>65</v>
      </c>
      <c r="H740" s="735" t="s">
        <v>57</v>
      </c>
      <c r="I740" s="736" t="s">
        <v>343</v>
      </c>
      <c r="J740" s="121" t="s">
        <v>142</v>
      </c>
      <c r="K740" s="137">
        <f>242</f>
        <v>242</v>
      </c>
      <c r="L740" s="137">
        <f t="shared" si="179"/>
        <v>0</v>
      </c>
      <c r="M740" s="137">
        <f>242</f>
        <v>242</v>
      </c>
    </row>
    <row r="741" spans="1:13" s="351" customFormat="1" ht="113.25" customHeight="1">
      <c r="A741" s="122"/>
      <c r="B741" s="135" t="s">
        <v>448</v>
      </c>
      <c r="C741" s="136" t="s">
        <v>338</v>
      </c>
      <c r="D741" s="121" t="s">
        <v>125</v>
      </c>
      <c r="E741" s="121" t="s">
        <v>72</v>
      </c>
      <c r="F741" s="734" t="s">
        <v>100</v>
      </c>
      <c r="G741" s="735" t="s">
        <v>65</v>
      </c>
      <c r="H741" s="735" t="s">
        <v>57</v>
      </c>
      <c r="I741" s="736" t="s">
        <v>344</v>
      </c>
      <c r="J741" s="121"/>
      <c r="K741" s="137">
        <f>SUM(K742:K743)</f>
        <v>346.7</v>
      </c>
      <c r="L741" s="137">
        <f>SUM(L742:L743)</f>
        <v>0</v>
      </c>
      <c r="M741" s="137">
        <f>SUM(M742:M743)</f>
        <v>346.7</v>
      </c>
    </row>
    <row r="742" spans="1:13" s="351" customFormat="1" ht="56.25" customHeight="1">
      <c r="A742" s="122"/>
      <c r="B742" s="135" t="s">
        <v>75</v>
      </c>
      <c r="C742" s="136" t="s">
        <v>338</v>
      </c>
      <c r="D742" s="121" t="s">
        <v>125</v>
      </c>
      <c r="E742" s="121" t="s">
        <v>72</v>
      </c>
      <c r="F742" s="734" t="s">
        <v>100</v>
      </c>
      <c r="G742" s="735" t="s">
        <v>65</v>
      </c>
      <c r="H742" s="735" t="s">
        <v>57</v>
      </c>
      <c r="I742" s="736" t="s">
        <v>344</v>
      </c>
      <c r="J742" s="121" t="s">
        <v>76</v>
      </c>
      <c r="K742" s="137">
        <v>1.7</v>
      </c>
      <c r="L742" s="137">
        <f t="shared" ref="L742:L746" si="180">M742-K742</f>
        <v>0</v>
      </c>
      <c r="M742" s="137">
        <v>1.7</v>
      </c>
    </row>
    <row r="743" spans="1:13" s="351" customFormat="1" ht="37.5" customHeight="1">
      <c r="A743" s="122"/>
      <c r="B743" s="135" t="s">
        <v>141</v>
      </c>
      <c r="C743" s="136" t="s">
        <v>338</v>
      </c>
      <c r="D743" s="121" t="s">
        <v>125</v>
      </c>
      <c r="E743" s="121" t="s">
        <v>72</v>
      </c>
      <c r="F743" s="734" t="s">
        <v>100</v>
      </c>
      <c r="G743" s="735" t="s">
        <v>65</v>
      </c>
      <c r="H743" s="735" t="s">
        <v>57</v>
      </c>
      <c r="I743" s="736" t="s">
        <v>344</v>
      </c>
      <c r="J743" s="121" t="s">
        <v>142</v>
      </c>
      <c r="K743" s="137">
        <f>346.7-1.7</f>
        <v>345</v>
      </c>
      <c r="L743" s="137">
        <f t="shared" si="180"/>
        <v>0</v>
      </c>
      <c r="M743" s="137">
        <f>346.7-1.7</f>
        <v>345</v>
      </c>
    </row>
    <row r="744" spans="1:13" s="351" customFormat="1" ht="93.75" customHeight="1">
      <c r="A744" s="122"/>
      <c r="B744" s="135" t="s">
        <v>352</v>
      </c>
      <c r="C744" s="136" t="s">
        <v>338</v>
      </c>
      <c r="D744" s="121" t="s">
        <v>125</v>
      </c>
      <c r="E744" s="121" t="s">
        <v>72</v>
      </c>
      <c r="F744" s="734" t="s">
        <v>100</v>
      </c>
      <c r="G744" s="735" t="s">
        <v>65</v>
      </c>
      <c r="H744" s="735" t="s">
        <v>59</v>
      </c>
      <c r="I744" s="736" t="s">
        <v>64</v>
      </c>
      <c r="J744" s="121"/>
      <c r="K744" s="137">
        <f>K745</f>
        <v>5.2</v>
      </c>
      <c r="L744" s="137">
        <f t="shared" si="180"/>
        <v>0</v>
      </c>
      <c r="M744" s="137">
        <f>M745</f>
        <v>5.2</v>
      </c>
    </row>
    <row r="745" spans="1:13" s="351" customFormat="1" ht="225" customHeight="1">
      <c r="A745" s="122"/>
      <c r="B745" s="135" t="s">
        <v>998</v>
      </c>
      <c r="C745" s="136" t="s">
        <v>338</v>
      </c>
      <c r="D745" s="121" t="s">
        <v>125</v>
      </c>
      <c r="E745" s="121" t="s">
        <v>72</v>
      </c>
      <c r="F745" s="734" t="s">
        <v>100</v>
      </c>
      <c r="G745" s="735" t="s">
        <v>65</v>
      </c>
      <c r="H745" s="735" t="s">
        <v>59</v>
      </c>
      <c r="I745" s="736" t="s">
        <v>997</v>
      </c>
      <c r="J745" s="121"/>
      <c r="K745" s="137">
        <f>K746</f>
        <v>5.2</v>
      </c>
      <c r="L745" s="137">
        <f t="shared" si="180"/>
        <v>0</v>
      </c>
      <c r="M745" s="137">
        <f>M746</f>
        <v>5.2</v>
      </c>
    </row>
    <row r="746" spans="1:13" s="351" customFormat="1" ht="37.5" customHeight="1">
      <c r="A746" s="122"/>
      <c r="B746" s="135" t="s">
        <v>141</v>
      </c>
      <c r="C746" s="136" t="s">
        <v>338</v>
      </c>
      <c r="D746" s="121" t="s">
        <v>125</v>
      </c>
      <c r="E746" s="121" t="s">
        <v>72</v>
      </c>
      <c r="F746" s="734" t="s">
        <v>100</v>
      </c>
      <c r="G746" s="735" t="s">
        <v>65</v>
      </c>
      <c r="H746" s="735" t="s">
        <v>59</v>
      </c>
      <c r="I746" s="736" t="s">
        <v>997</v>
      </c>
      <c r="J746" s="121" t="s">
        <v>142</v>
      </c>
      <c r="K746" s="137">
        <v>5.2</v>
      </c>
      <c r="L746" s="137">
        <f t="shared" si="180"/>
        <v>0</v>
      </c>
      <c r="M746" s="137">
        <v>5.2</v>
      </c>
    </row>
    <row r="747" spans="1:13" s="118" customFormat="1" ht="37.5" customHeight="1">
      <c r="A747" s="122"/>
      <c r="B747" s="135" t="s">
        <v>345</v>
      </c>
      <c r="C747" s="136" t="s">
        <v>338</v>
      </c>
      <c r="D747" s="121" t="s">
        <v>125</v>
      </c>
      <c r="E747" s="121" t="s">
        <v>102</v>
      </c>
      <c r="F747" s="734"/>
      <c r="G747" s="735"/>
      <c r="H747" s="735"/>
      <c r="I747" s="736"/>
      <c r="J747" s="121"/>
      <c r="K747" s="137">
        <f t="shared" ref="K747:M749" si="181">K748</f>
        <v>7591.7</v>
      </c>
      <c r="L747" s="137">
        <f t="shared" si="181"/>
        <v>0</v>
      </c>
      <c r="M747" s="137">
        <f t="shared" si="181"/>
        <v>7591.7</v>
      </c>
    </row>
    <row r="748" spans="1:13" s="118" customFormat="1" ht="56.25" customHeight="1">
      <c r="A748" s="122"/>
      <c r="B748" s="139" t="s">
        <v>252</v>
      </c>
      <c r="C748" s="136" t="s">
        <v>338</v>
      </c>
      <c r="D748" s="121" t="s">
        <v>125</v>
      </c>
      <c r="E748" s="121" t="s">
        <v>102</v>
      </c>
      <c r="F748" s="734" t="s">
        <v>100</v>
      </c>
      <c r="G748" s="735" t="s">
        <v>62</v>
      </c>
      <c r="H748" s="735" t="s">
        <v>63</v>
      </c>
      <c r="I748" s="736" t="s">
        <v>64</v>
      </c>
      <c r="J748" s="121"/>
      <c r="K748" s="137">
        <f t="shared" si="181"/>
        <v>7591.7</v>
      </c>
      <c r="L748" s="137">
        <f t="shared" si="181"/>
        <v>0</v>
      </c>
      <c r="M748" s="137">
        <f t="shared" si="181"/>
        <v>7591.7</v>
      </c>
    </row>
    <row r="749" spans="1:13" s="118" customFormat="1" ht="33.75" customHeight="1">
      <c r="A749" s="122"/>
      <c r="B749" s="135" t="s">
        <v>404</v>
      </c>
      <c r="C749" s="136" t="s">
        <v>338</v>
      </c>
      <c r="D749" s="121" t="s">
        <v>125</v>
      </c>
      <c r="E749" s="121" t="s">
        <v>102</v>
      </c>
      <c r="F749" s="734" t="s">
        <v>100</v>
      </c>
      <c r="G749" s="735" t="s">
        <v>65</v>
      </c>
      <c r="H749" s="735" t="s">
        <v>63</v>
      </c>
      <c r="I749" s="736" t="s">
        <v>64</v>
      </c>
      <c r="J749" s="121"/>
      <c r="K749" s="137">
        <f t="shared" si="181"/>
        <v>7591.7</v>
      </c>
      <c r="L749" s="137">
        <f t="shared" si="181"/>
        <v>0</v>
      </c>
      <c r="M749" s="137">
        <f t="shared" si="181"/>
        <v>7591.7</v>
      </c>
    </row>
    <row r="750" spans="1:13" s="351" customFormat="1" ht="37.5" customHeight="1">
      <c r="A750" s="122"/>
      <c r="B750" s="135" t="s">
        <v>251</v>
      </c>
      <c r="C750" s="136" t="s">
        <v>338</v>
      </c>
      <c r="D750" s="121" t="s">
        <v>125</v>
      </c>
      <c r="E750" s="121" t="s">
        <v>102</v>
      </c>
      <c r="F750" s="734" t="s">
        <v>100</v>
      </c>
      <c r="G750" s="735" t="s">
        <v>65</v>
      </c>
      <c r="H750" s="735" t="s">
        <v>84</v>
      </c>
      <c r="I750" s="736" t="s">
        <v>64</v>
      </c>
      <c r="J750" s="121"/>
      <c r="K750" s="137">
        <f>K751+K754+K757</f>
        <v>7591.7</v>
      </c>
      <c r="L750" s="137">
        <f>L751+L754+L757</f>
        <v>0</v>
      </c>
      <c r="M750" s="137">
        <f>M751+M754+M757</f>
        <v>7591.7</v>
      </c>
    </row>
    <row r="751" spans="1:13" s="351" customFormat="1" ht="77.25" customHeight="1">
      <c r="A751" s="122"/>
      <c r="B751" s="135" t="s">
        <v>253</v>
      </c>
      <c r="C751" s="136" t="s">
        <v>338</v>
      </c>
      <c r="D751" s="121" t="s">
        <v>125</v>
      </c>
      <c r="E751" s="121" t="s">
        <v>102</v>
      </c>
      <c r="F751" s="734" t="s">
        <v>100</v>
      </c>
      <c r="G751" s="735" t="s">
        <v>65</v>
      </c>
      <c r="H751" s="735" t="s">
        <v>84</v>
      </c>
      <c r="I751" s="736" t="s">
        <v>346</v>
      </c>
      <c r="J751" s="121"/>
      <c r="K751" s="137">
        <f>K752+K753</f>
        <v>6084</v>
      </c>
      <c r="L751" s="137">
        <f>L752+L753</f>
        <v>0</v>
      </c>
      <c r="M751" s="137">
        <f>M752+M753</f>
        <v>6084</v>
      </c>
    </row>
    <row r="752" spans="1:13" s="351" customFormat="1" ht="112.5" customHeight="1">
      <c r="A752" s="122"/>
      <c r="B752" s="135" t="s">
        <v>69</v>
      </c>
      <c r="C752" s="136" t="s">
        <v>338</v>
      </c>
      <c r="D752" s="121" t="s">
        <v>125</v>
      </c>
      <c r="E752" s="121" t="s">
        <v>102</v>
      </c>
      <c r="F752" s="734" t="s">
        <v>100</v>
      </c>
      <c r="G752" s="735" t="s">
        <v>65</v>
      </c>
      <c r="H752" s="735" t="s">
        <v>84</v>
      </c>
      <c r="I752" s="736" t="s">
        <v>346</v>
      </c>
      <c r="J752" s="121" t="s">
        <v>70</v>
      </c>
      <c r="K752" s="137">
        <v>5725.5</v>
      </c>
      <c r="L752" s="137">
        <f t="shared" ref="L752:L753" si="182">M752-K752</f>
        <v>0</v>
      </c>
      <c r="M752" s="137">
        <v>5725.5</v>
      </c>
    </row>
    <row r="753" spans="1:14" s="351" customFormat="1" ht="56.25" customHeight="1">
      <c r="A753" s="122"/>
      <c r="B753" s="135" t="s">
        <v>75</v>
      </c>
      <c r="C753" s="136" t="s">
        <v>338</v>
      </c>
      <c r="D753" s="121" t="s">
        <v>125</v>
      </c>
      <c r="E753" s="121" t="s">
        <v>102</v>
      </c>
      <c r="F753" s="334" t="s">
        <v>100</v>
      </c>
      <c r="G753" s="335" t="s">
        <v>65</v>
      </c>
      <c r="H753" s="335" t="s">
        <v>84</v>
      </c>
      <c r="I753" s="336" t="s">
        <v>346</v>
      </c>
      <c r="J753" s="121" t="s">
        <v>76</v>
      </c>
      <c r="K753" s="137">
        <v>358.5</v>
      </c>
      <c r="L753" s="137">
        <f t="shared" si="182"/>
        <v>0</v>
      </c>
      <c r="M753" s="137">
        <v>358.5</v>
      </c>
    </row>
    <row r="754" spans="1:14" s="351" customFormat="1" ht="113.25" customHeight="1">
      <c r="A754" s="122"/>
      <c r="B754" s="135" t="s">
        <v>789</v>
      </c>
      <c r="C754" s="136" t="s">
        <v>338</v>
      </c>
      <c r="D754" s="121" t="s">
        <v>125</v>
      </c>
      <c r="E754" s="121" t="s">
        <v>102</v>
      </c>
      <c r="F754" s="734" t="s">
        <v>100</v>
      </c>
      <c r="G754" s="735" t="s">
        <v>65</v>
      </c>
      <c r="H754" s="735" t="s">
        <v>84</v>
      </c>
      <c r="I754" s="736" t="s">
        <v>347</v>
      </c>
      <c r="J754" s="121"/>
      <c r="K754" s="137">
        <f>K755+K756</f>
        <v>636.69999999999993</v>
      </c>
      <c r="L754" s="137">
        <f>L755+L756</f>
        <v>0</v>
      </c>
      <c r="M754" s="137">
        <f>M755+M756</f>
        <v>636.69999999999993</v>
      </c>
    </row>
    <row r="755" spans="1:14" s="351" customFormat="1" ht="112.5" customHeight="1">
      <c r="A755" s="122"/>
      <c r="B755" s="135" t="s">
        <v>69</v>
      </c>
      <c r="C755" s="136" t="s">
        <v>338</v>
      </c>
      <c r="D755" s="121" t="s">
        <v>125</v>
      </c>
      <c r="E755" s="121" t="s">
        <v>102</v>
      </c>
      <c r="F755" s="734" t="s">
        <v>100</v>
      </c>
      <c r="G755" s="735" t="s">
        <v>65</v>
      </c>
      <c r="H755" s="735" t="s">
        <v>84</v>
      </c>
      <c r="I755" s="736" t="s">
        <v>347</v>
      </c>
      <c r="J755" s="121" t="s">
        <v>70</v>
      </c>
      <c r="K755" s="137">
        <v>607.29999999999995</v>
      </c>
      <c r="L755" s="137">
        <f t="shared" ref="L755:L756" si="183">M755-K755</f>
        <v>0</v>
      </c>
      <c r="M755" s="137">
        <v>607.29999999999995</v>
      </c>
    </row>
    <row r="756" spans="1:14" s="351" customFormat="1" ht="56.25" customHeight="1">
      <c r="A756" s="122"/>
      <c r="B756" s="135" t="s">
        <v>75</v>
      </c>
      <c r="C756" s="136" t="s">
        <v>338</v>
      </c>
      <c r="D756" s="121" t="s">
        <v>125</v>
      </c>
      <c r="E756" s="121" t="s">
        <v>102</v>
      </c>
      <c r="F756" s="734" t="s">
        <v>100</v>
      </c>
      <c r="G756" s="735" t="s">
        <v>65</v>
      </c>
      <c r="H756" s="735" t="s">
        <v>84</v>
      </c>
      <c r="I756" s="736" t="s">
        <v>347</v>
      </c>
      <c r="J756" s="121" t="s">
        <v>76</v>
      </c>
      <c r="K756" s="137">
        <f>35-5.6</f>
        <v>29.4</v>
      </c>
      <c r="L756" s="137">
        <f t="shared" si="183"/>
        <v>0</v>
      </c>
      <c r="M756" s="137">
        <f>35-5.6</f>
        <v>29.4</v>
      </c>
    </row>
    <row r="757" spans="1:14" s="351" customFormat="1" ht="265.5" customHeight="1">
      <c r="A757" s="122"/>
      <c r="B757" s="436" t="s">
        <v>254</v>
      </c>
      <c r="C757" s="136" t="s">
        <v>338</v>
      </c>
      <c r="D757" s="121" t="s">
        <v>125</v>
      </c>
      <c r="E757" s="121" t="s">
        <v>102</v>
      </c>
      <c r="F757" s="734" t="s">
        <v>100</v>
      </c>
      <c r="G757" s="735" t="s">
        <v>65</v>
      </c>
      <c r="H757" s="735" t="s">
        <v>84</v>
      </c>
      <c r="I757" s="736" t="s">
        <v>348</v>
      </c>
      <c r="J757" s="121"/>
      <c r="K757" s="137">
        <f>K758+K759</f>
        <v>871</v>
      </c>
      <c r="L757" s="137">
        <f>L758+L759</f>
        <v>0</v>
      </c>
      <c r="M757" s="137">
        <f>M758+M759</f>
        <v>871</v>
      </c>
    </row>
    <row r="758" spans="1:14" s="351" customFormat="1" ht="112.5" customHeight="1">
      <c r="A758" s="122"/>
      <c r="B758" s="135" t="s">
        <v>69</v>
      </c>
      <c r="C758" s="136" t="s">
        <v>338</v>
      </c>
      <c r="D758" s="121" t="s">
        <v>125</v>
      </c>
      <c r="E758" s="121" t="s">
        <v>102</v>
      </c>
      <c r="F758" s="734" t="s">
        <v>100</v>
      </c>
      <c r="G758" s="735" t="s">
        <v>65</v>
      </c>
      <c r="H758" s="735" t="s">
        <v>84</v>
      </c>
      <c r="I758" s="736" t="s">
        <v>348</v>
      </c>
      <c r="J758" s="121" t="s">
        <v>70</v>
      </c>
      <c r="K758" s="137">
        <v>808.2</v>
      </c>
      <c r="L758" s="137">
        <f t="shared" ref="L758:L759" si="184">M758-K758</f>
        <v>0</v>
      </c>
      <c r="M758" s="137">
        <v>808.2</v>
      </c>
    </row>
    <row r="759" spans="1:14" s="351" customFormat="1" ht="56.25" customHeight="1">
      <c r="A759" s="122"/>
      <c r="B759" s="135" t="s">
        <v>75</v>
      </c>
      <c r="C759" s="136" t="s">
        <v>338</v>
      </c>
      <c r="D759" s="121" t="s">
        <v>125</v>
      </c>
      <c r="E759" s="121" t="s">
        <v>102</v>
      </c>
      <c r="F759" s="734" t="s">
        <v>100</v>
      </c>
      <c r="G759" s="735" t="s">
        <v>65</v>
      </c>
      <c r="H759" s="735" t="s">
        <v>84</v>
      </c>
      <c r="I759" s="736" t="s">
        <v>348</v>
      </c>
      <c r="J759" s="121" t="s">
        <v>76</v>
      </c>
      <c r="K759" s="137">
        <f>70-7.2</f>
        <v>62.8</v>
      </c>
      <c r="L759" s="137">
        <f t="shared" si="184"/>
        <v>0</v>
      </c>
      <c r="M759" s="137">
        <f>70-7.2</f>
        <v>62.8</v>
      </c>
    </row>
    <row r="760" spans="1:14" s="351" customFormat="1" ht="25.5" customHeight="1">
      <c r="A760" s="437"/>
      <c r="B760" s="340"/>
      <c r="C760" s="438"/>
      <c r="D760" s="341"/>
      <c r="E760" s="341"/>
      <c r="F760" s="341"/>
      <c r="G760" s="341"/>
      <c r="H760" s="341"/>
      <c r="I760" s="341"/>
      <c r="J760" s="341"/>
      <c r="K760" s="341"/>
      <c r="L760" s="341"/>
      <c r="M760" s="439"/>
    </row>
    <row r="761" spans="1:14" s="351" customFormat="1" ht="20.25" customHeight="1">
      <c r="A761" s="437"/>
      <c r="B761" s="340"/>
      <c r="C761" s="438"/>
      <c r="D761" s="341"/>
      <c r="E761" s="341"/>
      <c r="F761" s="341"/>
      <c r="G761" s="341"/>
      <c r="H761" s="341"/>
      <c r="I761" s="341"/>
      <c r="J761" s="341"/>
      <c r="K761" s="341"/>
      <c r="L761" s="341"/>
      <c r="M761" s="439"/>
    </row>
    <row r="762" spans="1:14" s="250" customFormat="1" ht="18.75" customHeight="1">
      <c r="A762" s="344" t="s">
        <v>467</v>
      </c>
      <c r="B762" s="253"/>
      <c r="C762" s="254"/>
      <c r="D762" s="254"/>
      <c r="E762" s="254"/>
      <c r="F762" s="178"/>
      <c r="G762" s="343"/>
      <c r="H762" s="394"/>
      <c r="M762" s="251"/>
    </row>
    <row r="763" spans="1:14" s="250" customFormat="1" ht="18.75" customHeight="1">
      <c r="A763" s="344" t="s">
        <v>468</v>
      </c>
      <c r="B763" s="253"/>
      <c r="C763" s="254"/>
      <c r="D763" s="254"/>
      <c r="E763" s="254"/>
      <c r="F763" s="178"/>
      <c r="G763" s="343"/>
      <c r="H763" s="394"/>
      <c r="M763" s="251"/>
    </row>
    <row r="764" spans="1:14" s="250" customFormat="1" ht="18.75" customHeight="1">
      <c r="A764" s="345" t="s">
        <v>469</v>
      </c>
      <c r="B764" s="253"/>
      <c r="E764" s="254"/>
      <c r="F764" s="178"/>
      <c r="M764" s="707" t="s">
        <v>494</v>
      </c>
    </row>
    <row r="765" spans="1:14" s="440" customFormat="1" ht="18.75" customHeight="1">
      <c r="A765" s="437"/>
      <c r="B765" s="340"/>
      <c r="C765" s="438"/>
      <c r="D765" s="341"/>
      <c r="E765" s="341"/>
      <c r="F765" s="341"/>
      <c r="G765" s="341"/>
      <c r="H765" s="341"/>
      <c r="I765" s="341"/>
      <c r="J765" s="341"/>
      <c r="K765" s="341"/>
      <c r="L765" s="341"/>
      <c r="M765" s="439"/>
    </row>
    <row r="766" spans="1:14" s="440" customFormat="1" ht="18.75" customHeight="1">
      <c r="A766" s="437"/>
      <c r="B766" s="340"/>
      <c r="C766" s="438"/>
      <c r="D766" s="341"/>
      <c r="E766" s="341"/>
      <c r="F766" s="341"/>
      <c r="G766" s="341"/>
      <c r="H766" s="341"/>
      <c r="I766" s="341"/>
      <c r="J766" s="341"/>
      <c r="K766" s="341"/>
      <c r="L766" s="341"/>
      <c r="M766" s="439"/>
    </row>
    <row r="767" spans="1:14" s="440" customFormat="1" ht="18.75" customHeight="1">
      <c r="A767" s="437"/>
      <c r="B767" s="340"/>
      <c r="C767" s="438"/>
      <c r="D767" s="341"/>
      <c r="E767" s="341"/>
      <c r="F767" s="341"/>
      <c r="G767" s="341"/>
      <c r="H767" s="341"/>
      <c r="I767" s="341"/>
      <c r="J767" s="341"/>
      <c r="K767" s="341"/>
      <c r="L767" s="341"/>
      <c r="M767" s="439"/>
    </row>
    <row r="768" spans="1:14" s="440" customFormat="1" ht="18.75" customHeight="1">
      <c r="A768" s="437"/>
      <c r="B768" s="340"/>
      <c r="C768" s="438"/>
      <c r="D768" s="152" t="s">
        <v>57</v>
      </c>
      <c r="E768" s="152" t="s">
        <v>59</v>
      </c>
      <c r="F768" s="153"/>
      <c r="G768" s="153"/>
      <c r="H768" s="153"/>
      <c r="I768" s="153"/>
      <c r="J768" s="153"/>
      <c r="K768" s="153"/>
      <c r="L768" s="153"/>
      <c r="M768" s="720">
        <f>M17</f>
        <v>2067.1</v>
      </c>
      <c r="N768" s="441"/>
    </row>
    <row r="769" spans="1:14" s="440" customFormat="1" ht="18.75" customHeight="1">
      <c r="A769" s="437"/>
      <c r="B769" s="340"/>
      <c r="C769" s="438"/>
      <c r="D769" s="152" t="s">
        <v>57</v>
      </c>
      <c r="E769" s="152" t="s">
        <v>72</v>
      </c>
      <c r="F769" s="153"/>
      <c r="G769" s="153"/>
      <c r="H769" s="153"/>
      <c r="I769" s="153"/>
      <c r="J769" s="153"/>
      <c r="K769" s="153"/>
      <c r="L769" s="153"/>
      <c r="M769" s="720">
        <f>M23</f>
        <v>73164.330999999991</v>
      </c>
      <c r="N769" s="441"/>
    </row>
    <row r="770" spans="1:14" s="440" customFormat="1" ht="18.75" customHeight="1">
      <c r="A770" s="437"/>
      <c r="B770" s="340"/>
      <c r="C770" s="438"/>
      <c r="D770" s="152" t="s">
        <v>57</v>
      </c>
      <c r="E770" s="152" t="s">
        <v>86</v>
      </c>
      <c r="F770" s="153"/>
      <c r="G770" s="153"/>
      <c r="H770" s="153"/>
      <c r="I770" s="153"/>
      <c r="J770" s="153"/>
      <c r="K770" s="153"/>
      <c r="L770" s="153"/>
      <c r="M770" s="720">
        <f>M46</f>
        <v>13.2</v>
      </c>
      <c r="N770" s="441"/>
    </row>
    <row r="771" spans="1:14" s="440" customFormat="1" ht="18.75" customHeight="1">
      <c r="A771" s="437"/>
      <c r="B771" s="340"/>
      <c r="C771" s="438"/>
      <c r="D771" s="152" t="s">
        <v>57</v>
      </c>
      <c r="E771" s="152" t="s">
        <v>102</v>
      </c>
      <c r="F771" s="153"/>
      <c r="G771" s="153"/>
      <c r="H771" s="153"/>
      <c r="I771" s="153"/>
      <c r="J771" s="153"/>
      <c r="K771" s="153"/>
      <c r="L771" s="153"/>
      <c r="M771" s="720">
        <f>M250+M286</f>
        <v>29306.215999999997</v>
      </c>
      <c r="N771" s="441"/>
    </row>
    <row r="772" spans="1:14" s="440" customFormat="1" ht="18.75" customHeight="1">
      <c r="A772" s="437"/>
      <c r="B772" s="340"/>
      <c r="C772" s="438"/>
      <c r="D772" s="152" t="s">
        <v>57</v>
      </c>
      <c r="E772" s="152" t="s">
        <v>88</v>
      </c>
      <c r="F772" s="153"/>
      <c r="G772" s="153"/>
      <c r="H772" s="153"/>
      <c r="I772" s="153"/>
      <c r="J772" s="153"/>
      <c r="K772" s="153"/>
      <c r="L772" s="153"/>
      <c r="M772" s="720">
        <f>M52</f>
        <v>5572.3780000000006</v>
      </c>
      <c r="N772" s="441"/>
    </row>
    <row r="773" spans="1:14" s="440" customFormat="1" ht="18.75" customHeight="1">
      <c r="A773" s="437"/>
      <c r="B773" s="340"/>
      <c r="C773" s="438"/>
      <c r="D773" s="152" t="s">
        <v>57</v>
      </c>
      <c r="E773" s="152" t="s">
        <v>92</v>
      </c>
      <c r="F773" s="153"/>
      <c r="G773" s="153"/>
      <c r="H773" s="153"/>
      <c r="I773" s="153"/>
      <c r="J773" s="153"/>
      <c r="K773" s="153"/>
      <c r="L773" s="153"/>
      <c r="M773" s="720">
        <f>M57+M261+M298+M687+M558+M638+M400</f>
        <v>64420.424000000006</v>
      </c>
      <c r="N773" s="441"/>
    </row>
    <row r="774" spans="1:14" ht="18.75" customHeight="1">
      <c r="D774" s="398" t="s">
        <v>57</v>
      </c>
      <c r="E774" s="398" t="s">
        <v>63</v>
      </c>
      <c r="F774" s="153"/>
      <c r="G774" s="153"/>
      <c r="H774" s="153"/>
      <c r="I774" s="153"/>
      <c r="J774" s="153"/>
      <c r="K774" s="153"/>
      <c r="L774" s="153"/>
      <c r="M774" s="399">
        <f>SUBTOTAL(9,M768:M773)</f>
        <v>174543.649</v>
      </c>
      <c r="N774" s="442"/>
    </row>
    <row r="775" spans="1:14" ht="18.75" customHeight="1">
      <c r="D775" s="152"/>
      <c r="E775" s="152"/>
      <c r="F775" s="153"/>
      <c r="G775" s="153"/>
      <c r="H775" s="153"/>
      <c r="I775" s="153"/>
      <c r="J775" s="153"/>
      <c r="K775" s="153"/>
      <c r="L775" s="153"/>
      <c r="M775" s="397"/>
      <c r="N775" s="441"/>
    </row>
    <row r="776" spans="1:14" ht="18.75" customHeight="1">
      <c r="D776" s="152" t="s">
        <v>84</v>
      </c>
      <c r="E776" s="152" t="s">
        <v>125</v>
      </c>
      <c r="F776" s="153"/>
      <c r="G776" s="153"/>
      <c r="H776" s="153"/>
      <c r="I776" s="153"/>
      <c r="J776" s="153"/>
      <c r="K776" s="153"/>
      <c r="L776" s="153"/>
      <c r="M776" s="719">
        <f>M90</f>
        <v>4033.3</v>
      </c>
      <c r="N776" s="441"/>
    </row>
    <row r="777" spans="1:14" ht="18.75" customHeight="1">
      <c r="D777" s="152" t="s">
        <v>84</v>
      </c>
      <c r="E777" s="152" t="s">
        <v>109</v>
      </c>
      <c r="F777" s="153"/>
      <c r="G777" s="153"/>
      <c r="H777" s="153"/>
      <c r="I777" s="153"/>
      <c r="J777" s="153"/>
      <c r="K777" s="153"/>
      <c r="L777" s="153"/>
      <c r="M777" s="719">
        <f>M102</f>
        <v>12494.099999999999</v>
      </c>
      <c r="N777" s="441"/>
    </row>
    <row r="778" spans="1:14" ht="18.75" customHeight="1">
      <c r="D778" s="398" t="s">
        <v>84</v>
      </c>
      <c r="E778" s="398" t="s">
        <v>63</v>
      </c>
      <c r="F778" s="153"/>
      <c r="G778" s="153"/>
      <c r="H778" s="153"/>
      <c r="I778" s="153"/>
      <c r="J778" s="153"/>
      <c r="K778" s="153"/>
      <c r="L778" s="153"/>
      <c r="M778" s="399">
        <f>SUBTOTAL(9,M776:M777)</f>
        <v>16527.399999999998</v>
      </c>
      <c r="N778" s="442"/>
    </row>
    <row r="779" spans="1:14" ht="18.75" customHeight="1">
      <c r="D779" s="152"/>
      <c r="E779" s="152"/>
      <c r="F779" s="153"/>
      <c r="G779" s="153"/>
      <c r="H779" s="153"/>
      <c r="I779" s="153"/>
      <c r="J779" s="153"/>
      <c r="K779" s="153"/>
      <c r="L779" s="153"/>
      <c r="M779" s="397"/>
      <c r="N779" s="441"/>
    </row>
    <row r="780" spans="1:14" ht="18.75" customHeight="1">
      <c r="D780" s="152" t="s">
        <v>72</v>
      </c>
      <c r="E780" s="152" t="s">
        <v>86</v>
      </c>
      <c r="F780" s="153"/>
      <c r="G780" s="153"/>
      <c r="H780" s="153"/>
      <c r="I780" s="153"/>
      <c r="J780" s="153"/>
      <c r="K780" s="153"/>
      <c r="L780" s="153"/>
      <c r="M780" s="397">
        <f>M127</f>
        <v>11398.300000000001</v>
      </c>
      <c r="N780" s="441"/>
    </row>
    <row r="781" spans="1:14" ht="18.75" customHeight="1">
      <c r="D781" s="152" t="s">
        <v>72</v>
      </c>
      <c r="E781" s="152" t="s">
        <v>100</v>
      </c>
      <c r="F781" s="153"/>
      <c r="G781" s="153"/>
      <c r="H781" s="153"/>
      <c r="I781" s="153"/>
      <c r="J781" s="153"/>
      <c r="K781" s="153"/>
      <c r="L781" s="153"/>
      <c r="M781" s="397">
        <f>M138</f>
        <v>9802.3829999999998</v>
      </c>
      <c r="N781" s="441"/>
    </row>
    <row r="782" spans="1:14" ht="18.75" customHeight="1">
      <c r="D782" s="152" t="s">
        <v>72</v>
      </c>
      <c r="E782" s="152" t="s">
        <v>121</v>
      </c>
      <c r="F782" s="153"/>
      <c r="G782" s="153"/>
      <c r="H782" s="153"/>
      <c r="I782" s="153"/>
      <c r="J782" s="153"/>
      <c r="K782" s="153"/>
      <c r="L782" s="153"/>
      <c r="M782" s="397">
        <f>M144+M352</f>
        <v>12414.5</v>
      </c>
      <c r="N782" s="441"/>
    </row>
    <row r="783" spans="1:14" ht="18.75" customHeight="1">
      <c r="D783" s="398" t="s">
        <v>72</v>
      </c>
      <c r="E783" s="398" t="s">
        <v>63</v>
      </c>
      <c r="F783" s="153"/>
      <c r="G783" s="153"/>
      <c r="H783" s="153"/>
      <c r="I783" s="153"/>
      <c r="J783" s="153"/>
      <c r="K783" s="153"/>
      <c r="L783" s="153"/>
      <c r="M783" s="399">
        <f>SUBTOTAL(9,M780:M782)</f>
        <v>33615.183000000005</v>
      </c>
      <c r="N783" s="442"/>
    </row>
    <row r="784" spans="1:14" ht="18.75" customHeight="1">
      <c r="D784" s="152"/>
      <c r="E784" s="152"/>
      <c r="F784" s="153"/>
      <c r="G784" s="153"/>
      <c r="H784" s="153"/>
      <c r="I784" s="153"/>
      <c r="J784" s="153"/>
      <c r="K784" s="153"/>
      <c r="L784" s="153"/>
      <c r="M784" s="397"/>
      <c r="N784" s="441"/>
    </row>
    <row r="785" spans="4:14" ht="18.75" customHeight="1">
      <c r="D785" s="152" t="s">
        <v>86</v>
      </c>
      <c r="E785" s="152" t="s">
        <v>57</v>
      </c>
      <c r="F785" s="153"/>
      <c r="G785" s="153"/>
      <c r="H785" s="153"/>
      <c r="I785" s="153"/>
      <c r="J785" s="153"/>
      <c r="K785" s="153"/>
      <c r="L785" s="153"/>
      <c r="M785" s="397"/>
      <c r="N785" s="441"/>
    </row>
    <row r="786" spans="4:14" ht="18.75" customHeight="1">
      <c r="D786" s="152" t="s">
        <v>86</v>
      </c>
      <c r="E786" s="152" t="s">
        <v>59</v>
      </c>
      <c r="F786" s="153"/>
      <c r="G786" s="153"/>
      <c r="H786" s="153"/>
      <c r="I786" s="153"/>
      <c r="J786" s="153"/>
      <c r="K786" s="153"/>
      <c r="L786" s="153"/>
      <c r="M786" s="397">
        <f>M359</f>
        <v>16450.560939999999</v>
      </c>
      <c r="N786" s="441"/>
    </row>
    <row r="787" spans="4:14" ht="18.75" customHeight="1">
      <c r="D787" s="152" t="s">
        <v>86</v>
      </c>
      <c r="E787" s="152" t="s">
        <v>86</v>
      </c>
      <c r="F787" s="153"/>
      <c r="G787" s="153"/>
      <c r="H787" s="153"/>
      <c r="I787" s="153"/>
      <c r="J787" s="153"/>
      <c r="K787" s="153"/>
      <c r="L787" s="153"/>
      <c r="M787" s="397"/>
      <c r="N787" s="441"/>
    </row>
    <row r="788" spans="4:14" ht="18.75" customHeight="1">
      <c r="D788" s="152" t="s">
        <v>86</v>
      </c>
      <c r="E788" s="152" t="s">
        <v>84</v>
      </c>
      <c r="F788" s="153"/>
      <c r="G788" s="153"/>
      <c r="H788" s="153"/>
      <c r="I788" s="153"/>
      <c r="J788" s="153"/>
      <c r="K788" s="153"/>
      <c r="L788" s="657"/>
      <c r="M788" s="397">
        <f>M170</f>
        <v>1163.5999999999999</v>
      </c>
      <c r="N788" s="441"/>
    </row>
    <row r="789" spans="4:14" ht="18.75" customHeight="1">
      <c r="D789" s="398" t="s">
        <v>86</v>
      </c>
      <c r="E789" s="398" t="s">
        <v>63</v>
      </c>
      <c r="F789" s="153"/>
      <c r="G789" s="153"/>
      <c r="H789" s="153"/>
      <c r="I789" s="153"/>
      <c r="J789" s="153"/>
      <c r="K789" s="153"/>
      <c r="L789" s="153"/>
      <c r="M789" s="399">
        <f>SUBTOTAL(9,M785:M788)</f>
        <v>17614.160939999998</v>
      </c>
      <c r="N789" s="442"/>
    </row>
    <row r="790" spans="4:14" ht="18.75" customHeight="1">
      <c r="D790" s="152"/>
      <c r="E790" s="152"/>
      <c r="F790" s="153"/>
      <c r="G790" s="153"/>
      <c r="H790" s="153"/>
      <c r="I790" s="153"/>
      <c r="J790" s="153"/>
      <c r="K790" s="153"/>
      <c r="L790" s="153"/>
      <c r="M790" s="397"/>
      <c r="N790" s="441"/>
    </row>
    <row r="791" spans="4:14" ht="18.75" customHeight="1">
      <c r="D791" s="152" t="s">
        <v>246</v>
      </c>
      <c r="E791" s="152" t="s">
        <v>57</v>
      </c>
      <c r="F791" s="153"/>
      <c r="G791" s="153"/>
      <c r="H791" s="153"/>
      <c r="I791" s="153"/>
      <c r="J791" s="153"/>
      <c r="K791" s="153"/>
      <c r="L791" s="153"/>
      <c r="M791" s="397">
        <f>M413+M374</f>
        <v>360986</v>
      </c>
      <c r="N791" s="441"/>
    </row>
    <row r="792" spans="4:14" ht="18.75" customHeight="1">
      <c r="D792" s="152" t="s">
        <v>246</v>
      </c>
      <c r="E792" s="152" t="s">
        <v>59</v>
      </c>
      <c r="F792" s="153"/>
      <c r="G792" s="153"/>
      <c r="H792" s="153"/>
      <c r="I792" s="153"/>
      <c r="J792" s="153"/>
      <c r="K792" s="153"/>
      <c r="L792" s="153"/>
      <c r="M792" s="397">
        <f>M382+M439</f>
        <v>638539.29999999993</v>
      </c>
      <c r="N792" s="441"/>
    </row>
    <row r="793" spans="4:14" ht="18.75" customHeight="1">
      <c r="D793" s="152" t="s">
        <v>246</v>
      </c>
      <c r="E793" s="152" t="s">
        <v>84</v>
      </c>
      <c r="F793" s="153"/>
      <c r="G793" s="153"/>
      <c r="H793" s="153"/>
      <c r="I793" s="153"/>
      <c r="J793" s="153"/>
      <c r="K793" s="153"/>
      <c r="L793" s="153"/>
      <c r="M793" s="397">
        <f>M489+M568</f>
        <v>119505.18799999999</v>
      </c>
      <c r="N793" s="441"/>
    </row>
    <row r="794" spans="4:14" ht="18.75" customHeight="1">
      <c r="D794" s="152" t="s">
        <v>246</v>
      </c>
      <c r="E794" s="152" t="s">
        <v>86</v>
      </c>
      <c r="F794" s="153"/>
      <c r="G794" s="153"/>
      <c r="H794" s="153"/>
      <c r="I794" s="153"/>
      <c r="J794" s="153"/>
      <c r="K794" s="153"/>
      <c r="L794" s="153"/>
      <c r="M794" s="397"/>
      <c r="N794" s="441"/>
    </row>
    <row r="795" spans="4:14" ht="18.75" customHeight="1">
      <c r="D795" s="152" t="s">
        <v>246</v>
      </c>
      <c r="E795" s="152" t="s">
        <v>246</v>
      </c>
      <c r="F795" s="153"/>
      <c r="G795" s="153"/>
      <c r="H795" s="153"/>
      <c r="I795" s="153"/>
      <c r="J795" s="153"/>
      <c r="K795" s="153"/>
      <c r="L795" s="153"/>
      <c r="M795" s="397">
        <f>M700+M721+M578+M515</f>
        <v>12686.7</v>
      </c>
      <c r="N795" s="441"/>
    </row>
    <row r="796" spans="4:14" ht="18.75" customHeight="1">
      <c r="D796" s="152" t="s">
        <v>246</v>
      </c>
      <c r="E796" s="152" t="s">
        <v>100</v>
      </c>
      <c r="F796" s="153"/>
      <c r="G796" s="153"/>
      <c r="H796" s="153"/>
      <c r="I796" s="153"/>
      <c r="J796" s="153"/>
      <c r="K796" s="153"/>
      <c r="L796" s="153"/>
      <c r="M796" s="397">
        <f>M523+M584+M710</f>
        <v>65526.972000000009</v>
      </c>
      <c r="N796" s="441"/>
    </row>
    <row r="797" spans="4:14" ht="18.75" customHeight="1">
      <c r="D797" s="398" t="s">
        <v>246</v>
      </c>
      <c r="E797" s="398" t="s">
        <v>63</v>
      </c>
      <c r="F797" s="153"/>
      <c r="G797" s="153"/>
      <c r="H797" s="153"/>
      <c r="I797" s="153"/>
      <c r="J797" s="153"/>
      <c r="K797" s="153"/>
      <c r="L797" s="153"/>
      <c r="M797" s="399">
        <f>SUBTOTAL(9,M791:M796)</f>
        <v>1197244.1599999999</v>
      </c>
      <c r="N797" s="442"/>
    </row>
    <row r="798" spans="4:14" ht="18.75" customHeight="1">
      <c r="D798" s="152"/>
      <c r="E798" s="152"/>
      <c r="F798" s="153"/>
      <c r="G798" s="153"/>
      <c r="H798" s="153"/>
      <c r="I798" s="153"/>
      <c r="J798" s="153"/>
      <c r="K798" s="153"/>
      <c r="L798" s="153"/>
      <c r="M798" s="397"/>
      <c r="N798" s="441"/>
    </row>
    <row r="799" spans="4:14" ht="18.75" customHeight="1">
      <c r="D799" s="152" t="s">
        <v>248</v>
      </c>
      <c r="E799" s="152" t="s">
        <v>57</v>
      </c>
      <c r="F799" s="153"/>
      <c r="G799" s="153"/>
      <c r="H799" s="153"/>
      <c r="I799" s="153"/>
      <c r="J799" s="153"/>
      <c r="K799" s="153"/>
      <c r="L799" s="153"/>
      <c r="M799" s="397">
        <f>M591</f>
        <v>26005.7</v>
      </c>
      <c r="N799" s="441"/>
    </row>
    <row r="800" spans="4:14" ht="18.75" customHeight="1">
      <c r="D800" s="152" t="s">
        <v>248</v>
      </c>
      <c r="E800" s="152" t="s">
        <v>72</v>
      </c>
      <c r="F800" s="153"/>
      <c r="G800" s="153"/>
      <c r="H800" s="153"/>
      <c r="I800" s="153"/>
      <c r="J800" s="153"/>
      <c r="K800" s="153"/>
      <c r="L800" s="153"/>
      <c r="M800" s="397">
        <f>M617</f>
        <v>10587.300000000001</v>
      </c>
      <c r="N800" s="441"/>
    </row>
    <row r="801" spans="4:14" ht="18.75" customHeight="1">
      <c r="D801" s="398" t="s">
        <v>248</v>
      </c>
      <c r="E801" s="398" t="s">
        <v>63</v>
      </c>
      <c r="F801" s="153"/>
      <c r="G801" s="153"/>
      <c r="H801" s="153"/>
      <c r="I801" s="153"/>
      <c r="J801" s="153"/>
      <c r="K801" s="153"/>
      <c r="L801" s="153"/>
      <c r="M801" s="399">
        <f>SUBTOTAL(9,M799:M800)</f>
        <v>36593</v>
      </c>
      <c r="N801" s="442"/>
    </row>
    <row r="802" spans="4:14" ht="18.75" customHeight="1">
      <c r="D802" s="152"/>
      <c r="E802" s="152"/>
      <c r="F802" s="153"/>
      <c r="G802" s="153"/>
      <c r="H802" s="153"/>
      <c r="I802" s="153"/>
      <c r="J802" s="153"/>
      <c r="K802" s="153"/>
      <c r="L802" s="153"/>
      <c r="M802" s="397"/>
      <c r="N802" s="441"/>
    </row>
    <row r="803" spans="4:14" ht="18.75" customHeight="1">
      <c r="D803" s="152" t="s">
        <v>125</v>
      </c>
      <c r="E803" s="152" t="s">
        <v>57</v>
      </c>
      <c r="F803" s="153"/>
      <c r="G803" s="153"/>
      <c r="H803" s="153"/>
      <c r="I803" s="153"/>
      <c r="J803" s="153"/>
      <c r="K803" s="153"/>
      <c r="L803" s="153"/>
      <c r="M803" s="397">
        <f>M177</f>
        <v>552</v>
      </c>
      <c r="N803" s="441"/>
    </row>
    <row r="804" spans="4:14" ht="18.75" customHeight="1">
      <c r="D804" s="152" t="s">
        <v>125</v>
      </c>
      <c r="E804" s="152" t="s">
        <v>84</v>
      </c>
      <c r="F804" s="153"/>
      <c r="G804" s="153"/>
      <c r="H804" s="153"/>
      <c r="I804" s="153"/>
      <c r="J804" s="153"/>
      <c r="K804" s="153"/>
      <c r="L804" s="662"/>
      <c r="M804" s="397">
        <f>M183</f>
        <v>1060</v>
      </c>
      <c r="N804" s="441"/>
    </row>
    <row r="805" spans="4:14" ht="18.75" customHeight="1">
      <c r="D805" s="152" t="s">
        <v>125</v>
      </c>
      <c r="E805" s="152" t="s">
        <v>72</v>
      </c>
      <c r="F805" s="153"/>
      <c r="G805" s="153"/>
      <c r="H805" s="153"/>
      <c r="I805" s="153"/>
      <c r="J805" s="153"/>
      <c r="K805" s="153"/>
      <c r="L805" s="153"/>
      <c r="M805" s="397">
        <f>M389+M548+M728</f>
        <v>126513</v>
      </c>
      <c r="N805" s="441"/>
    </row>
    <row r="806" spans="4:14" ht="18.75" customHeight="1">
      <c r="D806" s="152" t="s">
        <v>125</v>
      </c>
      <c r="E806" s="152" t="s">
        <v>102</v>
      </c>
      <c r="F806" s="153"/>
      <c r="G806" s="153"/>
      <c r="H806" s="153"/>
      <c r="I806" s="153"/>
      <c r="J806" s="153"/>
      <c r="K806" s="153"/>
      <c r="L806" s="153"/>
      <c r="M806" s="397">
        <f>M192+M747</f>
        <v>8520.4</v>
      </c>
      <c r="N806" s="441"/>
    </row>
    <row r="807" spans="4:14" ht="18.75" customHeight="1">
      <c r="D807" s="398" t="s">
        <v>125</v>
      </c>
      <c r="E807" s="398" t="s">
        <v>63</v>
      </c>
      <c r="F807" s="153"/>
      <c r="G807" s="153"/>
      <c r="H807" s="153"/>
      <c r="I807" s="153"/>
      <c r="J807" s="153"/>
      <c r="K807" s="153"/>
      <c r="L807" s="153"/>
      <c r="M807" s="399">
        <f>SUBTOTAL(9,M803:M806)</f>
        <v>136645.4</v>
      </c>
      <c r="N807" s="442"/>
    </row>
    <row r="808" spans="4:14" ht="18.75" customHeight="1">
      <c r="D808" s="152"/>
      <c r="E808" s="152"/>
      <c r="F808" s="153"/>
      <c r="G808" s="153"/>
      <c r="H808" s="153"/>
      <c r="I808" s="153"/>
      <c r="J808" s="153"/>
      <c r="K808" s="153"/>
      <c r="L808" s="153"/>
      <c r="M808" s="397"/>
      <c r="N808" s="441"/>
    </row>
    <row r="809" spans="4:14" ht="18.75" customHeight="1">
      <c r="D809" s="152" t="s">
        <v>88</v>
      </c>
      <c r="E809" s="152" t="s">
        <v>57</v>
      </c>
      <c r="F809" s="153"/>
      <c r="G809" s="153"/>
      <c r="H809" s="153"/>
      <c r="I809" s="153"/>
      <c r="J809" s="153"/>
      <c r="K809" s="153"/>
      <c r="L809" s="153"/>
      <c r="M809" s="397">
        <f>M645+M199</f>
        <v>38872.999999999993</v>
      </c>
      <c r="N809" s="441"/>
    </row>
    <row r="810" spans="4:14" ht="18.75" customHeight="1">
      <c r="D810" s="152" t="s">
        <v>88</v>
      </c>
      <c r="E810" s="152" t="s">
        <v>59</v>
      </c>
      <c r="F810" s="153"/>
      <c r="G810" s="153"/>
      <c r="H810" s="153"/>
      <c r="I810" s="153"/>
      <c r="J810" s="153"/>
      <c r="K810" s="153"/>
      <c r="L810" s="153"/>
      <c r="M810" s="397">
        <f>M669</f>
        <v>878.8</v>
      </c>
      <c r="N810" s="441"/>
    </row>
    <row r="811" spans="4:14" ht="18.75" customHeight="1">
      <c r="D811" s="152" t="s">
        <v>88</v>
      </c>
      <c r="E811" s="152" t="s">
        <v>86</v>
      </c>
      <c r="F811" s="153"/>
      <c r="G811" s="153"/>
      <c r="H811" s="153"/>
      <c r="I811" s="153"/>
      <c r="J811" s="153"/>
      <c r="K811" s="153"/>
      <c r="L811" s="153"/>
      <c r="M811" s="397">
        <f>M676</f>
        <v>2425.3000000000002</v>
      </c>
      <c r="N811" s="441"/>
    </row>
    <row r="812" spans="4:14" ht="18.75" customHeight="1">
      <c r="D812" s="398" t="s">
        <v>88</v>
      </c>
      <c r="E812" s="398" t="s">
        <v>63</v>
      </c>
      <c r="F812" s="153"/>
      <c r="G812" s="153"/>
      <c r="H812" s="153"/>
      <c r="I812" s="153"/>
      <c r="J812" s="153"/>
      <c r="K812" s="153"/>
      <c r="L812" s="153"/>
      <c r="M812" s="399">
        <f>SUBTOTAL(9,M809:M811)</f>
        <v>42177.1</v>
      </c>
      <c r="N812" s="442"/>
    </row>
    <row r="813" spans="4:14" ht="18.75" customHeight="1">
      <c r="D813" s="152"/>
      <c r="E813" s="152"/>
      <c r="F813" s="153"/>
      <c r="G813" s="153"/>
      <c r="H813" s="153"/>
      <c r="I813" s="153"/>
      <c r="J813" s="153"/>
      <c r="K813" s="153"/>
      <c r="L813" s="153"/>
      <c r="M813" s="397"/>
      <c r="N813" s="441"/>
    </row>
    <row r="814" spans="4:14" ht="18.75" customHeight="1">
      <c r="D814" s="152" t="s">
        <v>92</v>
      </c>
      <c r="E814" s="152" t="s">
        <v>57</v>
      </c>
      <c r="F814" s="153"/>
      <c r="G814" s="153"/>
      <c r="H814" s="153"/>
      <c r="I814" s="153"/>
      <c r="J814" s="153"/>
      <c r="K814" s="153"/>
      <c r="L814" s="153"/>
      <c r="M814" s="397">
        <f>M206</f>
        <v>16.5</v>
      </c>
      <c r="N814" s="441"/>
    </row>
    <row r="815" spans="4:14" ht="18.75" customHeight="1">
      <c r="D815" s="398" t="s">
        <v>92</v>
      </c>
      <c r="E815" s="398" t="s">
        <v>63</v>
      </c>
      <c r="F815" s="153"/>
      <c r="G815" s="153"/>
      <c r="H815" s="153"/>
      <c r="I815" s="153"/>
      <c r="J815" s="153"/>
      <c r="K815" s="153"/>
      <c r="L815" s="153"/>
      <c r="M815" s="399">
        <f>M814</f>
        <v>16.5</v>
      </c>
      <c r="N815" s="442"/>
    </row>
    <row r="816" spans="4:14" ht="18.75" customHeight="1">
      <c r="D816" s="152"/>
      <c r="E816" s="152"/>
      <c r="F816" s="153"/>
      <c r="G816" s="153"/>
      <c r="H816" s="153"/>
      <c r="I816" s="153"/>
      <c r="J816" s="153"/>
      <c r="K816" s="153"/>
      <c r="L816" s="153"/>
      <c r="M816" s="397"/>
      <c r="N816" s="441"/>
    </row>
    <row r="817" spans="2:14" ht="18.75" customHeight="1">
      <c r="D817" s="152" t="s">
        <v>109</v>
      </c>
      <c r="E817" s="152" t="s">
        <v>57</v>
      </c>
      <c r="F817" s="153"/>
      <c r="G817" s="153"/>
      <c r="H817" s="153"/>
      <c r="I817" s="153"/>
      <c r="J817" s="153"/>
      <c r="K817" s="153"/>
      <c r="L817" s="153"/>
      <c r="M817" s="397">
        <f>M271</f>
        <v>5500</v>
      </c>
      <c r="N817" s="441"/>
    </row>
    <row r="818" spans="2:14" ht="18.75" customHeight="1">
      <c r="D818" s="152" t="s">
        <v>109</v>
      </c>
      <c r="E818" s="152" t="s">
        <v>59</v>
      </c>
      <c r="F818" s="153"/>
      <c r="G818" s="153"/>
      <c r="H818" s="153"/>
      <c r="I818" s="153"/>
      <c r="J818" s="153"/>
      <c r="K818" s="153"/>
      <c r="L818" s="153"/>
      <c r="M818" s="397"/>
      <c r="N818" s="441"/>
    </row>
    <row r="819" spans="2:14" ht="18.75" customHeight="1">
      <c r="D819" s="152" t="s">
        <v>109</v>
      </c>
      <c r="E819" s="152" t="s">
        <v>84</v>
      </c>
      <c r="F819" s="153"/>
      <c r="G819" s="153"/>
      <c r="H819" s="153"/>
      <c r="I819" s="153"/>
      <c r="J819" s="153"/>
      <c r="K819" s="153"/>
      <c r="L819" s="153"/>
      <c r="M819" s="397">
        <f>M213+M277</f>
        <v>21367.421999999999</v>
      </c>
      <c r="N819" s="441"/>
    </row>
    <row r="820" spans="2:14" ht="18.75" customHeight="1">
      <c r="D820" s="398" t="s">
        <v>109</v>
      </c>
      <c r="E820" s="398" t="s">
        <v>63</v>
      </c>
      <c r="F820" s="153"/>
      <c r="G820" s="153"/>
      <c r="H820" s="153"/>
      <c r="I820" s="153"/>
      <c r="J820" s="153"/>
      <c r="K820" s="153"/>
      <c r="L820" s="153"/>
      <c r="M820" s="399">
        <f t="shared" ref="M820" si="185">SUBTOTAL(9,M817:M819)</f>
        <v>26867.421999999999</v>
      </c>
      <c r="N820" s="442"/>
    </row>
    <row r="821" spans="2:14" ht="18.75" customHeight="1">
      <c r="D821" s="239"/>
      <c r="E821" s="152"/>
      <c r="F821" s="153"/>
      <c r="G821" s="153"/>
      <c r="H821" s="153"/>
      <c r="I821" s="153"/>
      <c r="J821" s="153"/>
      <c r="K821" s="153"/>
      <c r="L821" s="153"/>
      <c r="M821" s="708">
        <f>M774+M778+M783+M789+M797+M801+M807+M812+M815+M820</f>
        <v>1681843.9749399999</v>
      </c>
      <c r="N821" s="242"/>
    </row>
    <row r="822" spans="2:14" ht="18.75" customHeight="1">
      <c r="D822" s="240"/>
      <c r="E822" s="240"/>
      <c r="F822" s="163"/>
      <c r="G822" s="163"/>
      <c r="H822" s="163"/>
      <c r="I822" s="163"/>
      <c r="J822" s="163"/>
      <c r="K822" s="163"/>
      <c r="L822" s="163"/>
      <c r="M822" s="241"/>
      <c r="N822" s="242"/>
    </row>
    <row r="823" spans="2:14" ht="18.75" customHeight="1">
      <c r="B823" s="112" t="s">
        <v>452</v>
      </c>
      <c r="D823" s="240"/>
      <c r="E823" s="240"/>
      <c r="F823" s="163"/>
      <c r="G823" s="163"/>
      <c r="H823" s="163"/>
      <c r="I823" s="163"/>
      <c r="J823" s="163"/>
      <c r="K823" s="163"/>
      <c r="L823" s="163"/>
      <c r="M823" s="241"/>
      <c r="N823" s="242"/>
    </row>
    <row r="824" spans="2:14" ht="18.75" customHeight="1">
      <c r="B824" s="112" t="s">
        <v>451</v>
      </c>
      <c r="D824" s="240"/>
      <c r="E824" s="240"/>
      <c r="F824" s="163"/>
      <c r="G824" s="163"/>
      <c r="H824" s="163"/>
      <c r="I824" s="163"/>
      <c r="J824" s="163"/>
      <c r="K824" s="163"/>
      <c r="L824" s="163"/>
      <c r="M824" s="241"/>
      <c r="N824" s="242"/>
    </row>
    <row r="825" spans="2:14" ht="18.75" customHeight="1">
      <c r="D825" s="240"/>
      <c r="E825" s="240"/>
      <c r="F825" s="163"/>
      <c r="G825" s="163"/>
      <c r="H825" s="163"/>
      <c r="I825" s="163"/>
      <c r="J825" s="163"/>
      <c r="K825" s="163"/>
      <c r="L825" s="163"/>
      <c r="M825" s="243"/>
      <c r="N825" s="242"/>
    </row>
    <row r="826" spans="2:14" ht="18.75" customHeight="1">
      <c r="D826" s="240"/>
      <c r="E826" s="240"/>
      <c r="F826" s="163"/>
      <c r="G826" s="163"/>
      <c r="H826" s="163"/>
      <c r="I826" s="163"/>
      <c r="J826" s="163"/>
      <c r="K826" s="163"/>
      <c r="L826" s="163"/>
      <c r="M826" s="244"/>
      <c r="N826" s="242"/>
    </row>
    <row r="827" spans="2:14" ht="15" customHeight="1">
      <c r="D827" s="242"/>
      <c r="E827" s="242"/>
      <c r="F827" s="242"/>
      <c r="G827" s="242"/>
      <c r="H827" s="242"/>
      <c r="I827" s="242"/>
      <c r="J827" s="242"/>
      <c r="K827" s="242"/>
      <c r="L827" s="242"/>
      <c r="M827" s="244"/>
      <c r="N827" s="242"/>
    </row>
    <row r="828" spans="2:14" ht="15" customHeight="1">
      <c r="D828" s="242"/>
      <c r="E828" s="242"/>
      <c r="F828" s="242"/>
      <c r="G828" s="242"/>
      <c r="H828" s="242"/>
      <c r="I828" s="242"/>
      <c r="J828" s="242"/>
      <c r="K828" s="242"/>
      <c r="L828" s="242"/>
      <c r="M828" s="244"/>
      <c r="N828" s="242"/>
    </row>
    <row r="829" spans="2:14" ht="15" customHeight="1">
      <c r="D829" s="242"/>
      <c r="E829" s="242"/>
      <c r="F829" s="242"/>
      <c r="G829" s="242"/>
      <c r="H829" s="242"/>
      <c r="I829" s="242"/>
      <c r="J829" s="242"/>
      <c r="K829" s="242"/>
      <c r="L829" s="242"/>
      <c r="M829" s="244"/>
      <c r="N829" s="242"/>
    </row>
    <row r="830" spans="2:14" ht="15" customHeight="1">
      <c r="D830" s="242"/>
      <c r="E830" s="242"/>
      <c r="F830" s="242"/>
      <c r="G830" s="242"/>
      <c r="H830" s="242"/>
      <c r="I830" s="242"/>
      <c r="J830" s="242"/>
      <c r="K830" s="242"/>
      <c r="L830" s="242"/>
      <c r="M830" s="244"/>
      <c r="N830" s="242"/>
    </row>
    <row r="831" spans="2:14" ht="15" customHeight="1">
      <c r="D831" s="242"/>
      <c r="E831" s="242"/>
      <c r="F831" s="242"/>
      <c r="G831" s="242"/>
      <c r="H831" s="242"/>
      <c r="I831" s="242"/>
      <c r="J831" s="242"/>
      <c r="K831" s="242"/>
      <c r="L831" s="242"/>
      <c r="M831" s="244"/>
      <c r="N831" s="242"/>
    </row>
    <row r="832" spans="2:14" ht="15" customHeight="1">
      <c r="D832" s="242"/>
      <c r="E832" s="242"/>
      <c r="F832" s="242"/>
      <c r="G832" s="242"/>
      <c r="H832" s="242"/>
      <c r="I832" s="242"/>
      <c r="J832" s="242"/>
      <c r="K832" s="242"/>
      <c r="L832" s="242"/>
      <c r="M832" s="244"/>
      <c r="N832" s="242"/>
    </row>
    <row r="833" spans="4:14" ht="15" customHeight="1">
      <c r="D833" s="242"/>
      <c r="E833" s="242"/>
      <c r="F833" s="242"/>
      <c r="G833" s="242"/>
      <c r="H833" s="242"/>
      <c r="I833" s="242"/>
      <c r="J833" s="242"/>
      <c r="K833" s="242"/>
      <c r="L833" s="242"/>
      <c r="M833" s="244"/>
      <c r="N833" s="242"/>
    </row>
    <row r="834" spans="4:14" ht="15" customHeight="1">
      <c r="D834" s="242"/>
      <c r="E834" s="242"/>
      <c r="F834" s="242"/>
      <c r="G834" s="242"/>
      <c r="H834" s="242"/>
      <c r="I834" s="242"/>
      <c r="J834" s="242"/>
      <c r="K834" s="242"/>
      <c r="L834" s="242"/>
      <c r="M834" s="244"/>
      <c r="N834" s="242"/>
    </row>
    <row r="835" spans="4:14" ht="15" customHeight="1">
      <c r="D835" s="242"/>
      <c r="E835" s="242"/>
      <c r="F835" s="242"/>
      <c r="G835" s="242"/>
      <c r="H835" s="242"/>
      <c r="I835" s="242"/>
      <c r="J835" s="242"/>
      <c r="K835" s="242"/>
      <c r="L835" s="242"/>
      <c r="M835" s="244"/>
      <c r="N835" s="242"/>
    </row>
    <row r="836" spans="4:14" ht="15" customHeight="1">
      <c r="D836" s="242"/>
      <c r="E836" s="242"/>
      <c r="F836" s="242"/>
      <c r="G836" s="242"/>
      <c r="H836" s="242"/>
      <c r="I836" s="242"/>
      <c r="J836" s="242"/>
      <c r="K836" s="242"/>
      <c r="L836" s="242"/>
      <c r="M836" s="244"/>
      <c r="N836" s="242"/>
    </row>
    <row r="837" spans="4:14" ht="15" customHeight="1">
      <c r="D837" s="242"/>
      <c r="E837" s="242"/>
      <c r="F837" s="242"/>
      <c r="G837" s="242"/>
      <c r="H837" s="242"/>
      <c r="I837" s="242"/>
      <c r="J837" s="242"/>
      <c r="K837" s="242"/>
      <c r="L837" s="242"/>
      <c r="M837" s="244"/>
      <c r="N837" s="242"/>
    </row>
    <row r="838" spans="4:14" ht="15" customHeight="1">
      <c r="D838" s="242"/>
      <c r="E838" s="242"/>
      <c r="F838" s="242"/>
      <c r="G838" s="242"/>
      <c r="H838" s="242"/>
      <c r="I838" s="242"/>
      <c r="J838" s="242"/>
      <c r="K838" s="242"/>
      <c r="L838" s="242"/>
      <c r="M838" s="244"/>
      <c r="N838" s="242"/>
    </row>
    <row r="839" spans="4:14" ht="15" customHeight="1">
      <c r="D839" s="242"/>
      <c r="E839" s="242"/>
      <c r="F839" s="242"/>
      <c r="G839" s="242"/>
      <c r="H839" s="242"/>
      <c r="I839" s="242"/>
      <c r="J839" s="242"/>
      <c r="K839" s="242"/>
      <c r="L839" s="242"/>
      <c r="M839" s="244"/>
      <c r="N839" s="242"/>
    </row>
    <row r="840" spans="4:14" ht="15" customHeight="1">
      <c r="D840" s="242"/>
      <c r="E840" s="242"/>
      <c r="F840" s="242"/>
      <c r="G840" s="242"/>
      <c r="H840" s="242"/>
      <c r="I840" s="242"/>
      <c r="J840" s="242"/>
      <c r="K840" s="242"/>
      <c r="L840" s="242"/>
      <c r="M840" s="244"/>
      <c r="N840" s="242"/>
    </row>
    <row r="841" spans="4:14" ht="15" customHeight="1">
      <c r="D841" s="242"/>
      <c r="E841" s="242"/>
      <c r="F841" s="242"/>
      <c r="G841" s="242"/>
      <c r="H841" s="242"/>
      <c r="I841" s="242"/>
      <c r="J841" s="242"/>
      <c r="K841" s="242"/>
      <c r="L841" s="242"/>
      <c r="M841" s="244"/>
      <c r="N841" s="242"/>
    </row>
    <row r="842" spans="4:14" ht="15" customHeight="1">
      <c r="D842" s="242"/>
      <c r="E842" s="242"/>
      <c r="F842" s="242"/>
      <c r="G842" s="242"/>
      <c r="H842" s="242"/>
      <c r="I842" s="242"/>
      <c r="J842" s="242"/>
      <c r="K842" s="242"/>
      <c r="L842" s="242"/>
      <c r="M842" s="244"/>
      <c r="N842" s="242"/>
    </row>
    <row r="843" spans="4:14" ht="15" customHeight="1">
      <c r="D843" s="242"/>
      <c r="E843" s="242"/>
      <c r="F843" s="242"/>
      <c r="G843" s="242"/>
      <c r="H843" s="242"/>
      <c r="I843" s="242"/>
      <c r="J843" s="242"/>
      <c r="K843" s="242"/>
      <c r="L843" s="242"/>
      <c r="M843" s="244"/>
      <c r="N843" s="242"/>
    </row>
    <row r="844" spans="4:14" ht="15" customHeight="1">
      <c r="D844" s="242"/>
      <c r="E844" s="242"/>
      <c r="F844" s="242"/>
      <c r="G844" s="242"/>
      <c r="H844" s="242"/>
      <c r="I844" s="242"/>
      <c r="J844" s="242"/>
      <c r="K844" s="242"/>
      <c r="L844" s="242"/>
      <c r="M844" s="244"/>
      <c r="N844" s="242"/>
    </row>
    <row r="845" spans="4:14" ht="15" customHeight="1">
      <c r="D845" s="242"/>
      <c r="E845" s="242"/>
      <c r="F845" s="242"/>
      <c r="G845" s="242"/>
      <c r="H845" s="242"/>
      <c r="I845" s="242"/>
      <c r="J845" s="242"/>
      <c r="K845" s="242"/>
      <c r="L845" s="242"/>
      <c r="M845" s="244"/>
      <c r="N845" s="242"/>
    </row>
    <row r="846" spans="4:14" ht="15" customHeight="1">
      <c r="D846" s="242"/>
      <c r="E846" s="242"/>
      <c r="F846" s="242"/>
      <c r="G846" s="242"/>
      <c r="H846" s="242"/>
      <c r="I846" s="242"/>
      <c r="J846" s="242"/>
      <c r="K846" s="242"/>
      <c r="L846" s="242"/>
      <c r="M846" s="244"/>
      <c r="N846" s="242"/>
    </row>
    <row r="847" spans="4:14" ht="15" customHeight="1">
      <c r="D847" s="242"/>
      <c r="E847" s="242"/>
      <c r="F847" s="242"/>
      <c r="G847" s="242"/>
      <c r="H847" s="242"/>
      <c r="I847" s="242"/>
      <c r="J847" s="242"/>
      <c r="K847" s="242"/>
      <c r="L847" s="242"/>
      <c r="M847" s="244"/>
      <c r="N847" s="242"/>
    </row>
    <row r="848" spans="4:14" ht="15" customHeight="1">
      <c r="D848" s="242"/>
      <c r="E848" s="242"/>
      <c r="F848" s="242"/>
      <c r="G848" s="242"/>
      <c r="H848" s="242"/>
      <c r="I848" s="242"/>
      <c r="J848" s="242"/>
      <c r="K848" s="242"/>
      <c r="L848" s="242"/>
      <c r="M848" s="244"/>
      <c r="N848" s="242"/>
    </row>
    <row r="849" spans="4:14" ht="15" customHeight="1">
      <c r="D849" s="242"/>
      <c r="E849" s="242"/>
      <c r="F849" s="242"/>
      <c r="G849" s="242"/>
      <c r="H849" s="242"/>
      <c r="I849" s="242"/>
      <c r="J849" s="242"/>
      <c r="K849" s="242"/>
      <c r="L849" s="242"/>
      <c r="M849" s="244"/>
      <c r="N849" s="242"/>
    </row>
    <row r="850" spans="4:14" ht="15" customHeight="1">
      <c r="D850" s="242"/>
      <c r="E850" s="242"/>
      <c r="F850" s="242"/>
      <c r="G850" s="242"/>
      <c r="H850" s="242"/>
      <c r="I850" s="242"/>
      <c r="J850" s="242"/>
      <c r="K850" s="242"/>
      <c r="L850" s="242"/>
      <c r="M850" s="244"/>
      <c r="N850" s="242"/>
    </row>
    <row r="851" spans="4:14" ht="15" customHeight="1">
      <c r="D851" s="242"/>
      <c r="E851" s="242"/>
      <c r="F851" s="242"/>
      <c r="G851" s="242"/>
      <c r="H851" s="242"/>
      <c r="I851" s="242"/>
      <c r="J851" s="242"/>
      <c r="K851" s="242"/>
      <c r="L851" s="242"/>
      <c r="M851" s="244"/>
      <c r="N851" s="242"/>
    </row>
    <row r="852" spans="4:14" ht="15" customHeight="1">
      <c r="D852" s="242"/>
      <c r="E852" s="242"/>
      <c r="F852" s="242"/>
      <c r="G852" s="242"/>
      <c r="H852" s="242"/>
      <c r="I852" s="242"/>
      <c r="J852" s="242"/>
      <c r="K852" s="242"/>
      <c r="L852" s="242"/>
      <c r="M852" s="244"/>
      <c r="N852" s="242"/>
    </row>
    <row r="853" spans="4:14" ht="15" customHeight="1">
      <c r="D853" s="242"/>
      <c r="E853" s="242"/>
      <c r="F853" s="242"/>
      <c r="G853" s="242"/>
      <c r="H853" s="242"/>
      <c r="I853" s="242"/>
      <c r="J853" s="242"/>
      <c r="K853" s="242"/>
      <c r="L853" s="242"/>
      <c r="M853" s="244"/>
      <c r="N853" s="242"/>
    </row>
    <row r="854" spans="4:14" ht="15" customHeight="1">
      <c r="D854" s="242"/>
      <c r="E854" s="242"/>
      <c r="F854" s="242"/>
      <c r="G854" s="242"/>
      <c r="H854" s="242"/>
      <c r="I854" s="242"/>
      <c r="J854" s="242"/>
      <c r="K854" s="242"/>
      <c r="L854" s="242"/>
      <c r="M854" s="244"/>
      <c r="N854" s="242"/>
    </row>
    <row r="855" spans="4:14" ht="15" customHeight="1">
      <c r="D855" s="242"/>
      <c r="E855" s="242"/>
      <c r="F855" s="242"/>
      <c r="G855" s="242"/>
      <c r="H855" s="242"/>
      <c r="I855" s="242"/>
      <c r="J855" s="242"/>
      <c r="K855" s="242"/>
      <c r="L855" s="242"/>
      <c r="M855" s="244"/>
      <c r="N855" s="242"/>
    </row>
    <row r="856" spans="4:14" ht="15" customHeight="1">
      <c r="D856" s="242"/>
      <c r="E856" s="242"/>
      <c r="F856" s="242"/>
      <c r="G856" s="242"/>
      <c r="H856" s="242"/>
      <c r="I856" s="242"/>
      <c r="J856" s="242"/>
      <c r="K856" s="242"/>
      <c r="L856" s="242"/>
      <c r="M856" s="244"/>
      <c r="N856" s="242"/>
    </row>
    <row r="857" spans="4:14" ht="15" customHeight="1">
      <c r="D857" s="242"/>
      <c r="E857" s="242"/>
      <c r="F857" s="242"/>
      <c r="G857" s="242"/>
      <c r="H857" s="242"/>
      <c r="I857" s="242"/>
      <c r="J857" s="242"/>
      <c r="K857" s="242"/>
      <c r="L857" s="242"/>
      <c r="M857" s="244"/>
      <c r="N857" s="242"/>
    </row>
    <row r="858" spans="4:14" ht="15" customHeight="1">
      <c r="D858" s="242"/>
      <c r="E858" s="242"/>
      <c r="F858" s="242"/>
      <c r="G858" s="242"/>
      <c r="H858" s="242"/>
      <c r="I858" s="242"/>
      <c r="J858" s="242"/>
      <c r="K858" s="242"/>
      <c r="L858" s="242"/>
      <c r="M858" s="244"/>
      <c r="N858" s="242"/>
    </row>
    <row r="859" spans="4:14" ht="15" customHeight="1">
      <c r="D859" s="242"/>
      <c r="E859" s="242"/>
      <c r="F859" s="242"/>
      <c r="G859" s="242"/>
      <c r="H859" s="242"/>
      <c r="I859" s="242"/>
      <c r="J859" s="242"/>
      <c r="K859" s="242"/>
      <c r="L859" s="242"/>
      <c r="M859" s="244"/>
      <c r="N859" s="242"/>
    </row>
    <row r="860" spans="4:14" ht="15" customHeight="1">
      <c r="D860" s="242"/>
      <c r="E860" s="242"/>
      <c r="F860" s="242"/>
      <c r="G860" s="242"/>
      <c r="H860" s="242"/>
      <c r="I860" s="242"/>
      <c r="J860" s="242"/>
      <c r="K860" s="242"/>
      <c r="L860" s="242"/>
      <c r="M860" s="244"/>
      <c r="N860" s="242"/>
    </row>
    <row r="861" spans="4:14" ht="15" customHeight="1">
      <c r="D861" s="242"/>
      <c r="E861" s="242"/>
      <c r="F861" s="242"/>
      <c r="G861" s="242"/>
      <c r="H861" s="242"/>
      <c r="I861" s="242"/>
      <c r="J861" s="242"/>
      <c r="K861" s="242"/>
      <c r="L861" s="242"/>
      <c r="M861" s="244"/>
      <c r="N861" s="242"/>
    </row>
    <row r="862" spans="4:14" ht="15" customHeight="1">
      <c r="D862" s="242"/>
      <c r="E862" s="242"/>
      <c r="F862" s="242"/>
      <c r="G862" s="242"/>
      <c r="H862" s="242"/>
      <c r="I862" s="242"/>
      <c r="J862" s="242"/>
      <c r="K862" s="242"/>
      <c r="L862" s="242"/>
      <c r="M862" s="244"/>
      <c r="N862" s="242"/>
    </row>
    <row r="863" spans="4:14" ht="15" customHeight="1">
      <c r="D863" s="242"/>
      <c r="E863" s="242"/>
      <c r="F863" s="242"/>
      <c r="G863" s="242"/>
      <c r="H863" s="242"/>
      <c r="I863" s="242"/>
      <c r="J863" s="242"/>
      <c r="K863" s="242"/>
      <c r="L863" s="242"/>
      <c r="M863" s="244"/>
      <c r="N863" s="242"/>
    </row>
    <row r="864" spans="4:14" ht="15" customHeight="1">
      <c r="D864" s="242"/>
      <c r="E864" s="242"/>
      <c r="F864" s="242"/>
      <c r="G864" s="242"/>
      <c r="H864" s="242"/>
      <c r="I864" s="242"/>
      <c r="J864" s="242"/>
      <c r="K864" s="242"/>
      <c r="L864" s="242"/>
      <c r="M864" s="244"/>
      <c r="N864" s="242"/>
    </row>
    <row r="865" spans="4:14" ht="15" customHeight="1">
      <c r="D865" s="242"/>
      <c r="E865" s="242"/>
      <c r="F865" s="242"/>
      <c r="G865" s="242"/>
      <c r="H865" s="242"/>
      <c r="I865" s="242"/>
      <c r="J865" s="242"/>
      <c r="K865" s="242"/>
      <c r="L865" s="242"/>
      <c r="M865" s="244"/>
      <c r="N865" s="242"/>
    </row>
    <row r="866" spans="4:14" ht="15" customHeight="1">
      <c r="D866" s="242"/>
      <c r="E866" s="242"/>
      <c r="F866" s="242"/>
      <c r="G866" s="242"/>
      <c r="H866" s="242"/>
      <c r="I866" s="242"/>
      <c r="J866" s="242"/>
      <c r="K866" s="242"/>
      <c r="L866" s="242"/>
      <c r="M866" s="244"/>
      <c r="N866" s="242"/>
    </row>
    <row r="867" spans="4:14" ht="15" customHeight="1">
      <c r="D867" s="242"/>
      <c r="E867" s="242"/>
      <c r="F867" s="242"/>
      <c r="G867" s="242"/>
      <c r="H867" s="242"/>
      <c r="I867" s="242"/>
      <c r="J867" s="242"/>
      <c r="K867" s="242"/>
      <c r="L867" s="242"/>
      <c r="M867" s="244"/>
      <c r="N867" s="242"/>
    </row>
    <row r="868" spans="4:14" ht="15" customHeight="1">
      <c r="D868" s="242"/>
      <c r="E868" s="242"/>
      <c r="F868" s="242"/>
      <c r="G868" s="242"/>
      <c r="H868" s="242"/>
      <c r="I868" s="242"/>
      <c r="J868" s="242"/>
      <c r="K868" s="242"/>
      <c r="L868" s="242"/>
      <c r="M868" s="244"/>
      <c r="N868" s="242"/>
    </row>
    <row r="869" spans="4:14" ht="15" customHeight="1">
      <c r="D869" s="242"/>
      <c r="E869" s="242"/>
      <c r="F869" s="242"/>
      <c r="G869" s="242"/>
      <c r="H869" s="242"/>
      <c r="I869" s="242"/>
      <c r="J869" s="242"/>
      <c r="K869" s="242"/>
      <c r="L869" s="242"/>
      <c r="M869" s="244"/>
      <c r="N869" s="242"/>
    </row>
    <row r="870" spans="4:14" ht="15" customHeight="1">
      <c r="D870" s="242"/>
      <c r="E870" s="242"/>
      <c r="F870" s="242"/>
      <c r="G870" s="242"/>
      <c r="H870" s="242"/>
      <c r="I870" s="242"/>
      <c r="J870" s="242"/>
      <c r="K870" s="242"/>
      <c r="L870" s="242"/>
      <c r="M870" s="244"/>
      <c r="N870" s="242"/>
    </row>
    <row r="871" spans="4:14" ht="15" customHeight="1">
      <c r="D871" s="242"/>
      <c r="E871" s="242"/>
      <c r="F871" s="242"/>
      <c r="G871" s="242"/>
      <c r="H871" s="242"/>
      <c r="I871" s="242"/>
      <c r="J871" s="242"/>
      <c r="K871" s="242"/>
      <c r="L871" s="242"/>
      <c r="M871" s="244"/>
      <c r="N871" s="242"/>
    </row>
    <row r="872" spans="4:14" ht="15" customHeight="1">
      <c r="D872" s="242"/>
      <c r="E872" s="242"/>
      <c r="F872" s="242"/>
      <c r="G872" s="242"/>
      <c r="H872" s="242"/>
      <c r="I872" s="242"/>
      <c r="J872" s="242"/>
      <c r="K872" s="242"/>
      <c r="L872" s="242"/>
      <c r="M872" s="244"/>
      <c r="N872" s="242"/>
    </row>
    <row r="873" spans="4:14" ht="15" customHeight="1">
      <c r="D873" s="242"/>
      <c r="E873" s="242"/>
      <c r="F873" s="242"/>
      <c r="G873" s="242"/>
      <c r="H873" s="242"/>
      <c r="I873" s="242"/>
      <c r="J873" s="242"/>
      <c r="K873" s="242"/>
      <c r="L873" s="242"/>
      <c r="M873" s="244"/>
      <c r="N873" s="242"/>
    </row>
    <row r="874" spans="4:14" ht="15" customHeight="1">
      <c r="D874" s="242"/>
      <c r="E874" s="242"/>
      <c r="F874" s="242"/>
      <c r="G874" s="242"/>
      <c r="H874" s="242"/>
      <c r="I874" s="242"/>
      <c r="J874" s="242"/>
      <c r="K874" s="242"/>
      <c r="L874" s="242"/>
      <c r="M874" s="244"/>
      <c r="N874" s="242"/>
    </row>
    <row r="875" spans="4:14" ht="15" customHeight="1">
      <c r="D875" s="242"/>
      <c r="E875" s="242"/>
      <c r="F875" s="242"/>
      <c r="G875" s="242"/>
      <c r="H875" s="242"/>
      <c r="I875" s="242"/>
      <c r="J875" s="242"/>
      <c r="K875" s="242"/>
      <c r="L875" s="242"/>
      <c r="M875" s="244"/>
      <c r="N875" s="242"/>
    </row>
  </sheetData>
  <autoFilter ref="A4:Y875"/>
  <mergeCells count="11">
    <mergeCell ref="A8:M8"/>
    <mergeCell ref="F13:I13"/>
    <mergeCell ref="A11:A12"/>
    <mergeCell ref="B11:B12"/>
    <mergeCell ref="J11:J12"/>
    <mergeCell ref="F11:I12"/>
    <mergeCell ref="E11:E12"/>
    <mergeCell ref="D11:D12"/>
    <mergeCell ref="C11:C12"/>
    <mergeCell ref="K11:K12"/>
    <mergeCell ref="L11:M11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6" fitToHeight="0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Q634"/>
  <sheetViews>
    <sheetView zoomScale="80" zoomScaleNormal="80" workbookViewId="0">
      <pane ySplit="4" topLeftCell="A5" activePane="bottomLeft" state="frozen"/>
      <selection activeCell="E16" sqref="E16"/>
      <selection pane="bottomLeft" activeCell="N2" sqref="N2"/>
    </sheetView>
  </sheetViews>
  <sheetFormatPr defaultColWidth="8.85546875" defaultRowHeight="15"/>
  <cols>
    <col min="1" max="1" width="4.7109375" style="112" customWidth="1"/>
    <col min="2" max="2" width="54.42578125" style="112" customWidth="1"/>
    <col min="3" max="3" width="5.5703125" style="112" customWidth="1"/>
    <col min="4" max="4" width="3.7109375" style="112" customWidth="1"/>
    <col min="5" max="5" width="4" style="112" customWidth="1"/>
    <col min="6" max="6" width="3.28515625" style="112" customWidth="1"/>
    <col min="7" max="7" width="2.42578125" style="112" customWidth="1"/>
    <col min="8" max="8" width="2.7109375" style="112" customWidth="1"/>
    <col min="9" max="9" width="7.7109375" style="112" customWidth="1"/>
    <col min="10" max="10" width="5" style="112" customWidth="1"/>
    <col min="11" max="11" width="17.28515625" style="112" hidden="1" customWidth="1"/>
    <col min="12" max="12" width="13.28515625" style="112" customWidth="1"/>
    <col min="13" max="13" width="16.42578125" style="352" customWidth="1"/>
    <col min="14" max="14" width="16" style="352" customWidth="1"/>
    <col min="15" max="16" width="8.85546875" style="112" customWidth="1"/>
    <col min="17" max="17" width="19.28515625" style="112" customWidth="1"/>
    <col min="18" max="16384" width="8.85546875" style="112"/>
  </cols>
  <sheetData>
    <row r="1" spans="1:14" ht="18.75">
      <c r="H1" s="165"/>
      <c r="I1" s="172"/>
      <c r="J1" s="165"/>
      <c r="K1" s="165"/>
      <c r="L1" s="165"/>
      <c r="M1" s="165"/>
      <c r="N1" s="172" t="s">
        <v>569</v>
      </c>
    </row>
    <row r="2" spans="1:14" ht="18.75" customHeight="1">
      <c r="H2" s="165"/>
      <c r="I2" s="172"/>
      <c r="J2" s="165"/>
      <c r="K2" s="165"/>
      <c r="L2" s="165"/>
      <c r="M2" s="165"/>
      <c r="N2" s="172" t="s">
        <v>1040</v>
      </c>
    </row>
    <row r="4" spans="1:14" ht="18.75">
      <c r="N4" s="172" t="s">
        <v>493</v>
      </c>
    </row>
    <row r="5" spans="1:14" ht="18.75">
      <c r="N5" s="455" t="s">
        <v>914</v>
      </c>
    </row>
    <row r="8" spans="1:14" ht="17.45" customHeight="1">
      <c r="A8" s="856" t="s">
        <v>781</v>
      </c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</row>
    <row r="9" spans="1:14" ht="17.45" customHeight="1">
      <c r="A9" s="727"/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</row>
    <row r="10" spans="1:14" ht="17.45" customHeight="1">
      <c r="A10" s="727"/>
      <c r="B10" s="727"/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7"/>
    </row>
    <row r="11" spans="1:14" ht="18.75">
      <c r="A11" s="113"/>
      <c r="B11" s="114"/>
      <c r="C11" s="115"/>
      <c r="D11" s="115"/>
      <c r="E11" s="115"/>
      <c r="F11" s="115"/>
      <c r="G11" s="113"/>
      <c r="H11" s="116"/>
      <c r="I11" s="117"/>
      <c r="J11" s="118"/>
      <c r="K11" s="118"/>
      <c r="L11" s="118"/>
      <c r="N11" s="353" t="s">
        <v>42</v>
      </c>
    </row>
    <row r="12" spans="1:14" ht="18" customHeight="1">
      <c r="A12" s="885" t="s">
        <v>43</v>
      </c>
      <c r="B12" s="886" t="s">
        <v>44</v>
      </c>
      <c r="C12" s="887" t="s">
        <v>45</v>
      </c>
      <c r="D12" s="887" t="s">
        <v>46</v>
      </c>
      <c r="E12" s="887" t="s">
        <v>47</v>
      </c>
      <c r="F12" s="888" t="s">
        <v>48</v>
      </c>
      <c r="G12" s="887"/>
      <c r="H12" s="887"/>
      <c r="I12" s="887"/>
      <c r="J12" s="887" t="s">
        <v>49</v>
      </c>
      <c r="K12" s="892" t="s">
        <v>915</v>
      </c>
      <c r="L12" s="891" t="s">
        <v>580</v>
      </c>
      <c r="M12" s="884"/>
      <c r="N12" s="889" t="s">
        <v>773</v>
      </c>
    </row>
    <row r="13" spans="1:14" ht="34.9" customHeight="1">
      <c r="A13" s="885"/>
      <c r="B13" s="886"/>
      <c r="C13" s="887"/>
      <c r="D13" s="887"/>
      <c r="E13" s="887"/>
      <c r="F13" s="888"/>
      <c r="G13" s="887"/>
      <c r="H13" s="887"/>
      <c r="I13" s="887"/>
      <c r="J13" s="887"/>
      <c r="K13" s="893"/>
      <c r="L13" s="647" t="s">
        <v>916</v>
      </c>
      <c r="M13" s="648" t="s">
        <v>917</v>
      </c>
      <c r="N13" s="890"/>
    </row>
    <row r="14" spans="1:14" ht="18.75">
      <c r="A14" s="119">
        <v>1</v>
      </c>
      <c r="B14" s="120">
        <v>2</v>
      </c>
      <c r="C14" s="121" t="s">
        <v>50</v>
      </c>
      <c r="D14" s="121" t="s">
        <v>51</v>
      </c>
      <c r="E14" s="121" t="s">
        <v>52</v>
      </c>
      <c r="F14" s="867" t="s">
        <v>53</v>
      </c>
      <c r="G14" s="867"/>
      <c r="H14" s="867"/>
      <c r="I14" s="868"/>
      <c r="J14" s="121" t="s">
        <v>54</v>
      </c>
      <c r="K14" s="121"/>
      <c r="L14" s="121" t="s">
        <v>874</v>
      </c>
      <c r="M14" s="156">
        <v>9</v>
      </c>
      <c r="N14" s="156">
        <v>10</v>
      </c>
    </row>
    <row r="15" spans="1:14" ht="25.15" customHeight="1">
      <c r="A15" s="122">
        <v>1</v>
      </c>
      <c r="B15" s="354" t="s">
        <v>224</v>
      </c>
      <c r="C15" s="124"/>
      <c r="D15" s="125"/>
      <c r="E15" s="125"/>
      <c r="F15" s="127"/>
      <c r="G15" s="127"/>
      <c r="H15" s="127"/>
      <c r="I15" s="128"/>
      <c r="J15" s="125"/>
      <c r="K15" s="711" t="e">
        <f>K17+K177+K204+K214+K400+K455+K495+K527+K565+K279</f>
        <v>#REF!</v>
      </c>
      <c r="L15" s="347">
        <f>L17+L177+L204+L214+L400+L455+L495+L527+L565+L279</f>
        <v>0</v>
      </c>
      <c r="M15" s="347">
        <f>M17+M177+M204+M214+M400+M455+M495+M527+M565+M279</f>
        <v>1571867.3</v>
      </c>
      <c r="N15" s="347">
        <f>N17+N177+N204+N214+N400+N455+N495+N527+N565+N279</f>
        <v>1512134.5</v>
      </c>
    </row>
    <row r="16" spans="1:14" ht="25.15" customHeight="1">
      <c r="A16" s="122"/>
      <c r="B16" s="123"/>
      <c r="C16" s="124"/>
      <c r="D16" s="125"/>
      <c r="E16" s="125"/>
      <c r="F16" s="127"/>
      <c r="G16" s="127"/>
      <c r="H16" s="127"/>
      <c r="I16" s="128"/>
      <c r="J16" s="125"/>
      <c r="K16" s="711"/>
      <c r="L16" s="347"/>
      <c r="M16" s="347"/>
      <c r="N16" s="347"/>
    </row>
    <row r="17" spans="1:14" s="355" customFormat="1" ht="37.5">
      <c r="A17" s="350">
        <v>1</v>
      </c>
      <c r="B17" s="129" t="s">
        <v>1</v>
      </c>
      <c r="C17" s="130" t="s">
        <v>3</v>
      </c>
      <c r="D17" s="131"/>
      <c r="E17" s="131"/>
      <c r="F17" s="132"/>
      <c r="G17" s="133"/>
      <c r="H17" s="133"/>
      <c r="I17" s="134"/>
      <c r="J17" s="131"/>
      <c r="K17" s="712" t="e">
        <f>K18+K82+K108+K156+K169+K147</f>
        <v>#REF!</v>
      </c>
      <c r="L17" s="160">
        <f>L18+L82+L108+L156+L169+L147</f>
        <v>0</v>
      </c>
      <c r="M17" s="160">
        <f>M18+M82+M108+M156+M169+M147</f>
        <v>121149.39999999998</v>
      </c>
      <c r="N17" s="160">
        <f>N18+N82+N108+N156+N169+N147</f>
        <v>147816.1</v>
      </c>
    </row>
    <row r="18" spans="1:14" s="356" customFormat="1" ht="18.75">
      <c r="A18" s="122"/>
      <c r="B18" s="135" t="s">
        <v>56</v>
      </c>
      <c r="C18" s="136" t="s">
        <v>3</v>
      </c>
      <c r="D18" s="121" t="s">
        <v>57</v>
      </c>
      <c r="E18" s="121"/>
      <c r="F18" s="734"/>
      <c r="G18" s="735"/>
      <c r="H18" s="735"/>
      <c r="I18" s="736"/>
      <c r="J18" s="121"/>
      <c r="K18" s="713">
        <f>K19+K25+K54+K48+K59</f>
        <v>83294.399999999994</v>
      </c>
      <c r="L18" s="137">
        <f>L19+L25+L54+L48+L59</f>
        <v>0</v>
      </c>
      <c r="M18" s="137">
        <f>M19+M25+M54+M48+M59</f>
        <v>83294.399999999994</v>
      </c>
      <c r="N18" s="137">
        <f>N19+N25+N54+N48+N59</f>
        <v>83276</v>
      </c>
    </row>
    <row r="19" spans="1:14" s="351" customFormat="1" ht="56.25">
      <c r="A19" s="122"/>
      <c r="B19" s="135" t="s">
        <v>58</v>
      </c>
      <c r="C19" s="136" t="s">
        <v>3</v>
      </c>
      <c r="D19" s="121" t="s">
        <v>57</v>
      </c>
      <c r="E19" s="121" t="s">
        <v>59</v>
      </c>
      <c r="F19" s="734"/>
      <c r="G19" s="735"/>
      <c r="H19" s="735"/>
      <c r="I19" s="736"/>
      <c r="J19" s="121"/>
      <c r="K19" s="713">
        <f t="shared" ref="K19:N23" si="0">K20</f>
        <v>2128.5</v>
      </c>
      <c r="L19" s="137">
        <f t="shared" si="0"/>
        <v>0</v>
      </c>
      <c r="M19" s="137">
        <f t="shared" si="0"/>
        <v>2128.5</v>
      </c>
      <c r="N19" s="137">
        <f t="shared" si="0"/>
        <v>2128.5</v>
      </c>
    </row>
    <row r="20" spans="1:14" s="351" customFormat="1" ht="59.25" customHeight="1">
      <c r="A20" s="122"/>
      <c r="B20" s="135" t="s">
        <v>60</v>
      </c>
      <c r="C20" s="136" t="s">
        <v>3</v>
      </c>
      <c r="D20" s="121" t="s">
        <v>57</v>
      </c>
      <c r="E20" s="121" t="s">
        <v>59</v>
      </c>
      <c r="F20" s="734" t="s">
        <v>61</v>
      </c>
      <c r="G20" s="735" t="s">
        <v>62</v>
      </c>
      <c r="H20" s="735" t="s">
        <v>63</v>
      </c>
      <c r="I20" s="736" t="s">
        <v>64</v>
      </c>
      <c r="J20" s="121"/>
      <c r="K20" s="713">
        <f t="shared" si="0"/>
        <v>2128.5</v>
      </c>
      <c r="L20" s="137">
        <f t="shared" si="0"/>
        <v>0</v>
      </c>
      <c r="M20" s="137">
        <f t="shared" si="0"/>
        <v>2128.5</v>
      </c>
      <c r="N20" s="137">
        <f t="shared" si="0"/>
        <v>2128.5</v>
      </c>
    </row>
    <row r="21" spans="1:14" s="351" customFormat="1" ht="37.5">
      <c r="A21" s="122"/>
      <c r="B21" s="135" t="s">
        <v>404</v>
      </c>
      <c r="C21" s="136" t="s">
        <v>3</v>
      </c>
      <c r="D21" s="121" t="s">
        <v>57</v>
      </c>
      <c r="E21" s="121" t="s">
        <v>59</v>
      </c>
      <c r="F21" s="734" t="s">
        <v>61</v>
      </c>
      <c r="G21" s="735" t="s">
        <v>65</v>
      </c>
      <c r="H21" s="735" t="s">
        <v>63</v>
      </c>
      <c r="I21" s="736" t="s">
        <v>64</v>
      </c>
      <c r="J21" s="121"/>
      <c r="K21" s="713">
        <f t="shared" si="0"/>
        <v>2128.5</v>
      </c>
      <c r="L21" s="137">
        <f t="shared" si="0"/>
        <v>0</v>
      </c>
      <c r="M21" s="137">
        <f t="shared" si="0"/>
        <v>2128.5</v>
      </c>
      <c r="N21" s="137">
        <f t="shared" si="0"/>
        <v>2128.5</v>
      </c>
    </row>
    <row r="22" spans="1:14" s="351" customFormat="1" ht="56.25">
      <c r="A22" s="122"/>
      <c r="B22" s="135" t="s">
        <v>66</v>
      </c>
      <c r="C22" s="136" t="s">
        <v>3</v>
      </c>
      <c r="D22" s="121" t="s">
        <v>57</v>
      </c>
      <c r="E22" s="121" t="s">
        <v>59</v>
      </c>
      <c r="F22" s="734" t="s">
        <v>61</v>
      </c>
      <c r="G22" s="735" t="s">
        <v>65</v>
      </c>
      <c r="H22" s="735" t="s">
        <v>57</v>
      </c>
      <c r="I22" s="736" t="s">
        <v>64</v>
      </c>
      <c r="J22" s="121"/>
      <c r="K22" s="713">
        <f t="shared" si="0"/>
        <v>2128.5</v>
      </c>
      <c r="L22" s="137">
        <f t="shared" si="0"/>
        <v>0</v>
      </c>
      <c r="M22" s="137">
        <f t="shared" si="0"/>
        <v>2128.5</v>
      </c>
      <c r="N22" s="137">
        <f t="shared" si="0"/>
        <v>2128.5</v>
      </c>
    </row>
    <row r="23" spans="1:14" s="351" customFormat="1" ht="37.5">
      <c r="A23" s="122"/>
      <c r="B23" s="135" t="s">
        <v>67</v>
      </c>
      <c r="C23" s="136" t="s">
        <v>3</v>
      </c>
      <c r="D23" s="121" t="s">
        <v>57</v>
      </c>
      <c r="E23" s="121" t="s">
        <v>59</v>
      </c>
      <c r="F23" s="734" t="s">
        <v>61</v>
      </c>
      <c r="G23" s="735" t="s">
        <v>65</v>
      </c>
      <c r="H23" s="735" t="s">
        <v>57</v>
      </c>
      <c r="I23" s="736" t="s">
        <v>68</v>
      </c>
      <c r="J23" s="121"/>
      <c r="K23" s="713">
        <f t="shared" si="0"/>
        <v>2128.5</v>
      </c>
      <c r="L23" s="137">
        <f t="shared" si="0"/>
        <v>0</v>
      </c>
      <c r="M23" s="137">
        <f t="shared" si="0"/>
        <v>2128.5</v>
      </c>
      <c r="N23" s="137">
        <f t="shared" si="0"/>
        <v>2128.5</v>
      </c>
    </row>
    <row r="24" spans="1:14" s="351" customFormat="1" ht="112.5">
      <c r="A24" s="122"/>
      <c r="B24" s="135" t="s">
        <v>69</v>
      </c>
      <c r="C24" s="136" t="s">
        <v>3</v>
      </c>
      <c r="D24" s="121" t="s">
        <v>57</v>
      </c>
      <c r="E24" s="121" t="s">
        <v>59</v>
      </c>
      <c r="F24" s="734" t="s">
        <v>61</v>
      </c>
      <c r="G24" s="735" t="s">
        <v>65</v>
      </c>
      <c r="H24" s="735" t="s">
        <v>57</v>
      </c>
      <c r="I24" s="736" t="s">
        <v>68</v>
      </c>
      <c r="J24" s="121" t="s">
        <v>70</v>
      </c>
      <c r="K24" s="713">
        <v>2128.5</v>
      </c>
      <c r="L24" s="137">
        <f>M24-K24</f>
        <v>0</v>
      </c>
      <c r="M24" s="137">
        <v>2128.5</v>
      </c>
      <c r="N24" s="137">
        <v>2128.5</v>
      </c>
    </row>
    <row r="25" spans="1:14" s="356" customFormat="1" ht="77.25" customHeight="1">
      <c r="A25" s="122"/>
      <c r="B25" s="135" t="s">
        <v>71</v>
      </c>
      <c r="C25" s="136" t="s">
        <v>3</v>
      </c>
      <c r="D25" s="121" t="s">
        <v>57</v>
      </c>
      <c r="E25" s="121" t="s">
        <v>72</v>
      </c>
      <c r="F25" s="734"/>
      <c r="G25" s="735"/>
      <c r="H25" s="735"/>
      <c r="I25" s="736"/>
      <c r="J25" s="121"/>
      <c r="K25" s="713">
        <f t="shared" ref="K25:N26" si="1">K26</f>
        <v>72075.899999999994</v>
      </c>
      <c r="L25" s="137">
        <f t="shared" si="1"/>
        <v>0</v>
      </c>
      <c r="M25" s="137">
        <f t="shared" si="1"/>
        <v>72075.899999999994</v>
      </c>
      <c r="N25" s="137">
        <f t="shared" si="1"/>
        <v>72150.2</v>
      </c>
    </row>
    <row r="26" spans="1:14" s="356" customFormat="1" ht="75">
      <c r="A26" s="122"/>
      <c r="B26" s="135" t="s">
        <v>73</v>
      </c>
      <c r="C26" s="136" t="s">
        <v>3</v>
      </c>
      <c r="D26" s="121" t="s">
        <v>57</v>
      </c>
      <c r="E26" s="121" t="s">
        <v>72</v>
      </c>
      <c r="F26" s="734" t="s">
        <v>61</v>
      </c>
      <c r="G26" s="735" t="s">
        <v>62</v>
      </c>
      <c r="H26" s="735" t="s">
        <v>63</v>
      </c>
      <c r="I26" s="736" t="s">
        <v>64</v>
      </c>
      <c r="J26" s="121"/>
      <c r="K26" s="713">
        <f t="shared" si="1"/>
        <v>72075.899999999994</v>
      </c>
      <c r="L26" s="137">
        <f t="shared" si="1"/>
        <v>0</v>
      </c>
      <c r="M26" s="137">
        <f t="shared" si="1"/>
        <v>72075.899999999994</v>
      </c>
      <c r="N26" s="137">
        <f t="shared" si="1"/>
        <v>72150.2</v>
      </c>
    </row>
    <row r="27" spans="1:14" s="118" customFormat="1" ht="37.5">
      <c r="A27" s="122"/>
      <c r="B27" s="135" t="s">
        <v>404</v>
      </c>
      <c r="C27" s="136" t="s">
        <v>3</v>
      </c>
      <c r="D27" s="121" t="s">
        <v>57</v>
      </c>
      <c r="E27" s="121" t="s">
        <v>72</v>
      </c>
      <c r="F27" s="734" t="s">
        <v>61</v>
      </c>
      <c r="G27" s="735" t="s">
        <v>65</v>
      </c>
      <c r="H27" s="735" t="s">
        <v>63</v>
      </c>
      <c r="I27" s="736" t="s">
        <v>64</v>
      </c>
      <c r="J27" s="121"/>
      <c r="K27" s="713">
        <f>K28+K45</f>
        <v>72075.899999999994</v>
      </c>
      <c r="L27" s="137">
        <f>L28+L45</f>
        <v>0</v>
      </c>
      <c r="M27" s="137">
        <f>M28+M45</f>
        <v>72075.899999999994</v>
      </c>
      <c r="N27" s="137">
        <f>N28+N45</f>
        <v>72150.2</v>
      </c>
    </row>
    <row r="28" spans="1:14" s="118" customFormat="1" ht="37.5">
      <c r="A28" s="122"/>
      <c r="B28" s="135" t="s">
        <v>74</v>
      </c>
      <c r="C28" s="136" t="s">
        <v>3</v>
      </c>
      <c r="D28" s="121" t="s">
        <v>57</v>
      </c>
      <c r="E28" s="121" t="s">
        <v>72</v>
      </c>
      <c r="F28" s="734" t="s">
        <v>61</v>
      </c>
      <c r="G28" s="735" t="s">
        <v>65</v>
      </c>
      <c r="H28" s="735" t="s">
        <v>59</v>
      </c>
      <c r="I28" s="736" t="s">
        <v>64</v>
      </c>
      <c r="J28" s="121"/>
      <c r="K28" s="713">
        <f>K29+K35+K37+K40+K33+K43</f>
        <v>71962.7</v>
      </c>
      <c r="L28" s="137">
        <f>L29+L35+L37+L40+L33+L43</f>
        <v>0</v>
      </c>
      <c r="M28" s="137">
        <f>M29+M35+M37+M40+M33+M43</f>
        <v>71962.7</v>
      </c>
      <c r="N28" s="137">
        <f>N29+N35+N37+N40+N33+N43</f>
        <v>72037</v>
      </c>
    </row>
    <row r="29" spans="1:14" s="351" customFormat="1" ht="37.5">
      <c r="A29" s="122"/>
      <c r="B29" s="135" t="s">
        <v>67</v>
      </c>
      <c r="C29" s="136" t="s">
        <v>3</v>
      </c>
      <c r="D29" s="121" t="s">
        <v>57</v>
      </c>
      <c r="E29" s="121" t="s">
        <v>72</v>
      </c>
      <c r="F29" s="734" t="s">
        <v>61</v>
      </c>
      <c r="G29" s="735" t="s">
        <v>65</v>
      </c>
      <c r="H29" s="735" t="s">
        <v>59</v>
      </c>
      <c r="I29" s="736" t="s">
        <v>68</v>
      </c>
      <c r="J29" s="121"/>
      <c r="K29" s="713">
        <f>K30+K31+K32</f>
        <v>67115.899999999994</v>
      </c>
      <c r="L29" s="137">
        <f>L30+L31+L32</f>
        <v>0</v>
      </c>
      <c r="M29" s="137">
        <f>M30+M31+M32</f>
        <v>67115.899999999994</v>
      </c>
      <c r="N29" s="137">
        <f>N30+N31+N32</f>
        <v>67190.2</v>
      </c>
    </row>
    <row r="30" spans="1:14" s="351" customFormat="1" ht="112.5">
      <c r="A30" s="122"/>
      <c r="B30" s="135" t="s">
        <v>69</v>
      </c>
      <c r="C30" s="136" t="s">
        <v>3</v>
      </c>
      <c r="D30" s="121" t="s">
        <v>57</v>
      </c>
      <c r="E30" s="121" t="s">
        <v>72</v>
      </c>
      <c r="F30" s="734" t="s">
        <v>61</v>
      </c>
      <c r="G30" s="735" t="s">
        <v>65</v>
      </c>
      <c r="H30" s="735" t="s">
        <v>59</v>
      </c>
      <c r="I30" s="736" t="s">
        <v>68</v>
      </c>
      <c r="J30" s="121" t="s">
        <v>70</v>
      </c>
      <c r="K30" s="713">
        <v>61571.199999999997</v>
      </c>
      <c r="L30" s="137">
        <f>M30-K30</f>
        <v>0</v>
      </c>
      <c r="M30" s="137">
        <v>61571.199999999997</v>
      </c>
      <c r="N30" s="137">
        <v>61571.199999999997</v>
      </c>
    </row>
    <row r="31" spans="1:14" s="118" customFormat="1" ht="56.25">
      <c r="A31" s="122"/>
      <c r="B31" s="135" t="s">
        <v>75</v>
      </c>
      <c r="C31" s="136" t="s">
        <v>3</v>
      </c>
      <c r="D31" s="121" t="s">
        <v>57</v>
      </c>
      <c r="E31" s="121" t="s">
        <v>72</v>
      </c>
      <c r="F31" s="734" t="s">
        <v>61</v>
      </c>
      <c r="G31" s="735" t="s">
        <v>65</v>
      </c>
      <c r="H31" s="735" t="s">
        <v>59</v>
      </c>
      <c r="I31" s="736" t="s">
        <v>68</v>
      </c>
      <c r="J31" s="121" t="s">
        <v>76</v>
      </c>
      <c r="K31" s="713">
        <v>5452.8</v>
      </c>
      <c r="L31" s="137">
        <f>M31-K31</f>
        <v>0</v>
      </c>
      <c r="M31" s="137">
        <v>5452.8</v>
      </c>
      <c r="N31" s="137">
        <v>5527.1</v>
      </c>
    </row>
    <row r="32" spans="1:14" s="351" customFormat="1" ht="18.75">
      <c r="A32" s="122"/>
      <c r="B32" s="135" t="s">
        <v>77</v>
      </c>
      <c r="C32" s="136" t="s">
        <v>3</v>
      </c>
      <c r="D32" s="121" t="s">
        <v>57</v>
      </c>
      <c r="E32" s="121" t="s">
        <v>72</v>
      </c>
      <c r="F32" s="734" t="s">
        <v>61</v>
      </c>
      <c r="G32" s="735" t="s">
        <v>65</v>
      </c>
      <c r="H32" s="735" t="s">
        <v>59</v>
      </c>
      <c r="I32" s="736" t="s">
        <v>68</v>
      </c>
      <c r="J32" s="121" t="s">
        <v>78</v>
      </c>
      <c r="K32" s="713">
        <v>91.9</v>
      </c>
      <c r="L32" s="137">
        <f>M32-K32</f>
        <v>0</v>
      </c>
      <c r="M32" s="137">
        <v>91.9</v>
      </c>
      <c r="N32" s="137">
        <v>91.9</v>
      </c>
    </row>
    <row r="33" spans="1:14" s="356" customFormat="1" ht="94.5" customHeight="1">
      <c r="A33" s="122"/>
      <c r="B33" s="135" t="s">
        <v>747</v>
      </c>
      <c r="C33" s="136" t="s">
        <v>3</v>
      </c>
      <c r="D33" s="121" t="s">
        <v>57</v>
      </c>
      <c r="E33" s="121" t="s">
        <v>72</v>
      </c>
      <c r="F33" s="734" t="s">
        <v>61</v>
      </c>
      <c r="G33" s="735" t="s">
        <v>65</v>
      </c>
      <c r="H33" s="735" t="s">
        <v>59</v>
      </c>
      <c r="I33" s="736" t="s">
        <v>305</v>
      </c>
      <c r="J33" s="121"/>
      <c r="K33" s="713">
        <f>K34</f>
        <v>66</v>
      </c>
      <c r="L33" s="137">
        <f>L34</f>
        <v>0</v>
      </c>
      <c r="M33" s="137">
        <f>M34</f>
        <v>66</v>
      </c>
      <c r="N33" s="137">
        <f>N34</f>
        <v>66</v>
      </c>
    </row>
    <row r="34" spans="1:14" s="356" customFormat="1" ht="56.25">
      <c r="A34" s="122"/>
      <c r="B34" s="135" t="s">
        <v>75</v>
      </c>
      <c r="C34" s="136" t="s">
        <v>3</v>
      </c>
      <c r="D34" s="121" t="s">
        <v>57</v>
      </c>
      <c r="E34" s="121" t="s">
        <v>72</v>
      </c>
      <c r="F34" s="734" t="s">
        <v>61</v>
      </c>
      <c r="G34" s="735" t="s">
        <v>65</v>
      </c>
      <c r="H34" s="735" t="s">
        <v>59</v>
      </c>
      <c r="I34" s="736" t="s">
        <v>305</v>
      </c>
      <c r="J34" s="121" t="s">
        <v>76</v>
      </c>
      <c r="K34" s="713">
        <v>66</v>
      </c>
      <c r="L34" s="137">
        <f>M34-K34</f>
        <v>0</v>
      </c>
      <c r="M34" s="137">
        <v>66</v>
      </c>
      <c r="N34" s="137">
        <v>66</v>
      </c>
    </row>
    <row r="35" spans="1:14" s="356" customFormat="1" ht="225">
      <c r="A35" s="122"/>
      <c r="B35" s="167" t="s">
        <v>757</v>
      </c>
      <c r="C35" s="136" t="s">
        <v>3</v>
      </c>
      <c r="D35" s="121" t="s">
        <v>57</v>
      </c>
      <c r="E35" s="121" t="s">
        <v>72</v>
      </c>
      <c r="F35" s="734" t="s">
        <v>61</v>
      </c>
      <c r="G35" s="735" t="s">
        <v>65</v>
      </c>
      <c r="H35" s="735" t="s">
        <v>59</v>
      </c>
      <c r="I35" s="736" t="s">
        <v>79</v>
      </c>
      <c r="J35" s="121"/>
      <c r="K35" s="713">
        <f>K36</f>
        <v>636.5</v>
      </c>
      <c r="L35" s="137">
        <f>L36</f>
        <v>0</v>
      </c>
      <c r="M35" s="137">
        <f>M36</f>
        <v>636.5</v>
      </c>
      <c r="N35" s="137">
        <f>N36</f>
        <v>636.5</v>
      </c>
    </row>
    <row r="36" spans="1:14" s="356" customFormat="1" ht="112.5">
      <c r="A36" s="122"/>
      <c r="B36" s="135" t="s">
        <v>69</v>
      </c>
      <c r="C36" s="136" t="s">
        <v>3</v>
      </c>
      <c r="D36" s="121" t="s">
        <v>57</v>
      </c>
      <c r="E36" s="121" t="s">
        <v>72</v>
      </c>
      <c r="F36" s="734" t="s">
        <v>61</v>
      </c>
      <c r="G36" s="735" t="s">
        <v>65</v>
      </c>
      <c r="H36" s="735" t="s">
        <v>59</v>
      </c>
      <c r="I36" s="736" t="s">
        <v>79</v>
      </c>
      <c r="J36" s="121" t="s">
        <v>70</v>
      </c>
      <c r="K36" s="713">
        <v>636.5</v>
      </c>
      <c r="L36" s="137">
        <f>M36-K36</f>
        <v>0</v>
      </c>
      <c r="M36" s="137">
        <v>636.5</v>
      </c>
      <c r="N36" s="137">
        <v>636.5</v>
      </c>
    </row>
    <row r="37" spans="1:14" s="356" customFormat="1" ht="78.75" customHeight="1">
      <c r="A37" s="122"/>
      <c r="B37" s="135" t="s">
        <v>80</v>
      </c>
      <c r="C37" s="136" t="s">
        <v>3</v>
      </c>
      <c r="D37" s="121" t="s">
        <v>57</v>
      </c>
      <c r="E37" s="121" t="s">
        <v>72</v>
      </c>
      <c r="F37" s="734" t="s">
        <v>61</v>
      </c>
      <c r="G37" s="735" t="s">
        <v>65</v>
      </c>
      <c r="H37" s="735" t="s">
        <v>59</v>
      </c>
      <c r="I37" s="736" t="s">
        <v>81</v>
      </c>
      <c r="J37" s="121"/>
      <c r="K37" s="713">
        <f>SUM(K38:K39)</f>
        <v>3441.6000000000004</v>
      </c>
      <c r="L37" s="137">
        <f>SUM(L38:L39)</f>
        <v>0</v>
      </c>
      <c r="M37" s="137">
        <f>SUM(M38:M39)</f>
        <v>3441.6000000000004</v>
      </c>
      <c r="N37" s="137">
        <f>SUM(N38:N39)</f>
        <v>3441.6000000000004</v>
      </c>
    </row>
    <row r="38" spans="1:14" s="356" customFormat="1" ht="112.5">
      <c r="A38" s="122"/>
      <c r="B38" s="135" t="s">
        <v>69</v>
      </c>
      <c r="C38" s="136" t="s">
        <v>3</v>
      </c>
      <c r="D38" s="121" t="s">
        <v>57</v>
      </c>
      <c r="E38" s="121" t="s">
        <v>72</v>
      </c>
      <c r="F38" s="734" t="s">
        <v>61</v>
      </c>
      <c r="G38" s="735" t="s">
        <v>65</v>
      </c>
      <c r="H38" s="735" t="s">
        <v>59</v>
      </c>
      <c r="I38" s="736" t="s">
        <v>81</v>
      </c>
      <c r="J38" s="121" t="s">
        <v>70</v>
      </c>
      <c r="K38" s="713">
        <v>3372.8</v>
      </c>
      <c r="L38" s="137">
        <f>M38-K38</f>
        <v>0</v>
      </c>
      <c r="M38" s="137">
        <v>3372.8</v>
      </c>
      <c r="N38" s="137">
        <v>3372.8</v>
      </c>
    </row>
    <row r="39" spans="1:14" s="356" customFormat="1" ht="56.25">
      <c r="A39" s="122"/>
      <c r="B39" s="135" t="s">
        <v>75</v>
      </c>
      <c r="C39" s="136" t="s">
        <v>3</v>
      </c>
      <c r="D39" s="121" t="s">
        <v>57</v>
      </c>
      <c r="E39" s="121" t="s">
        <v>72</v>
      </c>
      <c r="F39" s="734" t="s">
        <v>61</v>
      </c>
      <c r="G39" s="735" t="s">
        <v>65</v>
      </c>
      <c r="H39" s="735" t="s">
        <v>59</v>
      </c>
      <c r="I39" s="736" t="s">
        <v>81</v>
      </c>
      <c r="J39" s="121" t="s">
        <v>76</v>
      </c>
      <c r="K39" s="713">
        <v>68.8</v>
      </c>
      <c r="L39" s="137">
        <f>M39-K39</f>
        <v>0</v>
      </c>
      <c r="M39" s="137">
        <v>68.8</v>
      </c>
      <c r="N39" s="137">
        <v>68.8</v>
      </c>
    </row>
    <row r="40" spans="1:14" s="356" customFormat="1" ht="75">
      <c r="A40" s="122"/>
      <c r="B40" s="135" t="s">
        <v>582</v>
      </c>
      <c r="C40" s="136" t="s">
        <v>3</v>
      </c>
      <c r="D40" s="121" t="s">
        <v>57</v>
      </c>
      <c r="E40" s="121" t="s">
        <v>72</v>
      </c>
      <c r="F40" s="734" t="s">
        <v>61</v>
      </c>
      <c r="G40" s="735" t="s">
        <v>65</v>
      </c>
      <c r="H40" s="735" t="s">
        <v>59</v>
      </c>
      <c r="I40" s="736" t="s">
        <v>82</v>
      </c>
      <c r="J40" s="121"/>
      <c r="K40" s="713">
        <f>K41+K42</f>
        <v>636.70000000000005</v>
      </c>
      <c r="L40" s="137">
        <f>L41+L42</f>
        <v>0</v>
      </c>
      <c r="M40" s="137">
        <f>M41+M42</f>
        <v>636.70000000000005</v>
      </c>
      <c r="N40" s="137">
        <f>N41+N42</f>
        <v>636.70000000000005</v>
      </c>
    </row>
    <row r="41" spans="1:14" s="356" customFormat="1" ht="112.5">
      <c r="A41" s="122"/>
      <c r="B41" s="135" t="s">
        <v>69</v>
      </c>
      <c r="C41" s="136" t="s">
        <v>3</v>
      </c>
      <c r="D41" s="121" t="s">
        <v>57</v>
      </c>
      <c r="E41" s="121" t="s">
        <v>72</v>
      </c>
      <c r="F41" s="734" t="s">
        <v>61</v>
      </c>
      <c r="G41" s="735" t="s">
        <v>65</v>
      </c>
      <c r="H41" s="735" t="s">
        <v>59</v>
      </c>
      <c r="I41" s="736" t="s">
        <v>82</v>
      </c>
      <c r="J41" s="121" t="s">
        <v>70</v>
      </c>
      <c r="K41" s="713">
        <v>632.5</v>
      </c>
      <c r="L41" s="137">
        <f>M41-K41</f>
        <v>0</v>
      </c>
      <c r="M41" s="137">
        <v>632.5</v>
      </c>
      <c r="N41" s="137">
        <v>632.5</v>
      </c>
    </row>
    <row r="42" spans="1:14" s="356" customFormat="1" ht="56.25">
      <c r="A42" s="122"/>
      <c r="B42" s="135" t="s">
        <v>75</v>
      </c>
      <c r="C42" s="136" t="s">
        <v>3</v>
      </c>
      <c r="D42" s="121" t="s">
        <v>57</v>
      </c>
      <c r="E42" s="121" t="s">
        <v>72</v>
      </c>
      <c r="F42" s="734" t="s">
        <v>61</v>
      </c>
      <c r="G42" s="735" t="s">
        <v>65</v>
      </c>
      <c r="H42" s="735" t="s">
        <v>59</v>
      </c>
      <c r="I42" s="736" t="s">
        <v>82</v>
      </c>
      <c r="J42" s="121" t="s">
        <v>76</v>
      </c>
      <c r="K42" s="713">
        <v>4.2</v>
      </c>
      <c r="L42" s="137">
        <f>M42-K42</f>
        <v>0</v>
      </c>
      <c r="M42" s="137">
        <v>4.2</v>
      </c>
      <c r="N42" s="137">
        <v>4.2</v>
      </c>
    </row>
    <row r="43" spans="1:14" s="356" customFormat="1" ht="206.25">
      <c r="A43" s="122"/>
      <c r="B43" s="167" t="s">
        <v>466</v>
      </c>
      <c r="C43" s="136" t="s">
        <v>3</v>
      </c>
      <c r="D43" s="121" t="s">
        <v>57</v>
      </c>
      <c r="E43" s="121" t="s">
        <v>72</v>
      </c>
      <c r="F43" s="734" t="s">
        <v>61</v>
      </c>
      <c r="G43" s="735" t="s">
        <v>65</v>
      </c>
      <c r="H43" s="735" t="s">
        <v>59</v>
      </c>
      <c r="I43" s="736" t="s">
        <v>465</v>
      </c>
      <c r="J43" s="121"/>
      <c r="K43" s="713">
        <f>K44</f>
        <v>66</v>
      </c>
      <c r="L43" s="137">
        <f>L44</f>
        <v>0</v>
      </c>
      <c r="M43" s="137">
        <f>M44</f>
        <v>66</v>
      </c>
      <c r="N43" s="137">
        <f>N44</f>
        <v>66</v>
      </c>
    </row>
    <row r="44" spans="1:14" s="356" customFormat="1" ht="56.25">
      <c r="A44" s="122"/>
      <c r="B44" s="135" t="s">
        <v>75</v>
      </c>
      <c r="C44" s="136" t="s">
        <v>3</v>
      </c>
      <c r="D44" s="121" t="s">
        <v>57</v>
      </c>
      <c r="E44" s="121" t="s">
        <v>72</v>
      </c>
      <c r="F44" s="734" t="s">
        <v>61</v>
      </c>
      <c r="G44" s="735" t="s">
        <v>65</v>
      </c>
      <c r="H44" s="735" t="s">
        <v>59</v>
      </c>
      <c r="I44" s="736" t="s">
        <v>465</v>
      </c>
      <c r="J44" s="121" t="s">
        <v>76</v>
      </c>
      <c r="K44" s="713">
        <v>66</v>
      </c>
      <c r="L44" s="137">
        <f>M44-K44</f>
        <v>0</v>
      </c>
      <c r="M44" s="137">
        <v>66</v>
      </c>
      <c r="N44" s="137">
        <v>66</v>
      </c>
    </row>
    <row r="45" spans="1:14" s="118" customFormat="1" ht="18.75">
      <c r="A45" s="122"/>
      <c r="B45" s="135" t="s">
        <v>83</v>
      </c>
      <c r="C45" s="136" t="s">
        <v>3</v>
      </c>
      <c r="D45" s="121" t="s">
        <v>57</v>
      </c>
      <c r="E45" s="121" t="s">
        <v>72</v>
      </c>
      <c r="F45" s="734" t="s">
        <v>61</v>
      </c>
      <c r="G45" s="735" t="s">
        <v>65</v>
      </c>
      <c r="H45" s="735" t="s">
        <v>84</v>
      </c>
      <c r="I45" s="736" t="s">
        <v>64</v>
      </c>
      <c r="J45" s="121"/>
      <c r="K45" s="713">
        <f t="shared" ref="K45:N46" si="2">K46</f>
        <v>113.2</v>
      </c>
      <c r="L45" s="137">
        <f t="shared" si="2"/>
        <v>0</v>
      </c>
      <c r="M45" s="137">
        <f t="shared" si="2"/>
        <v>113.2</v>
      </c>
      <c r="N45" s="137">
        <f t="shared" si="2"/>
        <v>113.2</v>
      </c>
    </row>
    <row r="46" spans="1:14" s="351" customFormat="1" ht="37.5">
      <c r="A46" s="122"/>
      <c r="B46" s="135" t="s">
        <v>67</v>
      </c>
      <c r="C46" s="136" t="s">
        <v>3</v>
      </c>
      <c r="D46" s="121" t="s">
        <v>57</v>
      </c>
      <c r="E46" s="121" t="s">
        <v>72</v>
      </c>
      <c r="F46" s="734" t="s">
        <v>61</v>
      </c>
      <c r="G46" s="735" t="s">
        <v>65</v>
      </c>
      <c r="H46" s="735" t="s">
        <v>84</v>
      </c>
      <c r="I46" s="736" t="s">
        <v>68</v>
      </c>
      <c r="J46" s="121"/>
      <c r="K46" s="713">
        <f t="shared" si="2"/>
        <v>113.2</v>
      </c>
      <c r="L46" s="137">
        <f t="shared" si="2"/>
        <v>0</v>
      </c>
      <c r="M46" s="137">
        <f t="shared" si="2"/>
        <v>113.2</v>
      </c>
      <c r="N46" s="137">
        <f t="shared" si="2"/>
        <v>113.2</v>
      </c>
    </row>
    <row r="47" spans="1:14" s="118" customFormat="1" ht="56.25">
      <c r="A47" s="122"/>
      <c r="B47" s="135" t="s">
        <v>75</v>
      </c>
      <c r="C47" s="136" t="s">
        <v>3</v>
      </c>
      <c r="D47" s="121" t="s">
        <v>57</v>
      </c>
      <c r="E47" s="121" t="s">
        <v>72</v>
      </c>
      <c r="F47" s="734" t="s">
        <v>61</v>
      </c>
      <c r="G47" s="735" t="s">
        <v>65</v>
      </c>
      <c r="H47" s="735" t="s">
        <v>84</v>
      </c>
      <c r="I47" s="736" t="s">
        <v>68</v>
      </c>
      <c r="J47" s="121" t="s">
        <v>76</v>
      </c>
      <c r="K47" s="713">
        <v>113.2</v>
      </c>
      <c r="L47" s="137">
        <f>M47-K47</f>
        <v>0</v>
      </c>
      <c r="M47" s="137">
        <v>113.2</v>
      </c>
      <c r="N47" s="137">
        <v>113.2</v>
      </c>
    </row>
    <row r="48" spans="1:14" s="118" customFormat="1" ht="18.75">
      <c r="A48" s="122"/>
      <c r="B48" s="135" t="s">
        <v>488</v>
      </c>
      <c r="C48" s="136" t="s">
        <v>3</v>
      </c>
      <c r="D48" s="121" t="s">
        <v>57</v>
      </c>
      <c r="E48" s="121" t="s">
        <v>86</v>
      </c>
      <c r="F48" s="734"/>
      <c r="G48" s="735"/>
      <c r="H48" s="735"/>
      <c r="I48" s="736"/>
      <c r="J48" s="121"/>
      <c r="K48" s="713">
        <f t="shared" ref="K48:N52" si="3">K49</f>
        <v>98.4</v>
      </c>
      <c r="L48" s="137">
        <f t="shared" si="3"/>
        <v>0</v>
      </c>
      <c r="M48" s="137">
        <f t="shared" si="3"/>
        <v>98.4</v>
      </c>
      <c r="N48" s="137">
        <f t="shared" si="3"/>
        <v>5.7</v>
      </c>
    </row>
    <row r="49" spans="1:14" s="118" customFormat="1" ht="58.5" customHeight="1">
      <c r="A49" s="122"/>
      <c r="B49" s="135" t="s">
        <v>73</v>
      </c>
      <c r="C49" s="136" t="s">
        <v>3</v>
      </c>
      <c r="D49" s="121" t="s">
        <v>57</v>
      </c>
      <c r="E49" s="121" t="s">
        <v>86</v>
      </c>
      <c r="F49" s="734" t="s">
        <v>61</v>
      </c>
      <c r="G49" s="735" t="s">
        <v>62</v>
      </c>
      <c r="H49" s="735" t="s">
        <v>63</v>
      </c>
      <c r="I49" s="736" t="s">
        <v>64</v>
      </c>
      <c r="J49" s="121"/>
      <c r="K49" s="713">
        <f t="shared" si="3"/>
        <v>98.4</v>
      </c>
      <c r="L49" s="137">
        <f t="shared" si="3"/>
        <v>0</v>
      </c>
      <c r="M49" s="137">
        <f t="shared" si="3"/>
        <v>98.4</v>
      </c>
      <c r="N49" s="137">
        <f t="shared" si="3"/>
        <v>5.7</v>
      </c>
    </row>
    <row r="50" spans="1:14" s="118" customFormat="1" ht="37.5">
      <c r="A50" s="122"/>
      <c r="B50" s="135" t="s">
        <v>404</v>
      </c>
      <c r="C50" s="136" t="s">
        <v>3</v>
      </c>
      <c r="D50" s="121" t="s">
        <v>57</v>
      </c>
      <c r="E50" s="121" t="s">
        <v>86</v>
      </c>
      <c r="F50" s="734" t="s">
        <v>61</v>
      </c>
      <c r="G50" s="735" t="s">
        <v>65</v>
      </c>
      <c r="H50" s="735" t="s">
        <v>63</v>
      </c>
      <c r="I50" s="736" t="s">
        <v>64</v>
      </c>
      <c r="J50" s="121"/>
      <c r="K50" s="713">
        <f t="shared" si="3"/>
        <v>98.4</v>
      </c>
      <c r="L50" s="137">
        <f t="shared" si="3"/>
        <v>0</v>
      </c>
      <c r="M50" s="137">
        <f t="shared" si="3"/>
        <v>98.4</v>
      </c>
      <c r="N50" s="137">
        <f t="shared" si="3"/>
        <v>5.7</v>
      </c>
    </row>
    <row r="51" spans="1:14" s="118" customFormat="1" ht="37.5">
      <c r="A51" s="122"/>
      <c r="B51" s="135" t="s">
        <v>74</v>
      </c>
      <c r="C51" s="136" t="s">
        <v>3</v>
      </c>
      <c r="D51" s="121" t="s">
        <v>57</v>
      </c>
      <c r="E51" s="121" t="s">
        <v>86</v>
      </c>
      <c r="F51" s="734" t="s">
        <v>61</v>
      </c>
      <c r="G51" s="735" t="s">
        <v>65</v>
      </c>
      <c r="H51" s="735" t="s">
        <v>59</v>
      </c>
      <c r="I51" s="736" t="s">
        <v>64</v>
      </c>
      <c r="J51" s="121"/>
      <c r="K51" s="713">
        <f t="shared" si="3"/>
        <v>98.4</v>
      </c>
      <c r="L51" s="137">
        <f t="shared" si="3"/>
        <v>0</v>
      </c>
      <c r="M51" s="137">
        <f t="shared" si="3"/>
        <v>98.4</v>
      </c>
      <c r="N51" s="137">
        <f t="shared" si="3"/>
        <v>5.7</v>
      </c>
    </row>
    <row r="52" spans="1:14" s="118" customFormat="1" ht="76.5" customHeight="1">
      <c r="A52" s="122"/>
      <c r="B52" s="135" t="s">
        <v>490</v>
      </c>
      <c r="C52" s="136" t="s">
        <v>3</v>
      </c>
      <c r="D52" s="121" t="s">
        <v>57</v>
      </c>
      <c r="E52" s="121" t="s">
        <v>86</v>
      </c>
      <c r="F52" s="734" t="s">
        <v>61</v>
      </c>
      <c r="G52" s="735" t="s">
        <v>65</v>
      </c>
      <c r="H52" s="735" t="s">
        <v>59</v>
      </c>
      <c r="I52" s="736" t="s">
        <v>489</v>
      </c>
      <c r="J52" s="121"/>
      <c r="K52" s="713">
        <f t="shared" si="3"/>
        <v>98.4</v>
      </c>
      <c r="L52" s="137">
        <f t="shared" si="3"/>
        <v>0</v>
      </c>
      <c r="M52" s="137">
        <f t="shared" si="3"/>
        <v>98.4</v>
      </c>
      <c r="N52" s="137">
        <f t="shared" si="3"/>
        <v>5.7</v>
      </c>
    </row>
    <row r="53" spans="1:14" s="118" customFormat="1" ht="56.25">
      <c r="A53" s="122"/>
      <c r="B53" s="135" t="s">
        <v>75</v>
      </c>
      <c r="C53" s="136" t="s">
        <v>3</v>
      </c>
      <c r="D53" s="121" t="s">
        <v>57</v>
      </c>
      <c r="E53" s="121" t="s">
        <v>86</v>
      </c>
      <c r="F53" s="734" t="s">
        <v>61</v>
      </c>
      <c r="G53" s="735" t="s">
        <v>65</v>
      </c>
      <c r="H53" s="735" t="s">
        <v>59</v>
      </c>
      <c r="I53" s="736" t="s">
        <v>489</v>
      </c>
      <c r="J53" s="121" t="s">
        <v>76</v>
      </c>
      <c r="K53" s="713">
        <v>98.4</v>
      </c>
      <c r="L53" s="137">
        <f>M53-K53</f>
        <v>0</v>
      </c>
      <c r="M53" s="137">
        <v>98.4</v>
      </c>
      <c r="N53" s="137">
        <v>5.7</v>
      </c>
    </row>
    <row r="54" spans="1:14" s="351" customFormat="1" ht="18.75">
      <c r="A54" s="122"/>
      <c r="B54" s="135" t="s">
        <v>87</v>
      </c>
      <c r="C54" s="136" t="s">
        <v>3</v>
      </c>
      <c r="D54" s="121" t="s">
        <v>57</v>
      </c>
      <c r="E54" s="121" t="s">
        <v>88</v>
      </c>
      <c r="F54" s="734"/>
      <c r="G54" s="735"/>
      <c r="H54" s="735"/>
      <c r="I54" s="736"/>
      <c r="J54" s="121"/>
      <c r="K54" s="713">
        <f t="shared" ref="K54:N57" si="4">K55</f>
        <v>5000</v>
      </c>
      <c r="L54" s="137">
        <f t="shared" si="4"/>
        <v>0</v>
      </c>
      <c r="M54" s="137">
        <f t="shared" si="4"/>
        <v>5000</v>
      </c>
      <c r="N54" s="137">
        <f t="shared" si="4"/>
        <v>5000</v>
      </c>
    </row>
    <row r="55" spans="1:14" s="351" customFormat="1" ht="37.5">
      <c r="A55" s="122"/>
      <c r="B55" s="135" t="s">
        <v>750</v>
      </c>
      <c r="C55" s="136" t="s">
        <v>3</v>
      </c>
      <c r="D55" s="121" t="s">
        <v>57</v>
      </c>
      <c r="E55" s="121" t="s">
        <v>88</v>
      </c>
      <c r="F55" s="734" t="s">
        <v>89</v>
      </c>
      <c r="G55" s="735" t="s">
        <v>62</v>
      </c>
      <c r="H55" s="735" t="s">
        <v>63</v>
      </c>
      <c r="I55" s="736" t="s">
        <v>64</v>
      </c>
      <c r="J55" s="121"/>
      <c r="K55" s="713">
        <f t="shared" si="4"/>
        <v>5000</v>
      </c>
      <c r="L55" s="137">
        <f t="shared" si="4"/>
        <v>0</v>
      </c>
      <c r="M55" s="137">
        <f t="shared" si="4"/>
        <v>5000</v>
      </c>
      <c r="N55" s="137">
        <f t="shared" si="4"/>
        <v>5000</v>
      </c>
    </row>
    <row r="56" spans="1:14" s="351" customFormat="1" ht="18.75">
      <c r="A56" s="122"/>
      <c r="B56" s="138" t="s">
        <v>751</v>
      </c>
      <c r="C56" s="136" t="s">
        <v>3</v>
      </c>
      <c r="D56" s="121" t="s">
        <v>57</v>
      </c>
      <c r="E56" s="121" t="s">
        <v>88</v>
      </c>
      <c r="F56" s="734" t="s">
        <v>89</v>
      </c>
      <c r="G56" s="735" t="s">
        <v>65</v>
      </c>
      <c r="H56" s="735" t="s">
        <v>63</v>
      </c>
      <c r="I56" s="736" t="s">
        <v>64</v>
      </c>
      <c r="J56" s="121"/>
      <c r="K56" s="713">
        <f>K57</f>
        <v>5000</v>
      </c>
      <c r="L56" s="137">
        <f>L57</f>
        <v>0</v>
      </c>
      <c r="M56" s="137">
        <f>M57</f>
        <v>5000</v>
      </c>
      <c r="N56" s="137">
        <f>N57</f>
        <v>5000</v>
      </c>
    </row>
    <row r="57" spans="1:14" s="351" customFormat="1" ht="37.5">
      <c r="A57" s="122"/>
      <c r="B57" s="135" t="s">
        <v>749</v>
      </c>
      <c r="C57" s="136" t="s">
        <v>3</v>
      </c>
      <c r="D57" s="121" t="s">
        <v>57</v>
      </c>
      <c r="E57" s="121" t="s">
        <v>88</v>
      </c>
      <c r="F57" s="734" t="s">
        <v>89</v>
      </c>
      <c r="G57" s="735" t="s">
        <v>65</v>
      </c>
      <c r="H57" s="735" t="s">
        <v>63</v>
      </c>
      <c r="I57" s="736" t="s">
        <v>90</v>
      </c>
      <c r="J57" s="121"/>
      <c r="K57" s="713">
        <f t="shared" si="4"/>
        <v>5000</v>
      </c>
      <c r="L57" s="137">
        <f t="shared" si="4"/>
        <v>0</v>
      </c>
      <c r="M57" s="137">
        <f t="shared" si="4"/>
        <v>5000</v>
      </c>
      <c r="N57" s="137">
        <f t="shared" si="4"/>
        <v>5000</v>
      </c>
    </row>
    <row r="58" spans="1:14" s="351" customFormat="1" ht="18.75">
      <c r="A58" s="122"/>
      <c r="B58" s="135" t="s">
        <v>77</v>
      </c>
      <c r="C58" s="136" t="s">
        <v>3</v>
      </c>
      <c r="D58" s="121" t="s">
        <v>57</v>
      </c>
      <c r="E58" s="121" t="s">
        <v>88</v>
      </c>
      <c r="F58" s="734" t="s">
        <v>89</v>
      </c>
      <c r="G58" s="735" t="s">
        <v>65</v>
      </c>
      <c r="H58" s="735" t="s">
        <v>63</v>
      </c>
      <c r="I58" s="736" t="s">
        <v>90</v>
      </c>
      <c r="J58" s="121" t="s">
        <v>78</v>
      </c>
      <c r="K58" s="713">
        <v>5000</v>
      </c>
      <c r="L58" s="137">
        <f>M58-K58</f>
        <v>0</v>
      </c>
      <c r="M58" s="137">
        <v>5000</v>
      </c>
      <c r="N58" s="137">
        <v>5000</v>
      </c>
    </row>
    <row r="59" spans="1:14" s="351" customFormat="1" ht="18.75">
      <c r="A59" s="122"/>
      <c r="B59" s="135" t="s">
        <v>91</v>
      </c>
      <c r="C59" s="136" t="s">
        <v>3</v>
      </c>
      <c r="D59" s="121" t="s">
        <v>57</v>
      </c>
      <c r="E59" s="121" t="s">
        <v>92</v>
      </c>
      <c r="F59" s="734"/>
      <c r="G59" s="735"/>
      <c r="H59" s="735"/>
      <c r="I59" s="736"/>
      <c r="J59" s="121"/>
      <c r="K59" s="713">
        <f>K65+K60</f>
        <v>3991.6000000000004</v>
      </c>
      <c r="L59" s="137">
        <f>L65+L60</f>
        <v>0</v>
      </c>
      <c r="M59" s="137">
        <f>M65+M60</f>
        <v>3991.6000000000004</v>
      </c>
      <c r="N59" s="137">
        <f>N65+N60</f>
        <v>3991.6000000000004</v>
      </c>
    </row>
    <row r="60" spans="1:14" s="351" customFormat="1" ht="93.75">
      <c r="A60" s="122"/>
      <c r="B60" s="135" t="s">
        <v>93</v>
      </c>
      <c r="C60" s="136" t="s">
        <v>3</v>
      </c>
      <c r="D60" s="121" t="s">
        <v>57</v>
      </c>
      <c r="E60" s="121" t="s">
        <v>92</v>
      </c>
      <c r="F60" s="734" t="s">
        <v>94</v>
      </c>
      <c r="G60" s="735" t="s">
        <v>62</v>
      </c>
      <c r="H60" s="735" t="s">
        <v>63</v>
      </c>
      <c r="I60" s="736" t="s">
        <v>64</v>
      </c>
      <c r="J60" s="121"/>
      <c r="K60" s="713">
        <f t="shared" ref="K60:N63" si="5">K61</f>
        <v>291.89999999999998</v>
      </c>
      <c r="L60" s="137">
        <f t="shared" si="5"/>
        <v>0</v>
      </c>
      <c r="M60" s="137">
        <f t="shared" si="5"/>
        <v>291.89999999999998</v>
      </c>
      <c r="N60" s="137">
        <f t="shared" si="5"/>
        <v>291.89999999999998</v>
      </c>
    </row>
    <row r="61" spans="1:14" s="351" customFormat="1" ht="37.5">
      <c r="A61" s="122"/>
      <c r="B61" s="135" t="s">
        <v>404</v>
      </c>
      <c r="C61" s="136" t="s">
        <v>3</v>
      </c>
      <c r="D61" s="121" t="s">
        <v>57</v>
      </c>
      <c r="E61" s="121" t="s">
        <v>92</v>
      </c>
      <c r="F61" s="734" t="s">
        <v>94</v>
      </c>
      <c r="G61" s="735" t="s">
        <v>65</v>
      </c>
      <c r="H61" s="735" t="s">
        <v>63</v>
      </c>
      <c r="I61" s="736" t="s">
        <v>64</v>
      </c>
      <c r="J61" s="121"/>
      <c r="K61" s="713">
        <f t="shared" si="5"/>
        <v>291.89999999999998</v>
      </c>
      <c r="L61" s="137">
        <f t="shared" si="5"/>
        <v>0</v>
      </c>
      <c r="M61" s="137">
        <f t="shared" si="5"/>
        <v>291.89999999999998</v>
      </c>
      <c r="N61" s="137">
        <f t="shared" si="5"/>
        <v>291.89999999999998</v>
      </c>
    </row>
    <row r="62" spans="1:14" s="351" customFormat="1" ht="56.25">
      <c r="A62" s="122"/>
      <c r="B62" s="138" t="s">
        <v>306</v>
      </c>
      <c r="C62" s="136" t="s">
        <v>3</v>
      </c>
      <c r="D62" s="121" t="s">
        <v>57</v>
      </c>
      <c r="E62" s="121" t="s">
        <v>92</v>
      </c>
      <c r="F62" s="734" t="s">
        <v>94</v>
      </c>
      <c r="G62" s="735" t="s">
        <v>65</v>
      </c>
      <c r="H62" s="735" t="s">
        <v>57</v>
      </c>
      <c r="I62" s="736" t="s">
        <v>64</v>
      </c>
      <c r="J62" s="121"/>
      <c r="K62" s="713">
        <f t="shared" si="5"/>
        <v>291.89999999999998</v>
      </c>
      <c r="L62" s="137">
        <f t="shared" si="5"/>
        <v>0</v>
      </c>
      <c r="M62" s="137">
        <f t="shared" si="5"/>
        <v>291.89999999999998</v>
      </c>
      <c r="N62" s="137">
        <f t="shared" si="5"/>
        <v>291.89999999999998</v>
      </c>
    </row>
    <row r="63" spans="1:14" s="351" customFormat="1" ht="56.25">
      <c r="A63" s="122"/>
      <c r="B63" s="138" t="s">
        <v>95</v>
      </c>
      <c r="C63" s="136" t="s">
        <v>3</v>
      </c>
      <c r="D63" s="121" t="s">
        <v>57</v>
      </c>
      <c r="E63" s="121" t="s">
        <v>92</v>
      </c>
      <c r="F63" s="734" t="s">
        <v>94</v>
      </c>
      <c r="G63" s="735" t="s">
        <v>65</v>
      </c>
      <c r="H63" s="735" t="s">
        <v>57</v>
      </c>
      <c r="I63" s="736" t="s">
        <v>96</v>
      </c>
      <c r="J63" s="121"/>
      <c r="K63" s="713">
        <f t="shared" si="5"/>
        <v>291.89999999999998</v>
      </c>
      <c r="L63" s="137">
        <f t="shared" si="5"/>
        <v>0</v>
      </c>
      <c r="M63" s="137">
        <f t="shared" si="5"/>
        <v>291.89999999999998</v>
      </c>
      <c r="N63" s="137">
        <f t="shared" si="5"/>
        <v>291.89999999999998</v>
      </c>
    </row>
    <row r="64" spans="1:14" s="351" customFormat="1" ht="56.25">
      <c r="A64" s="122"/>
      <c r="B64" s="139" t="s">
        <v>97</v>
      </c>
      <c r="C64" s="136" t="s">
        <v>3</v>
      </c>
      <c r="D64" s="121" t="s">
        <v>57</v>
      </c>
      <c r="E64" s="121" t="s">
        <v>92</v>
      </c>
      <c r="F64" s="734" t="s">
        <v>94</v>
      </c>
      <c r="G64" s="735" t="s">
        <v>65</v>
      </c>
      <c r="H64" s="735" t="s">
        <v>57</v>
      </c>
      <c r="I64" s="736" t="s">
        <v>96</v>
      </c>
      <c r="J64" s="121" t="s">
        <v>98</v>
      </c>
      <c r="K64" s="713">
        <v>291.89999999999998</v>
      </c>
      <c r="L64" s="137">
        <f>M64-K64</f>
        <v>0</v>
      </c>
      <c r="M64" s="137">
        <v>291.89999999999998</v>
      </c>
      <c r="N64" s="137">
        <v>291.89999999999998</v>
      </c>
    </row>
    <row r="65" spans="1:14" s="351" customFormat="1" ht="75">
      <c r="A65" s="122"/>
      <c r="B65" s="135" t="s">
        <v>60</v>
      </c>
      <c r="C65" s="136" t="s">
        <v>3</v>
      </c>
      <c r="D65" s="121" t="s">
        <v>57</v>
      </c>
      <c r="E65" s="121" t="s">
        <v>92</v>
      </c>
      <c r="F65" s="734" t="s">
        <v>61</v>
      </c>
      <c r="G65" s="735" t="s">
        <v>62</v>
      </c>
      <c r="H65" s="735" t="s">
        <v>63</v>
      </c>
      <c r="I65" s="736" t="s">
        <v>64</v>
      </c>
      <c r="J65" s="121"/>
      <c r="K65" s="713">
        <f>K66</f>
        <v>3699.7000000000003</v>
      </c>
      <c r="L65" s="137">
        <f>L66</f>
        <v>0</v>
      </c>
      <c r="M65" s="137">
        <f>M66</f>
        <v>3699.7000000000003</v>
      </c>
      <c r="N65" s="137">
        <f>N66</f>
        <v>3699.7000000000003</v>
      </c>
    </row>
    <row r="66" spans="1:14" s="351" customFormat="1" ht="37.5">
      <c r="A66" s="122"/>
      <c r="B66" s="135" t="s">
        <v>404</v>
      </c>
      <c r="C66" s="136" t="s">
        <v>3</v>
      </c>
      <c r="D66" s="121" t="s">
        <v>57</v>
      </c>
      <c r="E66" s="121" t="s">
        <v>92</v>
      </c>
      <c r="F66" s="734" t="s">
        <v>61</v>
      </c>
      <c r="G66" s="735" t="s">
        <v>65</v>
      </c>
      <c r="H66" s="735" t="s">
        <v>63</v>
      </c>
      <c r="I66" s="736" t="s">
        <v>64</v>
      </c>
      <c r="J66" s="121"/>
      <c r="K66" s="713">
        <f>K71+K67+K76+K79</f>
        <v>3699.7000000000003</v>
      </c>
      <c r="L66" s="137">
        <f>L71+L67+L76+L79</f>
        <v>0</v>
      </c>
      <c r="M66" s="137">
        <f>M71+M67+M76+M79</f>
        <v>3699.7000000000003</v>
      </c>
      <c r="N66" s="137">
        <f>N71+N67+N76+N79</f>
        <v>3699.7000000000003</v>
      </c>
    </row>
    <row r="67" spans="1:14" s="351" customFormat="1" ht="18.75">
      <c r="A67" s="122"/>
      <c r="B67" s="139" t="s">
        <v>83</v>
      </c>
      <c r="C67" s="136" t="s">
        <v>3</v>
      </c>
      <c r="D67" s="121" t="s">
        <v>57</v>
      </c>
      <c r="E67" s="121" t="s">
        <v>92</v>
      </c>
      <c r="F67" s="734" t="s">
        <v>61</v>
      </c>
      <c r="G67" s="735" t="s">
        <v>65</v>
      </c>
      <c r="H67" s="735" t="s">
        <v>84</v>
      </c>
      <c r="I67" s="736" t="s">
        <v>64</v>
      </c>
      <c r="J67" s="121"/>
      <c r="K67" s="713">
        <f>K68</f>
        <v>1064.0999999999999</v>
      </c>
      <c r="L67" s="137">
        <f>L68</f>
        <v>0</v>
      </c>
      <c r="M67" s="137">
        <f>M68</f>
        <v>1064.0999999999999</v>
      </c>
      <c r="N67" s="137">
        <f>N68</f>
        <v>1064.0999999999999</v>
      </c>
    </row>
    <row r="68" spans="1:14" s="351" customFormat="1" ht="75">
      <c r="A68" s="122"/>
      <c r="B68" s="139" t="s">
        <v>478</v>
      </c>
      <c r="C68" s="136" t="s">
        <v>3</v>
      </c>
      <c r="D68" s="121" t="s">
        <v>57</v>
      </c>
      <c r="E68" s="121" t="s">
        <v>92</v>
      </c>
      <c r="F68" s="734" t="s">
        <v>61</v>
      </c>
      <c r="G68" s="735" t="s">
        <v>65</v>
      </c>
      <c r="H68" s="735" t="s">
        <v>84</v>
      </c>
      <c r="I68" s="736" t="s">
        <v>477</v>
      </c>
      <c r="J68" s="121"/>
      <c r="K68" s="713">
        <f>K69+K70</f>
        <v>1064.0999999999999</v>
      </c>
      <c r="L68" s="137">
        <f>L69+L70</f>
        <v>0</v>
      </c>
      <c r="M68" s="137">
        <f>M69+M70</f>
        <v>1064.0999999999999</v>
      </c>
      <c r="N68" s="137">
        <f>N69+N70</f>
        <v>1064.0999999999999</v>
      </c>
    </row>
    <row r="69" spans="1:14" s="351" customFormat="1" ht="56.25">
      <c r="A69" s="122"/>
      <c r="B69" s="135" t="s">
        <v>75</v>
      </c>
      <c r="C69" s="136" t="s">
        <v>3</v>
      </c>
      <c r="D69" s="121" t="s">
        <v>57</v>
      </c>
      <c r="E69" s="121" t="s">
        <v>92</v>
      </c>
      <c r="F69" s="734" t="s">
        <v>61</v>
      </c>
      <c r="G69" s="735" t="s">
        <v>65</v>
      </c>
      <c r="H69" s="735" t="s">
        <v>84</v>
      </c>
      <c r="I69" s="736" t="s">
        <v>477</v>
      </c>
      <c r="J69" s="121" t="s">
        <v>76</v>
      </c>
      <c r="K69" s="713">
        <v>833.3</v>
      </c>
      <c r="L69" s="137">
        <f>M69-K69</f>
        <v>0</v>
      </c>
      <c r="M69" s="137">
        <v>833.3</v>
      </c>
      <c r="N69" s="137">
        <v>833.3</v>
      </c>
    </row>
    <row r="70" spans="1:14" s="351" customFormat="1" ht="18.75">
      <c r="A70" s="122"/>
      <c r="B70" s="135" t="s">
        <v>77</v>
      </c>
      <c r="C70" s="136" t="s">
        <v>3</v>
      </c>
      <c r="D70" s="121" t="s">
        <v>57</v>
      </c>
      <c r="E70" s="121" t="s">
        <v>92</v>
      </c>
      <c r="F70" s="734" t="s">
        <v>61</v>
      </c>
      <c r="G70" s="735" t="s">
        <v>65</v>
      </c>
      <c r="H70" s="735" t="s">
        <v>84</v>
      </c>
      <c r="I70" s="736" t="s">
        <v>477</v>
      </c>
      <c r="J70" s="121" t="s">
        <v>78</v>
      </c>
      <c r="K70" s="713">
        <v>230.8</v>
      </c>
      <c r="L70" s="137">
        <f>M70-K70</f>
        <v>0</v>
      </c>
      <c r="M70" s="137">
        <v>230.8</v>
      </c>
      <c r="N70" s="137">
        <v>230.8</v>
      </c>
    </row>
    <row r="71" spans="1:14" s="351" customFormat="1" ht="18.75">
      <c r="A71" s="122"/>
      <c r="B71" s="135" t="s">
        <v>85</v>
      </c>
      <c r="C71" s="136" t="s">
        <v>3</v>
      </c>
      <c r="D71" s="121" t="s">
        <v>57</v>
      </c>
      <c r="E71" s="121" t="s">
        <v>92</v>
      </c>
      <c r="F71" s="734" t="s">
        <v>61</v>
      </c>
      <c r="G71" s="735" t="s">
        <v>65</v>
      </c>
      <c r="H71" s="735" t="s">
        <v>72</v>
      </c>
      <c r="I71" s="736" t="s">
        <v>64</v>
      </c>
      <c r="J71" s="121"/>
      <c r="K71" s="713">
        <f>K72+K74</f>
        <v>2450.2000000000003</v>
      </c>
      <c r="L71" s="137">
        <f>L72+L74</f>
        <v>0</v>
      </c>
      <c r="M71" s="137">
        <f>M72+M74</f>
        <v>2450.2000000000003</v>
      </c>
      <c r="N71" s="137">
        <f>N72+N74</f>
        <v>2450.2000000000003</v>
      </c>
    </row>
    <row r="72" spans="1:14" s="351" customFormat="1" ht="75">
      <c r="A72" s="122"/>
      <c r="B72" s="140" t="s">
        <v>429</v>
      </c>
      <c r="C72" s="136" t="s">
        <v>3</v>
      </c>
      <c r="D72" s="121" t="s">
        <v>57</v>
      </c>
      <c r="E72" s="121" t="s">
        <v>92</v>
      </c>
      <c r="F72" s="734" t="s">
        <v>61</v>
      </c>
      <c r="G72" s="735" t="s">
        <v>65</v>
      </c>
      <c r="H72" s="735" t="s">
        <v>72</v>
      </c>
      <c r="I72" s="736" t="s">
        <v>126</v>
      </c>
      <c r="J72" s="121"/>
      <c r="K72" s="713">
        <f>K73</f>
        <v>475.3</v>
      </c>
      <c r="L72" s="137">
        <f>L73</f>
        <v>0</v>
      </c>
      <c r="M72" s="137">
        <f>M73</f>
        <v>475.3</v>
      </c>
      <c r="N72" s="137">
        <f>N73</f>
        <v>475.3</v>
      </c>
    </row>
    <row r="73" spans="1:14" s="351" customFormat="1" ht="56.25">
      <c r="A73" s="122"/>
      <c r="B73" s="135" t="s">
        <v>75</v>
      </c>
      <c r="C73" s="136" t="s">
        <v>3</v>
      </c>
      <c r="D73" s="121" t="s">
        <v>57</v>
      </c>
      <c r="E73" s="121" t="s">
        <v>92</v>
      </c>
      <c r="F73" s="734" t="s">
        <v>61</v>
      </c>
      <c r="G73" s="735" t="s">
        <v>65</v>
      </c>
      <c r="H73" s="735" t="s">
        <v>72</v>
      </c>
      <c r="I73" s="736" t="s">
        <v>126</v>
      </c>
      <c r="J73" s="121" t="s">
        <v>76</v>
      </c>
      <c r="K73" s="713">
        <v>475.3</v>
      </c>
      <c r="L73" s="137">
        <f>M73-K73</f>
        <v>0</v>
      </c>
      <c r="M73" s="137">
        <v>475.3</v>
      </c>
      <c r="N73" s="137">
        <v>475.3</v>
      </c>
    </row>
    <row r="74" spans="1:14" s="351" customFormat="1" ht="56.25">
      <c r="A74" s="122"/>
      <c r="B74" s="135" t="s">
        <v>431</v>
      </c>
      <c r="C74" s="136" t="s">
        <v>3</v>
      </c>
      <c r="D74" s="121" t="s">
        <v>57</v>
      </c>
      <c r="E74" s="121" t="s">
        <v>92</v>
      </c>
      <c r="F74" s="734" t="s">
        <v>61</v>
      </c>
      <c r="G74" s="735" t="s">
        <v>65</v>
      </c>
      <c r="H74" s="735" t="s">
        <v>72</v>
      </c>
      <c r="I74" s="736" t="s">
        <v>430</v>
      </c>
      <c r="J74" s="121"/>
      <c r="K74" s="713">
        <f>K75</f>
        <v>1974.9</v>
      </c>
      <c r="L74" s="137">
        <f>L75</f>
        <v>0</v>
      </c>
      <c r="M74" s="137">
        <f>M75</f>
        <v>1974.9</v>
      </c>
      <c r="N74" s="137">
        <f>N75</f>
        <v>1974.9</v>
      </c>
    </row>
    <row r="75" spans="1:14" s="351" customFormat="1" ht="56.25">
      <c r="A75" s="122"/>
      <c r="B75" s="135" t="s">
        <v>75</v>
      </c>
      <c r="C75" s="136" t="s">
        <v>3</v>
      </c>
      <c r="D75" s="121" t="s">
        <v>57</v>
      </c>
      <c r="E75" s="121" t="s">
        <v>92</v>
      </c>
      <c r="F75" s="734" t="s">
        <v>61</v>
      </c>
      <c r="G75" s="735" t="s">
        <v>65</v>
      </c>
      <c r="H75" s="735" t="s">
        <v>72</v>
      </c>
      <c r="I75" s="736" t="s">
        <v>430</v>
      </c>
      <c r="J75" s="121" t="s">
        <v>76</v>
      </c>
      <c r="K75" s="713">
        <v>1974.9</v>
      </c>
      <c r="L75" s="137">
        <f>M75-K75</f>
        <v>0</v>
      </c>
      <c r="M75" s="137">
        <v>1974.9</v>
      </c>
      <c r="N75" s="137">
        <v>1974.9</v>
      </c>
    </row>
    <row r="76" spans="1:14" s="351" customFormat="1" ht="37.5">
      <c r="A76" s="122"/>
      <c r="B76" s="135" t="s">
        <v>811</v>
      </c>
      <c r="C76" s="136" t="s">
        <v>3</v>
      </c>
      <c r="D76" s="121" t="s">
        <v>57</v>
      </c>
      <c r="E76" s="121" t="s">
        <v>92</v>
      </c>
      <c r="F76" s="734" t="s">
        <v>61</v>
      </c>
      <c r="G76" s="735" t="s">
        <v>65</v>
      </c>
      <c r="H76" s="735" t="s">
        <v>585</v>
      </c>
      <c r="I76" s="736" t="s">
        <v>64</v>
      </c>
      <c r="J76" s="121"/>
      <c r="K76" s="713">
        <f t="shared" ref="K76:N77" si="6">K77</f>
        <v>148</v>
      </c>
      <c r="L76" s="137">
        <f t="shared" si="6"/>
        <v>0</v>
      </c>
      <c r="M76" s="137">
        <f t="shared" si="6"/>
        <v>148</v>
      </c>
      <c r="N76" s="137">
        <f t="shared" si="6"/>
        <v>148</v>
      </c>
    </row>
    <row r="77" spans="1:14" s="351" customFormat="1" ht="37.5">
      <c r="A77" s="122"/>
      <c r="B77" s="140" t="s">
        <v>812</v>
      </c>
      <c r="C77" s="136" t="s">
        <v>3</v>
      </c>
      <c r="D77" s="121" t="s">
        <v>57</v>
      </c>
      <c r="E77" s="121" t="s">
        <v>92</v>
      </c>
      <c r="F77" s="734" t="s">
        <v>61</v>
      </c>
      <c r="G77" s="735" t="s">
        <v>65</v>
      </c>
      <c r="H77" s="735" t="s">
        <v>585</v>
      </c>
      <c r="I77" s="736" t="s">
        <v>111</v>
      </c>
      <c r="J77" s="121"/>
      <c r="K77" s="713">
        <f t="shared" si="6"/>
        <v>148</v>
      </c>
      <c r="L77" s="137">
        <f t="shared" si="6"/>
        <v>0</v>
      </c>
      <c r="M77" s="137">
        <f t="shared" si="6"/>
        <v>148</v>
      </c>
      <c r="N77" s="137">
        <f t="shared" si="6"/>
        <v>148</v>
      </c>
    </row>
    <row r="78" spans="1:14" s="351" customFormat="1" ht="56.25">
      <c r="A78" s="122"/>
      <c r="B78" s="135" t="s">
        <v>75</v>
      </c>
      <c r="C78" s="136" t="s">
        <v>3</v>
      </c>
      <c r="D78" s="121" t="s">
        <v>57</v>
      </c>
      <c r="E78" s="121" t="s">
        <v>92</v>
      </c>
      <c r="F78" s="734" t="s">
        <v>61</v>
      </c>
      <c r="G78" s="735" t="s">
        <v>65</v>
      </c>
      <c r="H78" s="735" t="s">
        <v>585</v>
      </c>
      <c r="I78" s="736" t="s">
        <v>111</v>
      </c>
      <c r="J78" s="121" t="s">
        <v>76</v>
      </c>
      <c r="K78" s="713">
        <v>148</v>
      </c>
      <c r="L78" s="137">
        <f>M78-K78</f>
        <v>0</v>
      </c>
      <c r="M78" s="137">
        <v>148</v>
      </c>
      <c r="N78" s="137">
        <v>148</v>
      </c>
    </row>
    <row r="79" spans="1:14" s="351" customFormat="1" ht="37.5">
      <c r="A79" s="122"/>
      <c r="B79" s="135" t="s">
        <v>799</v>
      </c>
      <c r="C79" s="136" t="s">
        <v>3</v>
      </c>
      <c r="D79" s="121" t="s">
        <v>57</v>
      </c>
      <c r="E79" s="121" t="s">
        <v>92</v>
      </c>
      <c r="F79" s="734" t="s">
        <v>61</v>
      </c>
      <c r="G79" s="735" t="s">
        <v>65</v>
      </c>
      <c r="H79" s="735" t="s">
        <v>61</v>
      </c>
      <c r="I79" s="736" t="s">
        <v>64</v>
      </c>
      <c r="J79" s="121"/>
      <c r="K79" s="713">
        <f t="shared" ref="K79:N80" si="7">K80</f>
        <v>37.4</v>
      </c>
      <c r="L79" s="137">
        <f t="shared" si="7"/>
        <v>0</v>
      </c>
      <c r="M79" s="137">
        <f t="shared" si="7"/>
        <v>37.4</v>
      </c>
      <c r="N79" s="137">
        <f t="shared" si="7"/>
        <v>37.4</v>
      </c>
    </row>
    <row r="80" spans="1:14" s="351" customFormat="1" ht="18.75">
      <c r="A80" s="122"/>
      <c r="B80" s="140" t="s">
        <v>797</v>
      </c>
      <c r="C80" s="136" t="s">
        <v>3</v>
      </c>
      <c r="D80" s="121" t="s">
        <v>57</v>
      </c>
      <c r="E80" s="121" t="s">
        <v>92</v>
      </c>
      <c r="F80" s="734" t="s">
        <v>61</v>
      </c>
      <c r="G80" s="735" t="s">
        <v>65</v>
      </c>
      <c r="H80" s="735" t="s">
        <v>61</v>
      </c>
      <c r="I80" s="736" t="s">
        <v>798</v>
      </c>
      <c r="J80" s="121"/>
      <c r="K80" s="713">
        <f t="shared" si="7"/>
        <v>37.4</v>
      </c>
      <c r="L80" s="137">
        <f t="shared" si="7"/>
        <v>0</v>
      </c>
      <c r="M80" s="137">
        <f t="shared" si="7"/>
        <v>37.4</v>
      </c>
      <c r="N80" s="137">
        <f t="shared" si="7"/>
        <v>37.4</v>
      </c>
    </row>
    <row r="81" spans="1:14" s="351" customFormat="1" ht="56.25">
      <c r="A81" s="122"/>
      <c r="B81" s="135" t="s">
        <v>75</v>
      </c>
      <c r="C81" s="136" t="s">
        <v>3</v>
      </c>
      <c r="D81" s="121" t="s">
        <v>57</v>
      </c>
      <c r="E81" s="121" t="s">
        <v>92</v>
      </c>
      <c r="F81" s="734" t="s">
        <v>61</v>
      </c>
      <c r="G81" s="735" t="s">
        <v>65</v>
      </c>
      <c r="H81" s="735" t="s">
        <v>61</v>
      </c>
      <c r="I81" s="736" t="s">
        <v>798</v>
      </c>
      <c r="J81" s="121" t="s">
        <v>76</v>
      </c>
      <c r="K81" s="713">
        <v>37.4</v>
      </c>
      <c r="L81" s="137">
        <f>M81-K81</f>
        <v>0</v>
      </c>
      <c r="M81" s="137">
        <v>37.4</v>
      </c>
      <c r="N81" s="137">
        <v>37.4</v>
      </c>
    </row>
    <row r="82" spans="1:14" s="351" customFormat="1" ht="37.5">
      <c r="A82" s="122"/>
      <c r="B82" s="135" t="s">
        <v>99</v>
      </c>
      <c r="C82" s="136" t="s">
        <v>3</v>
      </c>
      <c r="D82" s="121" t="s">
        <v>84</v>
      </c>
      <c r="E82" s="121"/>
      <c r="F82" s="734"/>
      <c r="G82" s="735"/>
      <c r="H82" s="735"/>
      <c r="I82" s="736"/>
      <c r="J82" s="121"/>
      <c r="K82" s="713">
        <f>K83+K93</f>
        <v>12548</v>
      </c>
      <c r="L82" s="137">
        <f>L83+L93</f>
        <v>0</v>
      </c>
      <c r="M82" s="137">
        <f>M83+M93</f>
        <v>12548</v>
      </c>
      <c r="N82" s="137">
        <f>N83+N93</f>
        <v>12548.4</v>
      </c>
    </row>
    <row r="83" spans="1:14" s="351" customFormat="1" ht="75">
      <c r="A83" s="122"/>
      <c r="B83" s="502" t="s">
        <v>792</v>
      </c>
      <c r="C83" s="136" t="s">
        <v>3</v>
      </c>
      <c r="D83" s="121" t="s">
        <v>84</v>
      </c>
      <c r="E83" s="121" t="s">
        <v>125</v>
      </c>
      <c r="F83" s="734"/>
      <c r="G83" s="735"/>
      <c r="H83" s="735"/>
      <c r="I83" s="736"/>
      <c r="J83" s="121"/>
      <c r="K83" s="713">
        <f t="shared" ref="K83:N85" si="8">K84</f>
        <v>3437.6000000000004</v>
      </c>
      <c r="L83" s="137">
        <f t="shared" si="8"/>
        <v>0</v>
      </c>
      <c r="M83" s="137">
        <f t="shared" si="8"/>
        <v>3437.6000000000004</v>
      </c>
      <c r="N83" s="137">
        <f t="shared" si="8"/>
        <v>3437.6000000000004</v>
      </c>
    </row>
    <row r="84" spans="1:14" s="351" customFormat="1" ht="75">
      <c r="A84" s="122"/>
      <c r="B84" s="135" t="s">
        <v>101</v>
      </c>
      <c r="C84" s="136" t="s">
        <v>3</v>
      </c>
      <c r="D84" s="121" t="s">
        <v>84</v>
      </c>
      <c r="E84" s="121" t="s">
        <v>125</v>
      </c>
      <c r="F84" s="734" t="s">
        <v>102</v>
      </c>
      <c r="G84" s="735" t="s">
        <v>62</v>
      </c>
      <c r="H84" s="735" t="s">
        <v>63</v>
      </c>
      <c r="I84" s="736" t="s">
        <v>64</v>
      </c>
      <c r="J84" s="121"/>
      <c r="K84" s="713">
        <f t="shared" si="8"/>
        <v>3437.6000000000004</v>
      </c>
      <c r="L84" s="137">
        <f t="shared" si="8"/>
        <v>0</v>
      </c>
      <c r="M84" s="137">
        <f t="shared" si="8"/>
        <v>3437.6000000000004</v>
      </c>
      <c r="N84" s="137">
        <f t="shared" si="8"/>
        <v>3437.6000000000004</v>
      </c>
    </row>
    <row r="85" spans="1:14" s="351" customFormat="1" ht="75">
      <c r="A85" s="122"/>
      <c r="B85" s="141" t="s">
        <v>103</v>
      </c>
      <c r="C85" s="136" t="s">
        <v>3</v>
      </c>
      <c r="D85" s="121" t="s">
        <v>84</v>
      </c>
      <c r="E85" s="121" t="s">
        <v>125</v>
      </c>
      <c r="F85" s="734" t="s">
        <v>102</v>
      </c>
      <c r="G85" s="735" t="s">
        <v>65</v>
      </c>
      <c r="H85" s="735" t="s">
        <v>63</v>
      </c>
      <c r="I85" s="736" t="s">
        <v>64</v>
      </c>
      <c r="J85" s="121"/>
      <c r="K85" s="713">
        <f t="shared" si="8"/>
        <v>3437.6000000000004</v>
      </c>
      <c r="L85" s="137">
        <f t="shared" si="8"/>
        <v>0</v>
      </c>
      <c r="M85" s="137">
        <f t="shared" si="8"/>
        <v>3437.6000000000004</v>
      </c>
      <c r="N85" s="137">
        <f t="shared" si="8"/>
        <v>3437.6000000000004</v>
      </c>
    </row>
    <row r="86" spans="1:14" s="351" customFormat="1" ht="93.75">
      <c r="A86" s="122"/>
      <c r="B86" s="135" t="s">
        <v>104</v>
      </c>
      <c r="C86" s="136" t="s">
        <v>3</v>
      </c>
      <c r="D86" s="121" t="s">
        <v>84</v>
      </c>
      <c r="E86" s="121" t="s">
        <v>125</v>
      </c>
      <c r="F86" s="734" t="s">
        <v>102</v>
      </c>
      <c r="G86" s="735" t="s">
        <v>65</v>
      </c>
      <c r="H86" s="735" t="s">
        <v>57</v>
      </c>
      <c r="I86" s="736" t="s">
        <v>64</v>
      </c>
      <c r="J86" s="121"/>
      <c r="K86" s="713">
        <f>K87+K89+K91</f>
        <v>3437.6000000000004</v>
      </c>
      <c r="L86" s="137">
        <f>L87+L89+L91</f>
        <v>0</v>
      </c>
      <c r="M86" s="137">
        <f>M87+M89+M91</f>
        <v>3437.6000000000004</v>
      </c>
      <c r="N86" s="137">
        <f>N87+N89+N91</f>
        <v>3437.6000000000004</v>
      </c>
    </row>
    <row r="87" spans="1:14" s="351" customFormat="1" ht="37.5">
      <c r="A87" s="122"/>
      <c r="B87" s="141" t="s">
        <v>756</v>
      </c>
      <c r="C87" s="136" t="s">
        <v>3</v>
      </c>
      <c r="D87" s="121" t="s">
        <v>84</v>
      </c>
      <c r="E87" s="121" t="s">
        <v>125</v>
      </c>
      <c r="F87" s="734" t="s">
        <v>102</v>
      </c>
      <c r="G87" s="735" t="s">
        <v>65</v>
      </c>
      <c r="H87" s="735" t="s">
        <v>57</v>
      </c>
      <c r="I87" s="736" t="s">
        <v>105</v>
      </c>
      <c r="J87" s="121"/>
      <c r="K87" s="713">
        <f>K88</f>
        <v>298.39999999999998</v>
      </c>
      <c r="L87" s="137">
        <f>L88</f>
        <v>0</v>
      </c>
      <c r="M87" s="137">
        <f>M88</f>
        <v>298.39999999999998</v>
      </c>
      <c r="N87" s="137">
        <f>N88</f>
        <v>298.39999999999998</v>
      </c>
    </row>
    <row r="88" spans="1:14" s="351" customFormat="1" ht="56.25">
      <c r="A88" s="122"/>
      <c r="B88" s="135" t="s">
        <v>75</v>
      </c>
      <c r="C88" s="136" t="s">
        <v>3</v>
      </c>
      <c r="D88" s="121" t="s">
        <v>84</v>
      </c>
      <c r="E88" s="121" t="s">
        <v>125</v>
      </c>
      <c r="F88" s="734" t="s">
        <v>102</v>
      </c>
      <c r="G88" s="735" t="s">
        <v>65</v>
      </c>
      <c r="H88" s="735" t="s">
        <v>57</v>
      </c>
      <c r="I88" s="736" t="s">
        <v>105</v>
      </c>
      <c r="J88" s="121" t="s">
        <v>76</v>
      </c>
      <c r="K88" s="713">
        <v>298.39999999999998</v>
      </c>
      <c r="L88" s="137">
        <f>M88-K88</f>
        <v>0</v>
      </c>
      <c r="M88" s="137">
        <v>298.39999999999998</v>
      </c>
      <c r="N88" s="137">
        <v>298.39999999999998</v>
      </c>
    </row>
    <row r="89" spans="1:14" s="351" customFormat="1" ht="56.25">
      <c r="A89" s="122"/>
      <c r="B89" s="135" t="s">
        <v>106</v>
      </c>
      <c r="C89" s="136" t="s">
        <v>3</v>
      </c>
      <c r="D89" s="121" t="s">
        <v>84</v>
      </c>
      <c r="E89" s="121" t="s">
        <v>125</v>
      </c>
      <c r="F89" s="734" t="s">
        <v>102</v>
      </c>
      <c r="G89" s="735" t="s">
        <v>65</v>
      </c>
      <c r="H89" s="735" t="s">
        <v>57</v>
      </c>
      <c r="I89" s="736" t="s">
        <v>107</v>
      </c>
      <c r="J89" s="121"/>
      <c r="K89" s="713">
        <f>K90</f>
        <v>63.9</v>
      </c>
      <c r="L89" s="137">
        <f>L90</f>
        <v>0</v>
      </c>
      <c r="M89" s="137">
        <f>M90</f>
        <v>63.9</v>
      </c>
      <c r="N89" s="137">
        <f>N90</f>
        <v>63.9</v>
      </c>
    </row>
    <row r="90" spans="1:14" s="351" customFormat="1" ht="56.25">
      <c r="A90" s="122"/>
      <c r="B90" s="135" t="s">
        <v>75</v>
      </c>
      <c r="C90" s="136" t="s">
        <v>3</v>
      </c>
      <c r="D90" s="121" t="s">
        <v>84</v>
      </c>
      <c r="E90" s="121" t="s">
        <v>125</v>
      </c>
      <c r="F90" s="734" t="s">
        <v>102</v>
      </c>
      <c r="G90" s="735" t="s">
        <v>65</v>
      </c>
      <c r="H90" s="735" t="s">
        <v>57</v>
      </c>
      <c r="I90" s="736" t="s">
        <v>107</v>
      </c>
      <c r="J90" s="121" t="s">
        <v>76</v>
      </c>
      <c r="K90" s="713">
        <v>63.9</v>
      </c>
      <c r="L90" s="137">
        <f>M90-K90</f>
        <v>0</v>
      </c>
      <c r="M90" s="137">
        <v>63.9</v>
      </c>
      <c r="N90" s="137">
        <v>63.9</v>
      </c>
    </row>
    <row r="91" spans="1:14" s="351" customFormat="1" ht="112.5">
      <c r="A91" s="122"/>
      <c r="B91" s="135" t="s">
        <v>405</v>
      </c>
      <c r="C91" s="136" t="s">
        <v>3</v>
      </c>
      <c r="D91" s="121" t="s">
        <v>84</v>
      </c>
      <c r="E91" s="121" t="s">
        <v>125</v>
      </c>
      <c r="F91" s="734" t="s">
        <v>102</v>
      </c>
      <c r="G91" s="735" t="s">
        <v>65</v>
      </c>
      <c r="H91" s="735" t="s">
        <v>57</v>
      </c>
      <c r="I91" s="736" t="s">
        <v>393</v>
      </c>
      <c r="J91" s="121"/>
      <c r="K91" s="713">
        <f>K92</f>
        <v>3075.3</v>
      </c>
      <c r="L91" s="137">
        <f>L92</f>
        <v>0</v>
      </c>
      <c r="M91" s="137">
        <f>M92</f>
        <v>3075.3</v>
      </c>
      <c r="N91" s="137">
        <f>N92</f>
        <v>3075.3</v>
      </c>
    </row>
    <row r="92" spans="1:14" s="351" customFormat="1" ht="18.75">
      <c r="A92" s="122"/>
      <c r="B92" s="135" t="s">
        <v>144</v>
      </c>
      <c r="C92" s="136" t="s">
        <v>3</v>
      </c>
      <c r="D92" s="121" t="s">
        <v>84</v>
      </c>
      <c r="E92" s="121" t="s">
        <v>125</v>
      </c>
      <c r="F92" s="734" t="s">
        <v>102</v>
      </c>
      <c r="G92" s="735" t="s">
        <v>65</v>
      </c>
      <c r="H92" s="735" t="s">
        <v>57</v>
      </c>
      <c r="I92" s="736" t="s">
        <v>393</v>
      </c>
      <c r="J92" s="121" t="s">
        <v>145</v>
      </c>
      <c r="K92" s="713">
        <v>3075.3</v>
      </c>
      <c r="L92" s="137">
        <f>M92-K92</f>
        <v>0</v>
      </c>
      <c r="M92" s="137">
        <v>3075.3</v>
      </c>
      <c r="N92" s="137">
        <v>3075.3</v>
      </c>
    </row>
    <row r="93" spans="1:14" s="351" customFormat="1" ht="56.25">
      <c r="A93" s="122"/>
      <c r="B93" s="140" t="s">
        <v>108</v>
      </c>
      <c r="C93" s="136" t="s">
        <v>3</v>
      </c>
      <c r="D93" s="121" t="s">
        <v>84</v>
      </c>
      <c r="E93" s="121" t="s">
        <v>109</v>
      </c>
      <c r="F93" s="734"/>
      <c r="G93" s="735"/>
      <c r="H93" s="735"/>
      <c r="I93" s="736"/>
      <c r="J93" s="121"/>
      <c r="K93" s="713">
        <f t="shared" ref="K93:N93" si="9">K94</f>
        <v>9110.4</v>
      </c>
      <c r="L93" s="137">
        <f t="shared" si="9"/>
        <v>0</v>
      </c>
      <c r="M93" s="137">
        <f t="shared" si="9"/>
        <v>9110.4</v>
      </c>
      <c r="N93" s="137">
        <f t="shared" si="9"/>
        <v>9110.7999999999993</v>
      </c>
    </row>
    <row r="94" spans="1:14" s="351" customFormat="1" ht="57.75" customHeight="1">
      <c r="A94" s="122"/>
      <c r="B94" s="135" t="s">
        <v>101</v>
      </c>
      <c r="C94" s="136" t="s">
        <v>3</v>
      </c>
      <c r="D94" s="121" t="s">
        <v>84</v>
      </c>
      <c r="E94" s="121" t="s">
        <v>109</v>
      </c>
      <c r="F94" s="734" t="s">
        <v>102</v>
      </c>
      <c r="G94" s="735" t="s">
        <v>62</v>
      </c>
      <c r="H94" s="735" t="s">
        <v>63</v>
      </c>
      <c r="I94" s="736" t="s">
        <v>64</v>
      </c>
      <c r="J94" s="121"/>
      <c r="K94" s="713">
        <f>K102+K95</f>
        <v>9110.4</v>
      </c>
      <c r="L94" s="137">
        <f>L102+L95</f>
        <v>0</v>
      </c>
      <c r="M94" s="137">
        <f>M102+M95</f>
        <v>9110.4</v>
      </c>
      <c r="N94" s="137">
        <f>N102+N95</f>
        <v>9110.7999999999993</v>
      </c>
    </row>
    <row r="95" spans="1:14" s="351" customFormat="1" ht="39.75" customHeight="1">
      <c r="A95" s="122"/>
      <c r="B95" s="140" t="s">
        <v>146</v>
      </c>
      <c r="C95" s="136" t="s">
        <v>3</v>
      </c>
      <c r="D95" s="121" t="s">
        <v>84</v>
      </c>
      <c r="E95" s="121" t="s">
        <v>109</v>
      </c>
      <c r="F95" s="734" t="s">
        <v>102</v>
      </c>
      <c r="G95" s="735" t="s">
        <v>110</v>
      </c>
      <c r="H95" s="735" t="s">
        <v>63</v>
      </c>
      <c r="I95" s="736" t="s">
        <v>64</v>
      </c>
      <c r="J95" s="121"/>
      <c r="K95" s="713">
        <f>K96+K99</f>
        <v>262.3</v>
      </c>
      <c r="L95" s="137">
        <f>L96+L99</f>
        <v>0</v>
      </c>
      <c r="M95" s="137">
        <f>M96+M99</f>
        <v>262.3</v>
      </c>
      <c r="N95" s="137">
        <f>N96+N99</f>
        <v>262.3</v>
      </c>
    </row>
    <row r="96" spans="1:14" s="351" customFormat="1" ht="39" customHeight="1">
      <c r="A96" s="122"/>
      <c r="B96" s="140" t="s">
        <v>311</v>
      </c>
      <c r="C96" s="136" t="s">
        <v>3</v>
      </c>
      <c r="D96" s="121" t="s">
        <v>84</v>
      </c>
      <c r="E96" s="121" t="s">
        <v>109</v>
      </c>
      <c r="F96" s="734" t="s">
        <v>102</v>
      </c>
      <c r="G96" s="735" t="s">
        <v>110</v>
      </c>
      <c r="H96" s="735" t="s">
        <v>57</v>
      </c>
      <c r="I96" s="736" t="s">
        <v>64</v>
      </c>
      <c r="J96" s="121"/>
      <c r="K96" s="713">
        <f t="shared" ref="K96:N97" si="10">K97</f>
        <v>21.6</v>
      </c>
      <c r="L96" s="137">
        <f t="shared" si="10"/>
        <v>0</v>
      </c>
      <c r="M96" s="137">
        <f t="shared" si="10"/>
        <v>21.6</v>
      </c>
      <c r="N96" s="137">
        <f t="shared" si="10"/>
        <v>21.6</v>
      </c>
    </row>
    <row r="97" spans="1:14" s="351" customFormat="1" ht="36" customHeight="1">
      <c r="A97" s="122"/>
      <c r="B97" s="138" t="s">
        <v>148</v>
      </c>
      <c r="C97" s="136" t="s">
        <v>3</v>
      </c>
      <c r="D97" s="121" t="s">
        <v>84</v>
      </c>
      <c r="E97" s="121" t="s">
        <v>109</v>
      </c>
      <c r="F97" s="734" t="s">
        <v>102</v>
      </c>
      <c r="G97" s="735" t="s">
        <v>110</v>
      </c>
      <c r="H97" s="735" t="s">
        <v>57</v>
      </c>
      <c r="I97" s="736" t="s">
        <v>111</v>
      </c>
      <c r="J97" s="121"/>
      <c r="K97" s="713">
        <f t="shared" si="10"/>
        <v>21.6</v>
      </c>
      <c r="L97" s="137">
        <f t="shared" si="10"/>
        <v>0</v>
      </c>
      <c r="M97" s="137">
        <f t="shared" si="10"/>
        <v>21.6</v>
      </c>
      <c r="N97" s="137">
        <f t="shared" si="10"/>
        <v>21.6</v>
      </c>
    </row>
    <row r="98" spans="1:14" s="351" customFormat="1" ht="57.75" customHeight="1">
      <c r="A98" s="122"/>
      <c r="B98" s="135" t="s">
        <v>75</v>
      </c>
      <c r="C98" s="136" t="s">
        <v>3</v>
      </c>
      <c r="D98" s="121" t="s">
        <v>84</v>
      </c>
      <c r="E98" s="121" t="s">
        <v>109</v>
      </c>
      <c r="F98" s="734" t="s">
        <v>102</v>
      </c>
      <c r="G98" s="735" t="s">
        <v>110</v>
      </c>
      <c r="H98" s="735" t="s">
        <v>57</v>
      </c>
      <c r="I98" s="736" t="s">
        <v>111</v>
      </c>
      <c r="J98" s="121" t="s">
        <v>76</v>
      </c>
      <c r="K98" s="713">
        <v>21.6</v>
      </c>
      <c r="L98" s="137">
        <f>M98-K98</f>
        <v>0</v>
      </c>
      <c r="M98" s="137">
        <v>21.6</v>
      </c>
      <c r="N98" s="137">
        <v>21.6</v>
      </c>
    </row>
    <row r="99" spans="1:14" s="351" customFormat="1" ht="57.75" customHeight="1">
      <c r="A99" s="122"/>
      <c r="B99" s="138" t="s">
        <v>147</v>
      </c>
      <c r="C99" s="136" t="s">
        <v>3</v>
      </c>
      <c r="D99" s="121" t="s">
        <v>84</v>
      </c>
      <c r="E99" s="121" t="s">
        <v>109</v>
      </c>
      <c r="F99" s="734" t="s">
        <v>102</v>
      </c>
      <c r="G99" s="735" t="s">
        <v>110</v>
      </c>
      <c r="H99" s="735" t="s">
        <v>59</v>
      </c>
      <c r="I99" s="736" t="s">
        <v>64</v>
      </c>
      <c r="J99" s="121"/>
      <c r="K99" s="713">
        <f t="shared" ref="K99:N100" si="11">K100</f>
        <v>240.7</v>
      </c>
      <c r="L99" s="137">
        <f t="shared" si="11"/>
        <v>0</v>
      </c>
      <c r="M99" s="137">
        <f t="shared" si="11"/>
        <v>240.7</v>
      </c>
      <c r="N99" s="137">
        <f t="shared" si="11"/>
        <v>240.7</v>
      </c>
    </row>
    <row r="100" spans="1:14" s="351" customFormat="1" ht="31.5" customHeight="1">
      <c r="A100" s="122"/>
      <c r="B100" s="138" t="s">
        <v>148</v>
      </c>
      <c r="C100" s="136" t="s">
        <v>3</v>
      </c>
      <c r="D100" s="121" t="s">
        <v>84</v>
      </c>
      <c r="E100" s="121" t="s">
        <v>109</v>
      </c>
      <c r="F100" s="734" t="s">
        <v>102</v>
      </c>
      <c r="G100" s="735" t="s">
        <v>110</v>
      </c>
      <c r="H100" s="735" t="s">
        <v>59</v>
      </c>
      <c r="I100" s="736" t="s">
        <v>111</v>
      </c>
      <c r="J100" s="121"/>
      <c r="K100" s="713">
        <f t="shared" si="11"/>
        <v>240.7</v>
      </c>
      <c r="L100" s="137">
        <f t="shared" si="11"/>
        <v>0</v>
      </c>
      <c r="M100" s="137">
        <f t="shared" si="11"/>
        <v>240.7</v>
      </c>
      <c r="N100" s="137">
        <f t="shared" si="11"/>
        <v>240.7</v>
      </c>
    </row>
    <row r="101" spans="1:14" s="351" customFormat="1" ht="56.25">
      <c r="A101" s="122"/>
      <c r="B101" s="135" t="s">
        <v>75</v>
      </c>
      <c r="C101" s="136" t="s">
        <v>3</v>
      </c>
      <c r="D101" s="121" t="s">
        <v>84</v>
      </c>
      <c r="E101" s="121" t="s">
        <v>109</v>
      </c>
      <c r="F101" s="734" t="s">
        <v>102</v>
      </c>
      <c r="G101" s="735" t="s">
        <v>110</v>
      </c>
      <c r="H101" s="735" t="s">
        <v>59</v>
      </c>
      <c r="I101" s="736" t="s">
        <v>111</v>
      </c>
      <c r="J101" s="121" t="s">
        <v>76</v>
      </c>
      <c r="K101" s="713">
        <v>240.7</v>
      </c>
      <c r="L101" s="137">
        <f>M101-K101</f>
        <v>0</v>
      </c>
      <c r="M101" s="137">
        <v>240.7</v>
      </c>
      <c r="N101" s="137">
        <v>240.7</v>
      </c>
    </row>
    <row r="102" spans="1:14" s="351" customFormat="1" ht="75">
      <c r="A102" s="122"/>
      <c r="B102" s="140" t="s">
        <v>453</v>
      </c>
      <c r="C102" s="136" t="s">
        <v>3</v>
      </c>
      <c r="D102" s="121" t="s">
        <v>84</v>
      </c>
      <c r="E102" s="121" t="s">
        <v>109</v>
      </c>
      <c r="F102" s="734" t="s">
        <v>102</v>
      </c>
      <c r="G102" s="735" t="s">
        <v>50</v>
      </c>
      <c r="H102" s="735" t="s">
        <v>63</v>
      </c>
      <c r="I102" s="736" t="s">
        <v>64</v>
      </c>
      <c r="J102" s="121"/>
      <c r="K102" s="713">
        <f t="shared" ref="K102:N103" si="12">K103</f>
        <v>8848.1</v>
      </c>
      <c r="L102" s="137">
        <f t="shared" si="12"/>
        <v>0</v>
      </c>
      <c r="M102" s="137">
        <f t="shared" si="12"/>
        <v>8848.1</v>
      </c>
      <c r="N102" s="137">
        <f t="shared" si="12"/>
        <v>8848.5</v>
      </c>
    </row>
    <row r="103" spans="1:14" s="351" customFormat="1" ht="93.75">
      <c r="A103" s="122"/>
      <c r="B103" s="138" t="s">
        <v>386</v>
      </c>
      <c r="C103" s="136" t="s">
        <v>3</v>
      </c>
      <c r="D103" s="121" t="s">
        <v>84</v>
      </c>
      <c r="E103" s="121" t="s">
        <v>109</v>
      </c>
      <c r="F103" s="734" t="s">
        <v>102</v>
      </c>
      <c r="G103" s="735" t="s">
        <v>50</v>
      </c>
      <c r="H103" s="735" t="s">
        <v>57</v>
      </c>
      <c r="I103" s="736" t="s">
        <v>64</v>
      </c>
      <c r="J103" s="121"/>
      <c r="K103" s="713">
        <f t="shared" si="12"/>
        <v>8848.1</v>
      </c>
      <c r="L103" s="137">
        <f t="shared" si="12"/>
        <v>0</v>
      </c>
      <c r="M103" s="137">
        <f t="shared" si="12"/>
        <v>8848.1</v>
      </c>
      <c r="N103" s="137">
        <f t="shared" si="12"/>
        <v>8848.5</v>
      </c>
    </row>
    <row r="104" spans="1:14" s="351" customFormat="1" ht="38.25" customHeight="1">
      <c r="A104" s="122"/>
      <c r="B104" s="274" t="s">
        <v>795</v>
      </c>
      <c r="C104" s="136" t="s">
        <v>3</v>
      </c>
      <c r="D104" s="121" t="s">
        <v>84</v>
      </c>
      <c r="E104" s="121" t="s">
        <v>109</v>
      </c>
      <c r="F104" s="734" t="s">
        <v>102</v>
      </c>
      <c r="G104" s="735" t="s">
        <v>50</v>
      </c>
      <c r="H104" s="735" t="s">
        <v>57</v>
      </c>
      <c r="I104" s="736" t="s">
        <v>112</v>
      </c>
      <c r="J104" s="121"/>
      <c r="K104" s="713">
        <f>K105+K106+K107</f>
        <v>8848.1</v>
      </c>
      <c r="L104" s="137">
        <f>L105+L106+L107</f>
        <v>0</v>
      </c>
      <c r="M104" s="137">
        <f>M105+M106+M107</f>
        <v>8848.1</v>
      </c>
      <c r="N104" s="137">
        <f>N105+N106+N107</f>
        <v>8848.5</v>
      </c>
    </row>
    <row r="105" spans="1:14" s="351" customFormat="1" ht="112.5">
      <c r="A105" s="122"/>
      <c r="B105" s="135" t="s">
        <v>69</v>
      </c>
      <c r="C105" s="136" t="s">
        <v>3</v>
      </c>
      <c r="D105" s="121" t="s">
        <v>84</v>
      </c>
      <c r="E105" s="121" t="s">
        <v>109</v>
      </c>
      <c r="F105" s="734" t="s">
        <v>102</v>
      </c>
      <c r="G105" s="735" t="s">
        <v>50</v>
      </c>
      <c r="H105" s="735" t="s">
        <v>57</v>
      </c>
      <c r="I105" s="736" t="s">
        <v>112</v>
      </c>
      <c r="J105" s="121" t="s">
        <v>70</v>
      </c>
      <c r="K105" s="713">
        <v>7482.1</v>
      </c>
      <c r="L105" s="137">
        <f>M105-K105</f>
        <v>0</v>
      </c>
      <c r="M105" s="137">
        <v>7482.1</v>
      </c>
      <c r="N105" s="137">
        <v>7482.1</v>
      </c>
    </row>
    <row r="106" spans="1:14" s="351" customFormat="1" ht="56.25">
      <c r="A106" s="122"/>
      <c r="B106" s="135" t="s">
        <v>75</v>
      </c>
      <c r="C106" s="136" t="s">
        <v>3</v>
      </c>
      <c r="D106" s="121" t="s">
        <v>84</v>
      </c>
      <c r="E106" s="121" t="s">
        <v>109</v>
      </c>
      <c r="F106" s="734" t="s">
        <v>102</v>
      </c>
      <c r="G106" s="735" t="s">
        <v>50</v>
      </c>
      <c r="H106" s="735" t="s">
        <v>57</v>
      </c>
      <c r="I106" s="736" t="s">
        <v>112</v>
      </c>
      <c r="J106" s="121" t="s">
        <v>76</v>
      </c>
      <c r="K106" s="713">
        <v>1359.7</v>
      </c>
      <c r="L106" s="137">
        <f>M106-K106</f>
        <v>0</v>
      </c>
      <c r="M106" s="137">
        <v>1359.7</v>
      </c>
      <c r="N106" s="137">
        <v>1360.1</v>
      </c>
    </row>
    <row r="107" spans="1:14" s="351" customFormat="1" ht="18.75">
      <c r="A107" s="122"/>
      <c r="B107" s="135" t="s">
        <v>77</v>
      </c>
      <c r="C107" s="136" t="s">
        <v>3</v>
      </c>
      <c r="D107" s="121" t="s">
        <v>84</v>
      </c>
      <c r="E107" s="121" t="s">
        <v>109</v>
      </c>
      <c r="F107" s="734" t="s">
        <v>102</v>
      </c>
      <c r="G107" s="735" t="s">
        <v>50</v>
      </c>
      <c r="H107" s="735" t="s">
        <v>57</v>
      </c>
      <c r="I107" s="736" t="s">
        <v>112</v>
      </c>
      <c r="J107" s="121" t="s">
        <v>78</v>
      </c>
      <c r="K107" s="713">
        <v>6.3</v>
      </c>
      <c r="L107" s="137">
        <f>M107-K107</f>
        <v>0</v>
      </c>
      <c r="M107" s="137">
        <v>6.3</v>
      </c>
      <c r="N107" s="137">
        <v>6.3</v>
      </c>
    </row>
    <row r="108" spans="1:14" s="351" customFormat="1" ht="18.75">
      <c r="A108" s="122"/>
      <c r="B108" s="135" t="s">
        <v>113</v>
      </c>
      <c r="C108" s="136" t="s">
        <v>3</v>
      </c>
      <c r="D108" s="121" t="s">
        <v>72</v>
      </c>
      <c r="E108" s="121"/>
      <c r="F108" s="734"/>
      <c r="G108" s="735"/>
      <c r="H108" s="735"/>
      <c r="I108" s="736"/>
      <c r="J108" s="121"/>
      <c r="K108" s="713">
        <f>K109+K118+K124</f>
        <v>23816.9</v>
      </c>
      <c r="L108" s="137">
        <f>L109+L118+L124</f>
        <v>0</v>
      </c>
      <c r="M108" s="137">
        <f>M109+M118+M124</f>
        <v>23816.9</v>
      </c>
      <c r="N108" s="137">
        <f>N109+N118+N124</f>
        <v>24744.1</v>
      </c>
    </row>
    <row r="109" spans="1:14" s="118" customFormat="1" ht="18.75">
      <c r="A109" s="122"/>
      <c r="B109" s="135" t="s">
        <v>114</v>
      </c>
      <c r="C109" s="136" t="s">
        <v>3</v>
      </c>
      <c r="D109" s="121" t="s">
        <v>72</v>
      </c>
      <c r="E109" s="121" t="s">
        <v>86</v>
      </c>
      <c r="F109" s="734"/>
      <c r="G109" s="735"/>
      <c r="H109" s="735"/>
      <c r="I109" s="736"/>
      <c r="J109" s="121"/>
      <c r="K109" s="713">
        <f t="shared" ref="K109:N110" si="13">K110</f>
        <v>11258.5</v>
      </c>
      <c r="L109" s="137">
        <f t="shared" si="13"/>
        <v>0</v>
      </c>
      <c r="M109" s="137">
        <f t="shared" si="13"/>
        <v>11258.5</v>
      </c>
      <c r="N109" s="137">
        <f t="shared" si="13"/>
        <v>11258.5</v>
      </c>
    </row>
    <row r="110" spans="1:14" s="351" customFormat="1" ht="59.25" customHeight="1">
      <c r="A110" s="122"/>
      <c r="B110" s="135" t="s">
        <v>115</v>
      </c>
      <c r="C110" s="136" t="s">
        <v>3</v>
      </c>
      <c r="D110" s="121" t="s">
        <v>72</v>
      </c>
      <c r="E110" s="121" t="s">
        <v>86</v>
      </c>
      <c r="F110" s="734" t="s">
        <v>88</v>
      </c>
      <c r="G110" s="735" t="s">
        <v>62</v>
      </c>
      <c r="H110" s="735" t="s">
        <v>63</v>
      </c>
      <c r="I110" s="736" t="s">
        <v>64</v>
      </c>
      <c r="J110" s="121"/>
      <c r="K110" s="713">
        <f t="shared" si="13"/>
        <v>11258.5</v>
      </c>
      <c r="L110" s="137">
        <f t="shared" si="13"/>
        <v>0</v>
      </c>
      <c r="M110" s="137">
        <f t="shared" si="13"/>
        <v>11258.5</v>
      </c>
      <c r="N110" s="137">
        <f t="shared" si="13"/>
        <v>11258.5</v>
      </c>
    </row>
    <row r="111" spans="1:14" s="118" customFormat="1" ht="37.5">
      <c r="A111" s="122"/>
      <c r="B111" s="135" t="s">
        <v>404</v>
      </c>
      <c r="C111" s="136" t="s">
        <v>3</v>
      </c>
      <c r="D111" s="121" t="s">
        <v>72</v>
      </c>
      <c r="E111" s="121" t="s">
        <v>86</v>
      </c>
      <c r="F111" s="734" t="s">
        <v>88</v>
      </c>
      <c r="G111" s="735" t="s">
        <v>65</v>
      </c>
      <c r="H111" s="735" t="s">
        <v>63</v>
      </c>
      <c r="I111" s="736" t="s">
        <v>64</v>
      </c>
      <c r="J111" s="121"/>
      <c r="K111" s="713">
        <f>K112+K115</f>
        <v>11258.5</v>
      </c>
      <c r="L111" s="137">
        <f>L112+L115</f>
        <v>0</v>
      </c>
      <c r="M111" s="137">
        <f>M112+M115</f>
        <v>11258.5</v>
      </c>
      <c r="N111" s="137">
        <f>N112+N115</f>
        <v>11258.5</v>
      </c>
    </row>
    <row r="112" spans="1:14" s="118" customFormat="1" ht="56.25">
      <c r="A112" s="122"/>
      <c r="B112" s="135" t="s">
        <v>116</v>
      </c>
      <c r="C112" s="136" t="s">
        <v>3</v>
      </c>
      <c r="D112" s="121" t="s">
        <v>72</v>
      </c>
      <c r="E112" s="121" t="s">
        <v>86</v>
      </c>
      <c r="F112" s="734" t="s">
        <v>88</v>
      </c>
      <c r="G112" s="735" t="s">
        <v>65</v>
      </c>
      <c r="H112" s="735" t="s">
        <v>57</v>
      </c>
      <c r="I112" s="736" t="s">
        <v>64</v>
      </c>
      <c r="J112" s="121"/>
      <c r="K112" s="713">
        <f t="shared" ref="K112:N112" si="14">K113</f>
        <v>11070.6</v>
      </c>
      <c r="L112" s="137">
        <f t="shared" si="14"/>
        <v>0</v>
      </c>
      <c r="M112" s="137">
        <f t="shared" si="14"/>
        <v>11070.6</v>
      </c>
      <c r="N112" s="137">
        <f t="shared" si="14"/>
        <v>11070.6</v>
      </c>
    </row>
    <row r="113" spans="1:14" s="118" customFormat="1" ht="75">
      <c r="A113" s="122"/>
      <c r="B113" s="167" t="s">
        <v>582</v>
      </c>
      <c r="C113" s="136" t="s">
        <v>3</v>
      </c>
      <c r="D113" s="121" t="s">
        <v>72</v>
      </c>
      <c r="E113" s="121" t="s">
        <v>86</v>
      </c>
      <c r="F113" s="734" t="s">
        <v>88</v>
      </c>
      <c r="G113" s="735" t="s">
        <v>65</v>
      </c>
      <c r="H113" s="735" t="s">
        <v>57</v>
      </c>
      <c r="I113" s="736" t="s">
        <v>82</v>
      </c>
      <c r="J113" s="121"/>
      <c r="K113" s="713">
        <f>K114</f>
        <v>11070.6</v>
      </c>
      <c r="L113" s="137">
        <f>L114</f>
        <v>0</v>
      </c>
      <c r="M113" s="137">
        <f>M114</f>
        <v>11070.6</v>
      </c>
      <c r="N113" s="137">
        <f>N114</f>
        <v>11070.6</v>
      </c>
    </row>
    <row r="114" spans="1:14" s="351" customFormat="1" ht="18.75">
      <c r="A114" s="122"/>
      <c r="B114" s="135" t="s">
        <v>77</v>
      </c>
      <c r="C114" s="136" t="s">
        <v>3</v>
      </c>
      <c r="D114" s="121" t="s">
        <v>72</v>
      </c>
      <c r="E114" s="121" t="s">
        <v>86</v>
      </c>
      <c r="F114" s="734" t="s">
        <v>88</v>
      </c>
      <c r="G114" s="735" t="s">
        <v>65</v>
      </c>
      <c r="H114" s="735" t="s">
        <v>57</v>
      </c>
      <c r="I114" s="736" t="s">
        <v>82</v>
      </c>
      <c r="J114" s="121" t="s">
        <v>78</v>
      </c>
      <c r="K114" s="713">
        <v>11070.6</v>
      </c>
      <c r="L114" s="137">
        <f>M114-K114</f>
        <v>0</v>
      </c>
      <c r="M114" s="137">
        <v>11070.6</v>
      </c>
      <c r="N114" s="137">
        <v>11070.6</v>
      </c>
    </row>
    <row r="115" spans="1:14" s="118" customFormat="1" ht="57" customHeight="1">
      <c r="A115" s="122"/>
      <c r="B115" s="135" t="s">
        <v>117</v>
      </c>
      <c r="C115" s="136" t="s">
        <v>3</v>
      </c>
      <c r="D115" s="121" t="s">
        <v>72</v>
      </c>
      <c r="E115" s="121" t="s">
        <v>86</v>
      </c>
      <c r="F115" s="734" t="s">
        <v>88</v>
      </c>
      <c r="G115" s="735" t="s">
        <v>65</v>
      </c>
      <c r="H115" s="735" t="s">
        <v>59</v>
      </c>
      <c r="I115" s="736" t="s">
        <v>64</v>
      </c>
      <c r="J115" s="121"/>
      <c r="K115" s="713">
        <f t="shared" ref="K115:N116" si="15">K116</f>
        <v>187.9</v>
      </c>
      <c r="L115" s="137">
        <f t="shared" si="15"/>
        <v>0</v>
      </c>
      <c r="M115" s="137">
        <f t="shared" si="15"/>
        <v>187.9</v>
      </c>
      <c r="N115" s="137">
        <f t="shared" si="15"/>
        <v>187.9</v>
      </c>
    </row>
    <row r="116" spans="1:14" s="118" customFormat="1" ht="18.75">
      <c r="A116" s="122"/>
      <c r="B116" s="135" t="s">
        <v>687</v>
      </c>
      <c r="C116" s="136" t="s">
        <v>3</v>
      </c>
      <c r="D116" s="121" t="s">
        <v>72</v>
      </c>
      <c r="E116" s="121" t="s">
        <v>86</v>
      </c>
      <c r="F116" s="734" t="s">
        <v>88</v>
      </c>
      <c r="G116" s="735" t="s">
        <v>65</v>
      </c>
      <c r="H116" s="735" t="s">
        <v>59</v>
      </c>
      <c r="I116" s="736" t="s">
        <v>118</v>
      </c>
      <c r="J116" s="121"/>
      <c r="K116" s="713">
        <f t="shared" si="15"/>
        <v>187.9</v>
      </c>
      <c r="L116" s="137">
        <f t="shared" si="15"/>
        <v>0</v>
      </c>
      <c r="M116" s="137">
        <f t="shared" si="15"/>
        <v>187.9</v>
      </c>
      <c r="N116" s="137">
        <f t="shared" si="15"/>
        <v>187.9</v>
      </c>
    </row>
    <row r="117" spans="1:14" s="351" customFormat="1" ht="56.25">
      <c r="A117" s="122"/>
      <c r="B117" s="135" t="s">
        <v>75</v>
      </c>
      <c r="C117" s="136" t="s">
        <v>3</v>
      </c>
      <c r="D117" s="121" t="s">
        <v>72</v>
      </c>
      <c r="E117" s="121" t="s">
        <v>86</v>
      </c>
      <c r="F117" s="734" t="s">
        <v>88</v>
      </c>
      <c r="G117" s="735" t="s">
        <v>65</v>
      </c>
      <c r="H117" s="735" t="s">
        <v>59</v>
      </c>
      <c r="I117" s="736" t="s">
        <v>118</v>
      </c>
      <c r="J117" s="121" t="s">
        <v>76</v>
      </c>
      <c r="K117" s="713">
        <v>187.9</v>
      </c>
      <c r="L117" s="137">
        <f>M117-K117</f>
        <v>0</v>
      </c>
      <c r="M117" s="137">
        <v>187.9</v>
      </c>
      <c r="N117" s="137">
        <v>187.9</v>
      </c>
    </row>
    <row r="118" spans="1:14" s="118" customFormat="1" ht="18.75">
      <c r="A118" s="122"/>
      <c r="B118" s="140" t="s">
        <v>119</v>
      </c>
      <c r="C118" s="136" t="s">
        <v>3</v>
      </c>
      <c r="D118" s="121" t="s">
        <v>72</v>
      </c>
      <c r="E118" s="121" t="s">
        <v>100</v>
      </c>
      <c r="F118" s="734"/>
      <c r="G118" s="735"/>
      <c r="H118" s="735"/>
      <c r="I118" s="736"/>
      <c r="J118" s="121"/>
      <c r="K118" s="713">
        <f t="shared" ref="K118:N122" si="16">K119</f>
        <v>5907.9</v>
      </c>
      <c r="L118" s="137">
        <f t="shared" si="16"/>
        <v>0</v>
      </c>
      <c r="M118" s="137">
        <f t="shared" si="16"/>
        <v>5907.9</v>
      </c>
      <c r="N118" s="137">
        <f t="shared" si="16"/>
        <v>6835.1</v>
      </c>
    </row>
    <row r="119" spans="1:14" s="351" customFormat="1" ht="56.25">
      <c r="A119" s="122"/>
      <c r="B119" s="135" t="s">
        <v>120</v>
      </c>
      <c r="C119" s="136" t="s">
        <v>3</v>
      </c>
      <c r="D119" s="121" t="s">
        <v>72</v>
      </c>
      <c r="E119" s="121" t="s">
        <v>100</v>
      </c>
      <c r="F119" s="734" t="s">
        <v>121</v>
      </c>
      <c r="G119" s="735" t="s">
        <v>62</v>
      </c>
      <c r="H119" s="735" t="s">
        <v>63</v>
      </c>
      <c r="I119" s="736" t="s">
        <v>64</v>
      </c>
      <c r="J119" s="121"/>
      <c r="K119" s="713">
        <f t="shared" si="16"/>
        <v>5907.9</v>
      </c>
      <c r="L119" s="137">
        <f t="shared" si="16"/>
        <v>0</v>
      </c>
      <c r="M119" s="137">
        <f t="shared" si="16"/>
        <v>5907.9</v>
      </c>
      <c r="N119" s="137">
        <f t="shared" si="16"/>
        <v>6835.1</v>
      </c>
    </row>
    <row r="120" spans="1:14" s="118" customFormat="1" ht="37.5">
      <c r="A120" s="122"/>
      <c r="B120" s="135" t="s">
        <v>404</v>
      </c>
      <c r="C120" s="136" t="s">
        <v>3</v>
      </c>
      <c r="D120" s="121" t="s">
        <v>72</v>
      </c>
      <c r="E120" s="121" t="s">
        <v>100</v>
      </c>
      <c r="F120" s="734" t="s">
        <v>121</v>
      </c>
      <c r="G120" s="735" t="s">
        <v>65</v>
      </c>
      <c r="H120" s="735" t="s">
        <v>63</v>
      </c>
      <c r="I120" s="736" t="s">
        <v>64</v>
      </c>
      <c r="J120" s="121"/>
      <c r="K120" s="713">
        <f t="shared" si="16"/>
        <v>5907.9</v>
      </c>
      <c r="L120" s="137">
        <f t="shared" si="16"/>
        <v>0</v>
      </c>
      <c r="M120" s="137">
        <f t="shared" si="16"/>
        <v>5907.9</v>
      </c>
      <c r="N120" s="137">
        <f t="shared" si="16"/>
        <v>6835.1</v>
      </c>
    </row>
    <row r="121" spans="1:14" s="118" customFormat="1" ht="93.75">
      <c r="A121" s="122"/>
      <c r="B121" s="135" t="s">
        <v>122</v>
      </c>
      <c r="C121" s="136" t="s">
        <v>3</v>
      </c>
      <c r="D121" s="121" t="s">
        <v>72</v>
      </c>
      <c r="E121" s="121" t="s">
        <v>100</v>
      </c>
      <c r="F121" s="734" t="s">
        <v>121</v>
      </c>
      <c r="G121" s="735" t="s">
        <v>65</v>
      </c>
      <c r="H121" s="735" t="s">
        <v>57</v>
      </c>
      <c r="I121" s="736" t="s">
        <v>64</v>
      </c>
      <c r="J121" s="121"/>
      <c r="K121" s="713">
        <f t="shared" si="16"/>
        <v>5907.9</v>
      </c>
      <c r="L121" s="137">
        <f t="shared" si="16"/>
        <v>0</v>
      </c>
      <c r="M121" s="137">
        <f t="shared" si="16"/>
        <v>5907.9</v>
      </c>
      <c r="N121" s="137">
        <f t="shared" si="16"/>
        <v>6835.1</v>
      </c>
    </row>
    <row r="122" spans="1:14" s="118" customFormat="1" ht="75.75" customHeight="1">
      <c r="A122" s="122"/>
      <c r="B122" s="141" t="s">
        <v>123</v>
      </c>
      <c r="C122" s="136" t="s">
        <v>3</v>
      </c>
      <c r="D122" s="121" t="s">
        <v>72</v>
      </c>
      <c r="E122" s="121" t="s">
        <v>100</v>
      </c>
      <c r="F122" s="734" t="s">
        <v>121</v>
      </c>
      <c r="G122" s="735" t="s">
        <v>65</v>
      </c>
      <c r="H122" s="735" t="s">
        <v>57</v>
      </c>
      <c r="I122" s="736" t="s">
        <v>124</v>
      </c>
      <c r="J122" s="121"/>
      <c r="K122" s="713">
        <f t="shared" si="16"/>
        <v>5907.9</v>
      </c>
      <c r="L122" s="137">
        <f t="shared" si="16"/>
        <v>0</v>
      </c>
      <c r="M122" s="137">
        <f t="shared" si="16"/>
        <v>5907.9</v>
      </c>
      <c r="N122" s="137">
        <f t="shared" si="16"/>
        <v>6835.1</v>
      </c>
    </row>
    <row r="123" spans="1:14" s="351" customFormat="1" ht="56.25">
      <c r="A123" s="122"/>
      <c r="B123" s="135" t="s">
        <v>75</v>
      </c>
      <c r="C123" s="136" t="s">
        <v>3</v>
      </c>
      <c r="D123" s="121" t="s">
        <v>72</v>
      </c>
      <c r="E123" s="121" t="s">
        <v>100</v>
      </c>
      <c r="F123" s="734" t="s">
        <v>121</v>
      </c>
      <c r="G123" s="735" t="s">
        <v>65</v>
      </c>
      <c r="H123" s="735" t="s">
        <v>57</v>
      </c>
      <c r="I123" s="736" t="s">
        <v>124</v>
      </c>
      <c r="J123" s="121" t="s">
        <v>76</v>
      </c>
      <c r="K123" s="713">
        <v>5907.9</v>
      </c>
      <c r="L123" s="137">
        <f>M123-K123</f>
        <v>0</v>
      </c>
      <c r="M123" s="137">
        <v>5907.9</v>
      </c>
      <c r="N123" s="137">
        <v>6835.1</v>
      </c>
    </row>
    <row r="124" spans="1:14" s="118" customFormat="1" ht="37.5">
      <c r="A124" s="122"/>
      <c r="B124" s="140" t="s">
        <v>127</v>
      </c>
      <c r="C124" s="136" t="s">
        <v>3</v>
      </c>
      <c r="D124" s="121" t="s">
        <v>72</v>
      </c>
      <c r="E124" s="121" t="s">
        <v>121</v>
      </c>
      <c r="F124" s="734"/>
      <c r="G124" s="735"/>
      <c r="H124" s="735"/>
      <c r="I124" s="736"/>
      <c r="J124" s="121"/>
      <c r="K124" s="713">
        <f>K125+K134+K141</f>
        <v>6650.5</v>
      </c>
      <c r="L124" s="137">
        <f>L125+L134+L141</f>
        <v>0</v>
      </c>
      <c r="M124" s="137">
        <f>M125+M134+M141</f>
        <v>6650.5</v>
      </c>
      <c r="N124" s="137">
        <f>N125+N134+N141</f>
        <v>6650.5</v>
      </c>
    </row>
    <row r="125" spans="1:14" s="351" customFormat="1" ht="75">
      <c r="A125" s="122"/>
      <c r="B125" s="135" t="s">
        <v>128</v>
      </c>
      <c r="C125" s="136" t="s">
        <v>3</v>
      </c>
      <c r="D125" s="121" t="s">
        <v>72</v>
      </c>
      <c r="E125" s="121" t="s">
        <v>121</v>
      </c>
      <c r="F125" s="734" t="s">
        <v>92</v>
      </c>
      <c r="G125" s="735" t="s">
        <v>62</v>
      </c>
      <c r="H125" s="735" t="s">
        <v>63</v>
      </c>
      <c r="I125" s="736" t="s">
        <v>64</v>
      </c>
      <c r="J125" s="121"/>
      <c r="K125" s="713">
        <f>K130+K126</f>
        <v>1025.0999999999999</v>
      </c>
      <c r="L125" s="137">
        <f>L130+L126</f>
        <v>0</v>
      </c>
      <c r="M125" s="137">
        <f>M130+M126</f>
        <v>1025.0999999999999</v>
      </c>
      <c r="N125" s="137">
        <f>N130+N126</f>
        <v>1025.0999999999999</v>
      </c>
    </row>
    <row r="126" spans="1:14" s="351" customFormat="1" ht="56.25">
      <c r="A126" s="122"/>
      <c r="B126" s="140" t="s">
        <v>129</v>
      </c>
      <c r="C126" s="136" t="s">
        <v>3</v>
      </c>
      <c r="D126" s="121" t="s">
        <v>72</v>
      </c>
      <c r="E126" s="121" t="s">
        <v>121</v>
      </c>
      <c r="F126" s="734" t="s">
        <v>92</v>
      </c>
      <c r="G126" s="735" t="s">
        <v>65</v>
      </c>
      <c r="H126" s="735" t="s">
        <v>63</v>
      </c>
      <c r="I126" s="736" t="s">
        <v>64</v>
      </c>
      <c r="J126" s="121"/>
      <c r="K126" s="713">
        <f t="shared" ref="K126:N128" si="17">K127</f>
        <v>310</v>
      </c>
      <c r="L126" s="137">
        <f t="shared" si="17"/>
        <v>0</v>
      </c>
      <c r="M126" s="137">
        <f t="shared" si="17"/>
        <v>310</v>
      </c>
      <c r="N126" s="137">
        <f t="shared" si="17"/>
        <v>310</v>
      </c>
    </row>
    <row r="127" spans="1:14" s="351" customFormat="1" ht="37.5">
      <c r="A127" s="122"/>
      <c r="B127" s="135" t="s">
        <v>130</v>
      </c>
      <c r="C127" s="136" t="s">
        <v>3</v>
      </c>
      <c r="D127" s="121" t="s">
        <v>72</v>
      </c>
      <c r="E127" s="121" t="s">
        <v>121</v>
      </c>
      <c r="F127" s="734" t="s">
        <v>92</v>
      </c>
      <c r="G127" s="735" t="s">
        <v>65</v>
      </c>
      <c r="H127" s="735" t="s">
        <v>57</v>
      </c>
      <c r="I127" s="736" t="s">
        <v>64</v>
      </c>
      <c r="J127" s="121"/>
      <c r="K127" s="713">
        <f t="shared" si="17"/>
        <v>310</v>
      </c>
      <c r="L127" s="137">
        <f t="shared" si="17"/>
        <v>0</v>
      </c>
      <c r="M127" s="137">
        <f t="shared" si="17"/>
        <v>310</v>
      </c>
      <c r="N127" s="137">
        <f t="shared" si="17"/>
        <v>310</v>
      </c>
    </row>
    <row r="128" spans="1:14" s="351" customFormat="1" ht="37.5">
      <c r="A128" s="122"/>
      <c r="B128" s="140" t="s">
        <v>131</v>
      </c>
      <c r="C128" s="136" t="s">
        <v>3</v>
      </c>
      <c r="D128" s="121" t="s">
        <v>72</v>
      </c>
      <c r="E128" s="121" t="s">
        <v>121</v>
      </c>
      <c r="F128" s="734" t="s">
        <v>92</v>
      </c>
      <c r="G128" s="735" t="s">
        <v>65</v>
      </c>
      <c r="H128" s="735" t="s">
        <v>57</v>
      </c>
      <c r="I128" s="736" t="s">
        <v>132</v>
      </c>
      <c r="J128" s="121"/>
      <c r="K128" s="713">
        <f t="shared" si="17"/>
        <v>310</v>
      </c>
      <c r="L128" s="137">
        <f t="shared" si="17"/>
        <v>0</v>
      </c>
      <c r="M128" s="137">
        <f t="shared" si="17"/>
        <v>310</v>
      </c>
      <c r="N128" s="137">
        <f t="shared" si="17"/>
        <v>310</v>
      </c>
    </row>
    <row r="129" spans="1:15" s="351" customFormat="1" ht="56.25">
      <c r="A129" s="122"/>
      <c r="B129" s="135" t="s">
        <v>75</v>
      </c>
      <c r="C129" s="136" t="s">
        <v>3</v>
      </c>
      <c r="D129" s="121" t="s">
        <v>72</v>
      </c>
      <c r="E129" s="121" t="s">
        <v>121</v>
      </c>
      <c r="F129" s="734" t="s">
        <v>92</v>
      </c>
      <c r="G129" s="735" t="s">
        <v>65</v>
      </c>
      <c r="H129" s="735" t="s">
        <v>57</v>
      </c>
      <c r="I129" s="736" t="s">
        <v>132</v>
      </c>
      <c r="J129" s="121" t="s">
        <v>76</v>
      </c>
      <c r="K129" s="713">
        <v>310</v>
      </c>
      <c r="L129" s="137">
        <f>M129-K129</f>
        <v>0</v>
      </c>
      <c r="M129" s="137">
        <v>310</v>
      </c>
      <c r="N129" s="137">
        <v>310</v>
      </c>
    </row>
    <row r="130" spans="1:15" s="351" customFormat="1" ht="37.5">
      <c r="A130" s="122"/>
      <c r="B130" s="140" t="s">
        <v>133</v>
      </c>
      <c r="C130" s="136" t="s">
        <v>3</v>
      </c>
      <c r="D130" s="121" t="s">
        <v>72</v>
      </c>
      <c r="E130" s="121" t="s">
        <v>121</v>
      </c>
      <c r="F130" s="734" t="s">
        <v>92</v>
      </c>
      <c r="G130" s="735" t="s">
        <v>110</v>
      </c>
      <c r="H130" s="735" t="s">
        <v>63</v>
      </c>
      <c r="I130" s="736" t="s">
        <v>64</v>
      </c>
      <c r="J130" s="121"/>
      <c r="K130" s="713">
        <f t="shared" ref="K130:N132" si="18">K131</f>
        <v>715.1</v>
      </c>
      <c r="L130" s="137">
        <f t="shared" si="18"/>
        <v>0</v>
      </c>
      <c r="M130" s="137">
        <f t="shared" si="18"/>
        <v>715.1</v>
      </c>
      <c r="N130" s="137">
        <f t="shared" si="18"/>
        <v>715.1</v>
      </c>
    </row>
    <row r="131" spans="1:15" s="118" customFormat="1" ht="56.25">
      <c r="A131" s="122"/>
      <c r="B131" s="140" t="s">
        <v>134</v>
      </c>
      <c r="C131" s="136" t="s">
        <v>3</v>
      </c>
      <c r="D131" s="121" t="s">
        <v>72</v>
      </c>
      <c r="E131" s="121" t="s">
        <v>121</v>
      </c>
      <c r="F131" s="734" t="s">
        <v>92</v>
      </c>
      <c r="G131" s="735" t="s">
        <v>110</v>
      </c>
      <c r="H131" s="735" t="s">
        <v>57</v>
      </c>
      <c r="I131" s="736" t="s">
        <v>64</v>
      </c>
      <c r="J131" s="121"/>
      <c r="K131" s="713">
        <f t="shared" si="18"/>
        <v>715.1</v>
      </c>
      <c r="L131" s="137">
        <f t="shared" si="18"/>
        <v>0</v>
      </c>
      <c r="M131" s="137">
        <f t="shared" si="18"/>
        <v>715.1</v>
      </c>
      <c r="N131" s="137">
        <f t="shared" si="18"/>
        <v>715.1</v>
      </c>
    </row>
    <row r="132" spans="1:15" s="351" customFormat="1" ht="79.5" customHeight="1">
      <c r="A132" s="122"/>
      <c r="B132" s="140" t="s">
        <v>135</v>
      </c>
      <c r="C132" s="136" t="s">
        <v>3</v>
      </c>
      <c r="D132" s="121" t="s">
        <v>72</v>
      </c>
      <c r="E132" s="121" t="s">
        <v>121</v>
      </c>
      <c r="F132" s="734" t="s">
        <v>92</v>
      </c>
      <c r="G132" s="735" t="s">
        <v>110</v>
      </c>
      <c r="H132" s="735" t="s">
        <v>57</v>
      </c>
      <c r="I132" s="736" t="s">
        <v>136</v>
      </c>
      <c r="J132" s="121"/>
      <c r="K132" s="713">
        <f t="shared" si="18"/>
        <v>715.1</v>
      </c>
      <c r="L132" s="137">
        <f t="shared" si="18"/>
        <v>0</v>
      </c>
      <c r="M132" s="137">
        <f t="shared" si="18"/>
        <v>715.1</v>
      </c>
      <c r="N132" s="137">
        <f t="shared" si="18"/>
        <v>715.1</v>
      </c>
    </row>
    <row r="133" spans="1:15" s="118" customFormat="1" ht="56.25">
      <c r="A133" s="122"/>
      <c r="B133" s="135" t="s">
        <v>75</v>
      </c>
      <c r="C133" s="136" t="s">
        <v>3</v>
      </c>
      <c r="D133" s="121" t="s">
        <v>72</v>
      </c>
      <c r="E133" s="121" t="s">
        <v>121</v>
      </c>
      <c r="F133" s="734" t="s">
        <v>92</v>
      </c>
      <c r="G133" s="735" t="s">
        <v>110</v>
      </c>
      <c r="H133" s="735" t="s">
        <v>57</v>
      </c>
      <c r="I133" s="736" t="s">
        <v>136</v>
      </c>
      <c r="J133" s="121" t="s">
        <v>76</v>
      </c>
      <c r="K133" s="713">
        <v>715.1</v>
      </c>
      <c r="L133" s="137">
        <f>M133-K133</f>
        <v>0</v>
      </c>
      <c r="M133" s="137">
        <v>715.1</v>
      </c>
      <c r="N133" s="137">
        <v>715.1</v>
      </c>
    </row>
    <row r="134" spans="1:15" s="351" customFormat="1" ht="75">
      <c r="A134" s="122"/>
      <c r="B134" s="135" t="s">
        <v>137</v>
      </c>
      <c r="C134" s="136" t="s">
        <v>3</v>
      </c>
      <c r="D134" s="121" t="s">
        <v>72</v>
      </c>
      <c r="E134" s="121" t="s">
        <v>121</v>
      </c>
      <c r="F134" s="734" t="s">
        <v>109</v>
      </c>
      <c r="G134" s="735" t="s">
        <v>62</v>
      </c>
      <c r="H134" s="735" t="s">
        <v>63</v>
      </c>
      <c r="I134" s="736" t="s">
        <v>64</v>
      </c>
      <c r="J134" s="121"/>
      <c r="K134" s="713">
        <f t="shared" ref="K134:N135" si="19">K135</f>
        <v>891.2</v>
      </c>
      <c r="L134" s="137">
        <f t="shared" si="19"/>
        <v>0</v>
      </c>
      <c r="M134" s="137">
        <f t="shared" si="19"/>
        <v>891.2</v>
      </c>
      <c r="N134" s="137">
        <f t="shared" si="19"/>
        <v>891.2</v>
      </c>
    </row>
    <row r="135" spans="1:15" s="351" customFormat="1" ht="37.5">
      <c r="A135" s="122"/>
      <c r="B135" s="135" t="s">
        <v>404</v>
      </c>
      <c r="C135" s="136" t="s">
        <v>3</v>
      </c>
      <c r="D135" s="121" t="s">
        <v>72</v>
      </c>
      <c r="E135" s="121" t="s">
        <v>121</v>
      </c>
      <c r="F135" s="734" t="s">
        <v>109</v>
      </c>
      <c r="G135" s="735" t="s">
        <v>65</v>
      </c>
      <c r="H135" s="735" t="s">
        <v>63</v>
      </c>
      <c r="I135" s="736" t="s">
        <v>64</v>
      </c>
      <c r="J135" s="121"/>
      <c r="K135" s="713">
        <f t="shared" si="19"/>
        <v>891.2</v>
      </c>
      <c r="L135" s="137">
        <f t="shared" si="19"/>
        <v>0</v>
      </c>
      <c r="M135" s="137">
        <f t="shared" si="19"/>
        <v>891.2</v>
      </c>
      <c r="N135" s="137">
        <f t="shared" si="19"/>
        <v>891.2</v>
      </c>
    </row>
    <row r="136" spans="1:15" s="118" customFormat="1" ht="75">
      <c r="A136" s="122"/>
      <c r="B136" s="140" t="s">
        <v>360</v>
      </c>
      <c r="C136" s="136" t="s">
        <v>3</v>
      </c>
      <c r="D136" s="121" t="s">
        <v>72</v>
      </c>
      <c r="E136" s="121" t="s">
        <v>121</v>
      </c>
      <c r="F136" s="734" t="s">
        <v>109</v>
      </c>
      <c r="G136" s="735" t="s">
        <v>65</v>
      </c>
      <c r="H136" s="735" t="s">
        <v>57</v>
      </c>
      <c r="I136" s="736" t="s">
        <v>64</v>
      </c>
      <c r="J136" s="121"/>
      <c r="K136" s="713">
        <f>K139+K137</f>
        <v>891.2</v>
      </c>
      <c r="L136" s="137">
        <f>L139+L137</f>
        <v>0</v>
      </c>
      <c r="M136" s="137">
        <f>M139+M137</f>
        <v>891.2</v>
      </c>
      <c r="N136" s="137">
        <f>N139+N137</f>
        <v>891.2</v>
      </c>
    </row>
    <row r="137" spans="1:15" s="118" customFormat="1" ht="56.25">
      <c r="A137" s="122"/>
      <c r="B137" s="140" t="s">
        <v>138</v>
      </c>
      <c r="C137" s="136" t="s">
        <v>3</v>
      </c>
      <c r="D137" s="121" t="s">
        <v>72</v>
      </c>
      <c r="E137" s="121" t="s">
        <v>121</v>
      </c>
      <c r="F137" s="734" t="s">
        <v>109</v>
      </c>
      <c r="G137" s="735" t="s">
        <v>65</v>
      </c>
      <c r="H137" s="735" t="s">
        <v>57</v>
      </c>
      <c r="I137" s="736" t="s">
        <v>139</v>
      </c>
      <c r="J137" s="121"/>
      <c r="K137" s="713">
        <f>K138</f>
        <v>112.2</v>
      </c>
      <c r="L137" s="137">
        <f>L138</f>
        <v>0</v>
      </c>
      <c r="M137" s="137">
        <f>M138</f>
        <v>112.2</v>
      </c>
      <c r="N137" s="137">
        <f>N138</f>
        <v>112.2</v>
      </c>
    </row>
    <row r="138" spans="1:15" s="118" customFormat="1" ht="56.25">
      <c r="A138" s="122"/>
      <c r="B138" s="135" t="s">
        <v>75</v>
      </c>
      <c r="C138" s="136" t="s">
        <v>3</v>
      </c>
      <c r="D138" s="121" t="s">
        <v>72</v>
      </c>
      <c r="E138" s="121" t="s">
        <v>121</v>
      </c>
      <c r="F138" s="734" t="s">
        <v>109</v>
      </c>
      <c r="G138" s="735" t="s">
        <v>65</v>
      </c>
      <c r="H138" s="735" t="s">
        <v>57</v>
      </c>
      <c r="I138" s="736" t="s">
        <v>139</v>
      </c>
      <c r="J138" s="121" t="s">
        <v>76</v>
      </c>
      <c r="K138" s="713">
        <v>112.2</v>
      </c>
      <c r="L138" s="137">
        <f>M138-K138</f>
        <v>0</v>
      </c>
      <c r="M138" s="137">
        <v>112.2</v>
      </c>
      <c r="N138" s="137">
        <v>112.2</v>
      </c>
    </row>
    <row r="139" spans="1:15" s="118" customFormat="1" ht="75">
      <c r="A139" s="482"/>
      <c r="B139" s="135" t="s">
        <v>497</v>
      </c>
      <c r="C139" s="136" t="s">
        <v>3</v>
      </c>
      <c r="D139" s="121" t="s">
        <v>72</v>
      </c>
      <c r="E139" s="121" t="s">
        <v>121</v>
      </c>
      <c r="F139" s="734" t="s">
        <v>109</v>
      </c>
      <c r="G139" s="735" t="s">
        <v>65</v>
      </c>
      <c r="H139" s="735" t="s">
        <v>57</v>
      </c>
      <c r="I139" s="736" t="s">
        <v>496</v>
      </c>
      <c r="J139" s="121"/>
      <c r="K139" s="713">
        <f t="shared" ref="K139:N139" si="20">K140</f>
        <v>779</v>
      </c>
      <c r="L139" s="137">
        <f t="shared" si="20"/>
        <v>0</v>
      </c>
      <c r="M139" s="137">
        <f t="shared" si="20"/>
        <v>779</v>
      </c>
      <c r="N139" s="137">
        <f t="shared" si="20"/>
        <v>779</v>
      </c>
      <c r="O139" s="483"/>
    </row>
    <row r="140" spans="1:15" s="118" customFormat="1" ht="56.25">
      <c r="A140" s="482"/>
      <c r="B140" s="135" t="s">
        <v>75</v>
      </c>
      <c r="C140" s="136" t="s">
        <v>3</v>
      </c>
      <c r="D140" s="121" t="s">
        <v>72</v>
      </c>
      <c r="E140" s="121" t="s">
        <v>121</v>
      </c>
      <c r="F140" s="734" t="s">
        <v>109</v>
      </c>
      <c r="G140" s="735" t="s">
        <v>65</v>
      </c>
      <c r="H140" s="735" t="s">
        <v>57</v>
      </c>
      <c r="I140" s="736" t="s">
        <v>496</v>
      </c>
      <c r="J140" s="121" t="s">
        <v>76</v>
      </c>
      <c r="K140" s="713">
        <v>779</v>
      </c>
      <c r="L140" s="137">
        <f>M140-K140</f>
        <v>0</v>
      </c>
      <c r="M140" s="137">
        <v>779</v>
      </c>
      <c r="N140" s="137">
        <v>779</v>
      </c>
      <c r="O140" s="483"/>
    </row>
    <row r="141" spans="1:15" s="118" customFormat="1" ht="75">
      <c r="A141" s="122"/>
      <c r="B141" s="135" t="s">
        <v>60</v>
      </c>
      <c r="C141" s="136" t="s">
        <v>3</v>
      </c>
      <c r="D141" s="121" t="s">
        <v>72</v>
      </c>
      <c r="E141" s="121" t="s">
        <v>121</v>
      </c>
      <c r="F141" s="734" t="s">
        <v>61</v>
      </c>
      <c r="G141" s="735" t="s">
        <v>62</v>
      </c>
      <c r="H141" s="735" t="s">
        <v>63</v>
      </c>
      <c r="I141" s="736" t="s">
        <v>64</v>
      </c>
      <c r="J141" s="121"/>
      <c r="K141" s="713">
        <f t="shared" ref="K141:N142" si="21">K142</f>
        <v>4734.2</v>
      </c>
      <c r="L141" s="137">
        <f t="shared" si="21"/>
        <v>0</v>
      </c>
      <c r="M141" s="137">
        <f t="shared" si="21"/>
        <v>4734.2</v>
      </c>
      <c r="N141" s="137">
        <f t="shared" si="21"/>
        <v>4734.2</v>
      </c>
    </row>
    <row r="142" spans="1:15" s="118" customFormat="1" ht="37.5">
      <c r="A142" s="122"/>
      <c r="B142" s="135" t="s">
        <v>404</v>
      </c>
      <c r="C142" s="136" t="s">
        <v>3</v>
      </c>
      <c r="D142" s="121" t="s">
        <v>72</v>
      </c>
      <c r="E142" s="121" t="s">
        <v>121</v>
      </c>
      <c r="F142" s="734" t="s">
        <v>61</v>
      </c>
      <c r="G142" s="735" t="s">
        <v>65</v>
      </c>
      <c r="H142" s="735" t="s">
        <v>63</v>
      </c>
      <c r="I142" s="736" t="s">
        <v>64</v>
      </c>
      <c r="J142" s="121"/>
      <c r="K142" s="713">
        <f t="shared" si="21"/>
        <v>4734.2</v>
      </c>
      <c r="L142" s="137">
        <f t="shared" si="21"/>
        <v>0</v>
      </c>
      <c r="M142" s="137">
        <f t="shared" si="21"/>
        <v>4734.2</v>
      </c>
      <c r="N142" s="137">
        <f t="shared" si="21"/>
        <v>4734.2</v>
      </c>
    </row>
    <row r="143" spans="1:15" s="118" customFormat="1" ht="56.25">
      <c r="A143" s="122"/>
      <c r="B143" s="135" t="s">
        <v>396</v>
      </c>
      <c r="C143" s="136" t="s">
        <v>3</v>
      </c>
      <c r="D143" s="121" t="s">
        <v>72</v>
      </c>
      <c r="E143" s="121" t="s">
        <v>121</v>
      </c>
      <c r="F143" s="734" t="s">
        <v>61</v>
      </c>
      <c r="G143" s="735" t="s">
        <v>65</v>
      </c>
      <c r="H143" s="735" t="s">
        <v>109</v>
      </c>
      <c r="I143" s="736" t="s">
        <v>64</v>
      </c>
      <c r="J143" s="121"/>
      <c r="K143" s="713">
        <f>K144</f>
        <v>4734.2</v>
      </c>
      <c r="L143" s="137">
        <f>L144</f>
        <v>0</v>
      </c>
      <c r="M143" s="137">
        <f>M144</f>
        <v>4734.2</v>
      </c>
      <c r="N143" s="137">
        <f>N144</f>
        <v>4734.2</v>
      </c>
    </row>
    <row r="144" spans="1:15" s="118" customFormat="1" ht="41.25" customHeight="1">
      <c r="A144" s="122"/>
      <c r="B144" s="274" t="s">
        <v>795</v>
      </c>
      <c r="C144" s="136" t="s">
        <v>3</v>
      </c>
      <c r="D144" s="121" t="s">
        <v>72</v>
      </c>
      <c r="E144" s="121" t="s">
        <v>121</v>
      </c>
      <c r="F144" s="734" t="s">
        <v>61</v>
      </c>
      <c r="G144" s="735" t="s">
        <v>65</v>
      </c>
      <c r="H144" s="735" t="s">
        <v>109</v>
      </c>
      <c r="I144" s="736" t="s">
        <v>112</v>
      </c>
      <c r="J144" s="121"/>
      <c r="K144" s="713">
        <f>K145+K146</f>
        <v>4734.2</v>
      </c>
      <c r="L144" s="137">
        <f>L145+L146</f>
        <v>0</v>
      </c>
      <c r="M144" s="137">
        <f>M145+M146</f>
        <v>4734.2</v>
      </c>
      <c r="N144" s="137">
        <f>N145+N146</f>
        <v>4734.2</v>
      </c>
    </row>
    <row r="145" spans="1:14" s="118" customFormat="1" ht="112.5">
      <c r="A145" s="122"/>
      <c r="B145" s="135" t="s">
        <v>69</v>
      </c>
      <c r="C145" s="136" t="s">
        <v>3</v>
      </c>
      <c r="D145" s="121" t="s">
        <v>72</v>
      </c>
      <c r="E145" s="121" t="s">
        <v>121</v>
      </c>
      <c r="F145" s="734" t="s">
        <v>61</v>
      </c>
      <c r="G145" s="735" t="s">
        <v>65</v>
      </c>
      <c r="H145" s="735" t="s">
        <v>109</v>
      </c>
      <c r="I145" s="736" t="s">
        <v>112</v>
      </c>
      <c r="J145" s="121" t="s">
        <v>70</v>
      </c>
      <c r="K145" s="713">
        <v>4490.2</v>
      </c>
      <c r="L145" s="137">
        <f>M145-K145</f>
        <v>0</v>
      </c>
      <c r="M145" s="137">
        <v>4490.2</v>
      </c>
      <c r="N145" s="137">
        <v>4490.2</v>
      </c>
    </row>
    <row r="146" spans="1:14" s="118" customFormat="1" ht="56.25">
      <c r="A146" s="122"/>
      <c r="B146" s="135" t="s">
        <v>75</v>
      </c>
      <c r="C146" s="136" t="s">
        <v>3</v>
      </c>
      <c r="D146" s="121" t="s">
        <v>72</v>
      </c>
      <c r="E146" s="121" t="s">
        <v>121</v>
      </c>
      <c r="F146" s="734" t="s">
        <v>61</v>
      </c>
      <c r="G146" s="735" t="s">
        <v>65</v>
      </c>
      <c r="H146" s="735" t="s">
        <v>109</v>
      </c>
      <c r="I146" s="736" t="s">
        <v>112</v>
      </c>
      <c r="J146" s="121" t="s">
        <v>76</v>
      </c>
      <c r="K146" s="713">
        <v>244</v>
      </c>
      <c r="L146" s="137">
        <f>M146-K146</f>
        <v>0</v>
      </c>
      <c r="M146" s="137">
        <v>244</v>
      </c>
      <c r="N146" s="137">
        <v>244</v>
      </c>
    </row>
    <row r="147" spans="1:14" s="118" customFormat="1" ht="18.75">
      <c r="A147" s="122"/>
      <c r="B147" s="135" t="s">
        <v>199</v>
      </c>
      <c r="C147" s="136" t="s">
        <v>3</v>
      </c>
      <c r="D147" s="121" t="s">
        <v>86</v>
      </c>
      <c r="E147" s="121"/>
      <c r="F147" s="734"/>
      <c r="G147" s="735"/>
      <c r="H147" s="735"/>
      <c r="I147" s="736"/>
      <c r="J147" s="121"/>
      <c r="K147" s="713" t="e">
        <f t="shared" ref="K147:N148" si="22">K148</f>
        <v>#REF!</v>
      </c>
      <c r="L147" s="137">
        <f t="shared" si="22"/>
        <v>0</v>
      </c>
      <c r="M147" s="137">
        <f t="shared" si="22"/>
        <v>0</v>
      </c>
      <c r="N147" s="137">
        <f t="shared" si="22"/>
        <v>25766.9</v>
      </c>
    </row>
    <row r="148" spans="1:14" s="118" customFormat="1" ht="18.75">
      <c r="A148" s="122"/>
      <c r="B148" s="135" t="s">
        <v>821</v>
      </c>
      <c r="C148" s="136" t="s">
        <v>3</v>
      </c>
      <c r="D148" s="121" t="s">
        <v>86</v>
      </c>
      <c r="E148" s="121" t="s">
        <v>57</v>
      </c>
      <c r="F148" s="734"/>
      <c r="G148" s="735"/>
      <c r="H148" s="735"/>
      <c r="I148" s="736"/>
      <c r="J148" s="121"/>
      <c r="K148" s="713" t="e">
        <f t="shared" si="22"/>
        <v>#REF!</v>
      </c>
      <c r="L148" s="137">
        <f t="shared" si="22"/>
        <v>0</v>
      </c>
      <c r="M148" s="137">
        <f t="shared" si="22"/>
        <v>0</v>
      </c>
      <c r="N148" s="137">
        <f t="shared" si="22"/>
        <v>25766.9</v>
      </c>
    </row>
    <row r="149" spans="1:14" s="118" customFormat="1" ht="78" customHeight="1">
      <c r="A149" s="122"/>
      <c r="B149" s="379" t="s">
        <v>397</v>
      </c>
      <c r="C149" s="136" t="s">
        <v>3</v>
      </c>
      <c r="D149" s="121" t="s">
        <v>86</v>
      </c>
      <c r="E149" s="121" t="s">
        <v>57</v>
      </c>
      <c r="F149" s="734" t="s">
        <v>125</v>
      </c>
      <c r="G149" s="735" t="s">
        <v>62</v>
      </c>
      <c r="H149" s="735" t="s">
        <v>63</v>
      </c>
      <c r="I149" s="736" t="s">
        <v>64</v>
      </c>
      <c r="J149" s="121"/>
      <c r="K149" s="713" t="e">
        <f>K151</f>
        <v>#REF!</v>
      </c>
      <c r="L149" s="137">
        <f>L151</f>
        <v>0</v>
      </c>
      <c r="M149" s="137">
        <f>M151</f>
        <v>0</v>
      </c>
      <c r="N149" s="137">
        <f>N150</f>
        <v>25766.9</v>
      </c>
    </row>
    <row r="150" spans="1:14" s="118" customFormat="1" ht="37.5" customHeight="1">
      <c r="A150" s="122"/>
      <c r="B150" s="575" t="s">
        <v>873</v>
      </c>
      <c r="C150" s="136" t="s">
        <v>3</v>
      </c>
      <c r="D150" s="121" t="s">
        <v>86</v>
      </c>
      <c r="E150" s="121" t="s">
        <v>57</v>
      </c>
      <c r="F150" s="734" t="s">
        <v>125</v>
      </c>
      <c r="G150" s="735" t="s">
        <v>874</v>
      </c>
      <c r="H150" s="735" t="s">
        <v>63</v>
      </c>
      <c r="I150" s="736" t="s">
        <v>64</v>
      </c>
      <c r="J150" s="121"/>
      <c r="K150" s="713" t="e">
        <f>K151</f>
        <v>#REF!</v>
      </c>
      <c r="L150" s="137">
        <f>L151</f>
        <v>0</v>
      </c>
      <c r="M150" s="137">
        <f>M151</f>
        <v>0</v>
      </c>
      <c r="N150" s="137">
        <f>N151</f>
        <v>25766.9</v>
      </c>
    </row>
    <row r="151" spans="1:14" s="118" customFormat="1" ht="56.25" customHeight="1">
      <c r="A151" s="122"/>
      <c r="B151" s="135" t="s">
        <v>819</v>
      </c>
      <c r="C151" s="136" t="s">
        <v>3</v>
      </c>
      <c r="D151" s="121" t="s">
        <v>86</v>
      </c>
      <c r="E151" s="121" t="s">
        <v>57</v>
      </c>
      <c r="F151" s="734" t="s">
        <v>125</v>
      </c>
      <c r="G151" s="735" t="s">
        <v>874</v>
      </c>
      <c r="H151" s="735" t="s">
        <v>816</v>
      </c>
      <c r="I151" s="736" t="s">
        <v>64</v>
      </c>
      <c r="J151" s="121"/>
      <c r="K151" s="713" t="e">
        <f>K152+K154+#REF!</f>
        <v>#REF!</v>
      </c>
      <c r="L151" s="137">
        <f>L152+L154</f>
        <v>0</v>
      </c>
      <c r="M151" s="137">
        <f t="shared" ref="M151:N151" si="23">M152+M154</f>
        <v>0</v>
      </c>
      <c r="N151" s="137">
        <f t="shared" si="23"/>
        <v>25766.9</v>
      </c>
    </row>
    <row r="152" spans="1:14" s="118" customFormat="1" ht="109.5" customHeight="1">
      <c r="A152" s="122"/>
      <c r="B152" s="135" t="s">
        <v>820</v>
      </c>
      <c r="C152" s="136" t="s">
        <v>3</v>
      </c>
      <c r="D152" s="121" t="s">
        <v>86</v>
      </c>
      <c r="E152" s="121" t="s">
        <v>57</v>
      </c>
      <c r="F152" s="734" t="s">
        <v>125</v>
      </c>
      <c r="G152" s="735" t="s">
        <v>874</v>
      </c>
      <c r="H152" s="735" t="s">
        <v>816</v>
      </c>
      <c r="I152" s="736" t="s">
        <v>817</v>
      </c>
      <c r="J152" s="121"/>
      <c r="K152" s="713">
        <f>K153</f>
        <v>0</v>
      </c>
      <c r="L152" s="137">
        <f>L153</f>
        <v>0</v>
      </c>
      <c r="M152" s="137">
        <f>M153</f>
        <v>0</v>
      </c>
      <c r="N152" s="137">
        <f>N153</f>
        <v>20613.5</v>
      </c>
    </row>
    <row r="153" spans="1:14" s="118" customFormat="1" ht="56.25">
      <c r="A153" s="122"/>
      <c r="B153" s="135" t="s">
        <v>225</v>
      </c>
      <c r="C153" s="136" t="s">
        <v>3</v>
      </c>
      <c r="D153" s="121" t="s">
        <v>86</v>
      </c>
      <c r="E153" s="121" t="s">
        <v>57</v>
      </c>
      <c r="F153" s="734" t="s">
        <v>125</v>
      </c>
      <c r="G153" s="735" t="s">
        <v>874</v>
      </c>
      <c r="H153" s="735" t="s">
        <v>816</v>
      </c>
      <c r="I153" s="736" t="s">
        <v>817</v>
      </c>
      <c r="J153" s="121" t="s">
        <v>226</v>
      </c>
      <c r="K153" s="713">
        <v>0</v>
      </c>
      <c r="L153" s="137">
        <f>M153-K153</f>
        <v>0</v>
      </c>
      <c r="M153" s="137"/>
      <c r="N153" s="137">
        <f>20613.5</f>
        <v>20613.5</v>
      </c>
    </row>
    <row r="154" spans="1:14" s="118" customFormat="1" ht="112.5">
      <c r="A154" s="122"/>
      <c r="B154" s="135" t="s">
        <v>820</v>
      </c>
      <c r="C154" s="136" t="s">
        <v>3</v>
      </c>
      <c r="D154" s="121" t="s">
        <v>86</v>
      </c>
      <c r="E154" s="121" t="s">
        <v>57</v>
      </c>
      <c r="F154" s="734" t="s">
        <v>125</v>
      </c>
      <c r="G154" s="735" t="s">
        <v>874</v>
      </c>
      <c r="H154" s="735" t="s">
        <v>816</v>
      </c>
      <c r="I154" s="736" t="s">
        <v>818</v>
      </c>
      <c r="J154" s="121"/>
      <c r="K154" s="713">
        <f>K155</f>
        <v>0</v>
      </c>
      <c r="L154" s="137">
        <f>L155</f>
        <v>0</v>
      </c>
      <c r="M154" s="137">
        <f>M155</f>
        <v>0</v>
      </c>
      <c r="N154" s="137">
        <f>N155</f>
        <v>5153.3999999999996</v>
      </c>
    </row>
    <row r="155" spans="1:14" s="118" customFormat="1" ht="56.25">
      <c r="A155" s="122"/>
      <c r="B155" s="332" t="s">
        <v>225</v>
      </c>
      <c r="C155" s="136" t="s">
        <v>3</v>
      </c>
      <c r="D155" s="121" t="s">
        <v>86</v>
      </c>
      <c r="E155" s="121" t="s">
        <v>57</v>
      </c>
      <c r="F155" s="734" t="s">
        <v>125</v>
      </c>
      <c r="G155" s="735" t="s">
        <v>874</v>
      </c>
      <c r="H155" s="735" t="s">
        <v>816</v>
      </c>
      <c r="I155" s="736" t="s">
        <v>818</v>
      </c>
      <c r="J155" s="121" t="s">
        <v>226</v>
      </c>
      <c r="K155" s="713">
        <v>0</v>
      </c>
      <c r="L155" s="137">
        <f>M155-K155</f>
        <v>0</v>
      </c>
      <c r="M155" s="137"/>
      <c r="N155" s="137">
        <f>5153.4</f>
        <v>5153.3999999999996</v>
      </c>
    </row>
    <row r="156" spans="1:14" s="351" customFormat="1" ht="18.75">
      <c r="A156" s="122"/>
      <c r="B156" s="135" t="s">
        <v>140</v>
      </c>
      <c r="C156" s="136" t="s">
        <v>3</v>
      </c>
      <c r="D156" s="121" t="s">
        <v>125</v>
      </c>
      <c r="E156" s="121"/>
      <c r="F156" s="734"/>
      <c r="G156" s="735"/>
      <c r="H156" s="735"/>
      <c r="I156" s="736"/>
      <c r="J156" s="121"/>
      <c r="K156" s="713">
        <f>K157+K163</f>
        <v>1480.7</v>
      </c>
      <c r="L156" s="137">
        <f>L157+L163</f>
        <v>0</v>
      </c>
      <c r="M156" s="137">
        <f>M157+M163</f>
        <v>1480.7</v>
      </c>
      <c r="N156" s="137">
        <f>N157+N163</f>
        <v>1480.7</v>
      </c>
    </row>
    <row r="157" spans="1:14" s="351" customFormat="1" ht="18.75">
      <c r="A157" s="122"/>
      <c r="B157" s="135" t="s">
        <v>432</v>
      </c>
      <c r="C157" s="136" t="s">
        <v>3</v>
      </c>
      <c r="D157" s="121" t="s">
        <v>125</v>
      </c>
      <c r="E157" s="121" t="s">
        <v>57</v>
      </c>
      <c r="F157" s="734"/>
      <c r="G157" s="735"/>
      <c r="H157" s="735"/>
      <c r="I157" s="736"/>
      <c r="J157" s="121"/>
      <c r="K157" s="713">
        <f t="shared" ref="K157:N161" si="24">K158</f>
        <v>552</v>
      </c>
      <c r="L157" s="137">
        <f t="shared" si="24"/>
        <v>0</v>
      </c>
      <c r="M157" s="137">
        <f t="shared" si="24"/>
        <v>552</v>
      </c>
      <c r="N157" s="137">
        <f t="shared" si="24"/>
        <v>552</v>
      </c>
    </row>
    <row r="158" spans="1:14" s="351" customFormat="1" ht="56.25">
      <c r="A158" s="122"/>
      <c r="B158" s="142" t="s">
        <v>339</v>
      </c>
      <c r="C158" s="136" t="s">
        <v>3</v>
      </c>
      <c r="D158" s="121" t="s">
        <v>125</v>
      </c>
      <c r="E158" s="121" t="s">
        <v>57</v>
      </c>
      <c r="F158" s="734" t="s">
        <v>100</v>
      </c>
      <c r="G158" s="735" t="s">
        <v>62</v>
      </c>
      <c r="H158" s="735" t="s">
        <v>63</v>
      </c>
      <c r="I158" s="736" t="s">
        <v>64</v>
      </c>
      <c r="J158" s="121"/>
      <c r="K158" s="713">
        <f t="shared" si="24"/>
        <v>552</v>
      </c>
      <c r="L158" s="137">
        <f t="shared" si="24"/>
        <v>0</v>
      </c>
      <c r="M158" s="137">
        <f t="shared" si="24"/>
        <v>552</v>
      </c>
      <c r="N158" s="137">
        <f t="shared" si="24"/>
        <v>552</v>
      </c>
    </row>
    <row r="159" spans="1:14" s="351" customFormat="1" ht="37.5">
      <c r="A159" s="122"/>
      <c r="B159" s="135" t="s">
        <v>404</v>
      </c>
      <c r="C159" s="136" t="s">
        <v>3</v>
      </c>
      <c r="D159" s="121" t="s">
        <v>125</v>
      </c>
      <c r="E159" s="121" t="s">
        <v>57</v>
      </c>
      <c r="F159" s="734" t="s">
        <v>100</v>
      </c>
      <c r="G159" s="735" t="s">
        <v>65</v>
      </c>
      <c r="H159" s="735" t="s">
        <v>63</v>
      </c>
      <c r="I159" s="736" t="s">
        <v>64</v>
      </c>
      <c r="J159" s="121"/>
      <c r="K159" s="713">
        <f t="shared" si="24"/>
        <v>552</v>
      </c>
      <c r="L159" s="137">
        <f t="shared" si="24"/>
        <v>0</v>
      </c>
      <c r="M159" s="137">
        <f t="shared" si="24"/>
        <v>552</v>
      </c>
      <c r="N159" s="137">
        <f t="shared" si="24"/>
        <v>552</v>
      </c>
    </row>
    <row r="160" spans="1:14" s="351" customFormat="1" ht="93.75">
      <c r="A160" s="122"/>
      <c r="B160" s="138" t="s">
        <v>754</v>
      </c>
      <c r="C160" s="136" t="s">
        <v>3</v>
      </c>
      <c r="D160" s="121" t="s">
        <v>125</v>
      </c>
      <c r="E160" s="121" t="s">
        <v>57</v>
      </c>
      <c r="F160" s="734" t="s">
        <v>100</v>
      </c>
      <c r="G160" s="735" t="s">
        <v>65</v>
      </c>
      <c r="H160" s="735" t="s">
        <v>72</v>
      </c>
      <c r="I160" s="736" t="s">
        <v>64</v>
      </c>
      <c r="J160" s="121"/>
      <c r="K160" s="713">
        <f t="shared" si="24"/>
        <v>552</v>
      </c>
      <c r="L160" s="137">
        <f t="shared" si="24"/>
        <v>0</v>
      </c>
      <c r="M160" s="137">
        <f t="shared" si="24"/>
        <v>552</v>
      </c>
      <c r="N160" s="137">
        <f t="shared" si="24"/>
        <v>552</v>
      </c>
    </row>
    <row r="161" spans="1:14" s="351" customFormat="1" ht="75.75" customHeight="1">
      <c r="A161" s="122"/>
      <c r="B161" s="138" t="s">
        <v>746</v>
      </c>
      <c r="C161" s="136" t="s">
        <v>3</v>
      </c>
      <c r="D161" s="121" t="s">
        <v>125</v>
      </c>
      <c r="E161" s="121" t="s">
        <v>57</v>
      </c>
      <c r="F161" s="734" t="s">
        <v>100</v>
      </c>
      <c r="G161" s="735" t="s">
        <v>65</v>
      </c>
      <c r="H161" s="735" t="s">
        <v>72</v>
      </c>
      <c r="I161" s="736" t="s">
        <v>433</v>
      </c>
      <c r="J161" s="121"/>
      <c r="K161" s="713">
        <f t="shared" si="24"/>
        <v>552</v>
      </c>
      <c r="L161" s="137">
        <f t="shared" si="24"/>
        <v>0</v>
      </c>
      <c r="M161" s="137">
        <f t="shared" si="24"/>
        <v>552</v>
      </c>
      <c r="N161" s="137">
        <f t="shared" si="24"/>
        <v>552</v>
      </c>
    </row>
    <row r="162" spans="1:14" s="351" customFormat="1" ht="37.5">
      <c r="A162" s="122"/>
      <c r="B162" s="139" t="s">
        <v>141</v>
      </c>
      <c r="C162" s="136" t="s">
        <v>3</v>
      </c>
      <c r="D162" s="121" t="s">
        <v>125</v>
      </c>
      <c r="E162" s="121" t="s">
        <v>57</v>
      </c>
      <c r="F162" s="734" t="s">
        <v>100</v>
      </c>
      <c r="G162" s="735" t="s">
        <v>65</v>
      </c>
      <c r="H162" s="735" t="s">
        <v>72</v>
      </c>
      <c r="I162" s="736" t="s">
        <v>433</v>
      </c>
      <c r="J162" s="121" t="s">
        <v>142</v>
      </c>
      <c r="K162" s="713">
        <v>552</v>
      </c>
      <c r="L162" s="137">
        <f>M162-K162</f>
        <v>0</v>
      </c>
      <c r="M162" s="137">
        <v>552</v>
      </c>
      <c r="N162" s="137">
        <v>552</v>
      </c>
    </row>
    <row r="163" spans="1:14" s="351" customFormat="1" ht="37.5">
      <c r="A163" s="122"/>
      <c r="B163" s="135" t="s">
        <v>143</v>
      </c>
      <c r="C163" s="136" t="s">
        <v>3</v>
      </c>
      <c r="D163" s="121" t="s">
        <v>125</v>
      </c>
      <c r="E163" s="121" t="s">
        <v>102</v>
      </c>
      <c r="F163" s="734"/>
      <c r="G163" s="735"/>
      <c r="H163" s="735"/>
      <c r="I163" s="736"/>
      <c r="J163" s="121"/>
      <c r="K163" s="713">
        <f t="shared" ref="K163:M166" si="25">K164</f>
        <v>928.7</v>
      </c>
      <c r="L163" s="137">
        <f t="shared" si="25"/>
        <v>0</v>
      </c>
      <c r="M163" s="137">
        <f t="shared" si="25"/>
        <v>928.7</v>
      </c>
      <c r="N163" s="137">
        <f t="shared" ref="N163:N166" si="26">N164</f>
        <v>928.7</v>
      </c>
    </row>
    <row r="164" spans="1:14" s="351" customFormat="1" ht="93.75">
      <c r="A164" s="122"/>
      <c r="B164" s="135" t="s">
        <v>93</v>
      </c>
      <c r="C164" s="136" t="s">
        <v>3</v>
      </c>
      <c r="D164" s="121" t="s">
        <v>125</v>
      </c>
      <c r="E164" s="121" t="s">
        <v>102</v>
      </c>
      <c r="F164" s="734" t="s">
        <v>94</v>
      </c>
      <c r="G164" s="735" t="s">
        <v>62</v>
      </c>
      <c r="H164" s="735" t="s">
        <v>63</v>
      </c>
      <c r="I164" s="736" t="s">
        <v>64</v>
      </c>
      <c r="J164" s="121"/>
      <c r="K164" s="713">
        <f t="shared" si="25"/>
        <v>928.7</v>
      </c>
      <c r="L164" s="137">
        <f t="shared" si="25"/>
        <v>0</v>
      </c>
      <c r="M164" s="137">
        <f t="shared" si="25"/>
        <v>928.7</v>
      </c>
      <c r="N164" s="137">
        <f t="shared" si="26"/>
        <v>928.7</v>
      </c>
    </row>
    <row r="165" spans="1:14" s="351" customFormat="1" ht="37.5">
      <c r="A165" s="122"/>
      <c r="B165" s="135" t="s">
        <v>404</v>
      </c>
      <c r="C165" s="136" t="s">
        <v>3</v>
      </c>
      <c r="D165" s="121" t="s">
        <v>125</v>
      </c>
      <c r="E165" s="121" t="s">
        <v>102</v>
      </c>
      <c r="F165" s="734" t="s">
        <v>94</v>
      </c>
      <c r="G165" s="735" t="s">
        <v>65</v>
      </c>
      <c r="H165" s="735" t="s">
        <v>63</v>
      </c>
      <c r="I165" s="736" t="s">
        <v>64</v>
      </c>
      <c r="J165" s="121"/>
      <c r="K165" s="713">
        <f t="shared" si="25"/>
        <v>928.7</v>
      </c>
      <c r="L165" s="137">
        <f t="shared" si="25"/>
        <v>0</v>
      </c>
      <c r="M165" s="137">
        <f t="shared" si="25"/>
        <v>928.7</v>
      </c>
      <c r="N165" s="137">
        <f t="shared" si="26"/>
        <v>928.7</v>
      </c>
    </row>
    <row r="166" spans="1:14" s="351" customFormat="1" ht="56.25">
      <c r="A166" s="122"/>
      <c r="B166" s="138" t="s">
        <v>306</v>
      </c>
      <c r="C166" s="136" t="s">
        <v>3</v>
      </c>
      <c r="D166" s="121" t="s">
        <v>125</v>
      </c>
      <c r="E166" s="121" t="s">
        <v>102</v>
      </c>
      <c r="F166" s="734" t="s">
        <v>94</v>
      </c>
      <c r="G166" s="735" t="s">
        <v>65</v>
      </c>
      <c r="H166" s="735" t="s">
        <v>57</v>
      </c>
      <c r="I166" s="736" t="s">
        <v>64</v>
      </c>
      <c r="J166" s="121"/>
      <c r="K166" s="713">
        <f t="shared" si="25"/>
        <v>928.7</v>
      </c>
      <c r="L166" s="137">
        <f t="shared" si="25"/>
        <v>0</v>
      </c>
      <c r="M166" s="137">
        <f t="shared" si="25"/>
        <v>928.7</v>
      </c>
      <c r="N166" s="137">
        <f t="shared" si="26"/>
        <v>928.7</v>
      </c>
    </row>
    <row r="167" spans="1:14" s="351" customFormat="1" ht="56.25">
      <c r="A167" s="122"/>
      <c r="B167" s="138" t="s">
        <v>95</v>
      </c>
      <c r="C167" s="136" t="s">
        <v>3</v>
      </c>
      <c r="D167" s="121" t="s">
        <v>125</v>
      </c>
      <c r="E167" s="121" t="s">
        <v>102</v>
      </c>
      <c r="F167" s="734" t="s">
        <v>94</v>
      </c>
      <c r="G167" s="735" t="s">
        <v>65</v>
      </c>
      <c r="H167" s="735" t="s">
        <v>57</v>
      </c>
      <c r="I167" s="736" t="s">
        <v>96</v>
      </c>
      <c r="J167" s="121"/>
      <c r="K167" s="713">
        <f>K168</f>
        <v>928.7</v>
      </c>
      <c r="L167" s="137">
        <f>L168</f>
        <v>0</v>
      </c>
      <c r="M167" s="137">
        <f>M168</f>
        <v>928.7</v>
      </c>
      <c r="N167" s="137">
        <f>N168</f>
        <v>928.7</v>
      </c>
    </row>
    <row r="168" spans="1:14" s="351" customFormat="1" ht="56.25">
      <c r="A168" s="122"/>
      <c r="B168" s="139" t="s">
        <v>97</v>
      </c>
      <c r="C168" s="136" t="s">
        <v>3</v>
      </c>
      <c r="D168" s="121" t="s">
        <v>125</v>
      </c>
      <c r="E168" s="121" t="s">
        <v>102</v>
      </c>
      <c r="F168" s="734" t="s">
        <v>94</v>
      </c>
      <c r="G168" s="735" t="s">
        <v>65</v>
      </c>
      <c r="H168" s="735" t="s">
        <v>57</v>
      </c>
      <c r="I168" s="736" t="s">
        <v>96</v>
      </c>
      <c r="J168" s="121" t="s">
        <v>98</v>
      </c>
      <c r="K168" s="713">
        <v>928.7</v>
      </c>
      <c r="L168" s="137">
        <f>M168-K168</f>
        <v>0</v>
      </c>
      <c r="M168" s="137">
        <v>928.7</v>
      </c>
      <c r="N168" s="137">
        <v>928.7</v>
      </c>
    </row>
    <row r="169" spans="1:14" s="351" customFormat="1" ht="37.5">
      <c r="A169" s="122"/>
      <c r="B169" s="619" t="s">
        <v>475</v>
      </c>
      <c r="C169" s="136" t="s">
        <v>3</v>
      </c>
      <c r="D169" s="121" t="s">
        <v>92</v>
      </c>
      <c r="E169" s="121"/>
      <c r="F169" s="734"/>
      <c r="G169" s="735"/>
      <c r="H169" s="735"/>
      <c r="I169" s="736"/>
      <c r="J169" s="121"/>
      <c r="K169" s="713">
        <f t="shared" ref="K169:N174" si="27">K170</f>
        <v>9.4</v>
      </c>
      <c r="L169" s="137">
        <f t="shared" si="27"/>
        <v>0</v>
      </c>
      <c r="M169" s="137">
        <f t="shared" si="27"/>
        <v>9.4</v>
      </c>
      <c r="N169" s="137">
        <f t="shared" si="27"/>
        <v>0</v>
      </c>
    </row>
    <row r="170" spans="1:14" s="351" customFormat="1" ht="37.5">
      <c r="A170" s="122"/>
      <c r="B170" s="603" t="s">
        <v>769</v>
      </c>
      <c r="C170" s="136" t="s">
        <v>3</v>
      </c>
      <c r="D170" s="121" t="s">
        <v>92</v>
      </c>
      <c r="E170" s="121" t="s">
        <v>57</v>
      </c>
      <c r="F170" s="734"/>
      <c r="G170" s="735"/>
      <c r="H170" s="735"/>
      <c r="I170" s="736"/>
      <c r="J170" s="121"/>
      <c r="K170" s="713">
        <f t="shared" si="27"/>
        <v>9.4</v>
      </c>
      <c r="L170" s="137">
        <f t="shared" si="27"/>
        <v>0</v>
      </c>
      <c r="M170" s="137">
        <f t="shared" si="27"/>
        <v>9.4</v>
      </c>
      <c r="N170" s="137">
        <f t="shared" si="27"/>
        <v>0</v>
      </c>
    </row>
    <row r="171" spans="1:14" s="351" customFormat="1" ht="55.5" customHeight="1">
      <c r="A171" s="122"/>
      <c r="B171" s="135" t="s">
        <v>60</v>
      </c>
      <c r="C171" s="136" t="s">
        <v>3</v>
      </c>
      <c r="D171" s="121" t="s">
        <v>92</v>
      </c>
      <c r="E171" s="121" t="s">
        <v>57</v>
      </c>
      <c r="F171" s="734" t="s">
        <v>61</v>
      </c>
      <c r="G171" s="735" t="s">
        <v>62</v>
      </c>
      <c r="H171" s="735" t="s">
        <v>63</v>
      </c>
      <c r="I171" s="736" t="s">
        <v>64</v>
      </c>
      <c r="J171" s="121"/>
      <c r="K171" s="713">
        <f t="shared" si="27"/>
        <v>9.4</v>
      </c>
      <c r="L171" s="137">
        <f t="shared" si="27"/>
        <v>0</v>
      </c>
      <c r="M171" s="137">
        <f t="shared" si="27"/>
        <v>9.4</v>
      </c>
      <c r="N171" s="137">
        <f t="shared" si="27"/>
        <v>0</v>
      </c>
    </row>
    <row r="172" spans="1:14" s="351" customFormat="1" ht="37.5">
      <c r="A172" s="122"/>
      <c r="B172" s="135" t="s">
        <v>404</v>
      </c>
      <c r="C172" s="136" t="s">
        <v>3</v>
      </c>
      <c r="D172" s="121" t="s">
        <v>92</v>
      </c>
      <c r="E172" s="121" t="s">
        <v>57</v>
      </c>
      <c r="F172" s="734" t="s">
        <v>61</v>
      </c>
      <c r="G172" s="735" t="s">
        <v>65</v>
      </c>
      <c r="H172" s="735" t="s">
        <v>63</v>
      </c>
      <c r="I172" s="736" t="s">
        <v>64</v>
      </c>
      <c r="J172" s="121"/>
      <c r="K172" s="713">
        <f t="shared" si="27"/>
        <v>9.4</v>
      </c>
      <c r="L172" s="137">
        <f t="shared" si="27"/>
        <v>0</v>
      </c>
      <c r="M172" s="137">
        <f t="shared" si="27"/>
        <v>9.4</v>
      </c>
      <c r="N172" s="137">
        <f t="shared" si="27"/>
        <v>0</v>
      </c>
    </row>
    <row r="173" spans="1:14" s="351" customFormat="1" ht="56.25">
      <c r="A173" s="122"/>
      <c r="B173" s="139" t="s">
        <v>472</v>
      </c>
      <c r="C173" s="136" t="s">
        <v>3</v>
      </c>
      <c r="D173" s="121" t="s">
        <v>92</v>
      </c>
      <c r="E173" s="121" t="s">
        <v>57</v>
      </c>
      <c r="F173" s="734" t="s">
        <v>61</v>
      </c>
      <c r="G173" s="735" t="s">
        <v>65</v>
      </c>
      <c r="H173" s="735" t="s">
        <v>100</v>
      </c>
      <c r="I173" s="736" t="s">
        <v>64</v>
      </c>
      <c r="J173" s="121"/>
      <c r="K173" s="713">
        <f t="shared" si="27"/>
        <v>9.4</v>
      </c>
      <c r="L173" s="137">
        <f t="shared" si="27"/>
        <v>0</v>
      </c>
      <c r="M173" s="137">
        <f t="shared" si="27"/>
        <v>9.4</v>
      </c>
      <c r="N173" s="137">
        <f t="shared" si="27"/>
        <v>0</v>
      </c>
    </row>
    <row r="174" spans="1:14" s="351" customFormat="1" ht="31.15" customHeight="1">
      <c r="A174" s="122"/>
      <c r="B174" s="139" t="s">
        <v>473</v>
      </c>
      <c r="C174" s="136" t="s">
        <v>3</v>
      </c>
      <c r="D174" s="121" t="s">
        <v>92</v>
      </c>
      <c r="E174" s="121" t="s">
        <v>57</v>
      </c>
      <c r="F174" s="734" t="s">
        <v>61</v>
      </c>
      <c r="G174" s="735" t="s">
        <v>65</v>
      </c>
      <c r="H174" s="735" t="s">
        <v>100</v>
      </c>
      <c r="I174" s="736" t="s">
        <v>474</v>
      </c>
      <c r="J174" s="121"/>
      <c r="K174" s="713">
        <f t="shared" si="27"/>
        <v>9.4</v>
      </c>
      <c r="L174" s="137">
        <f t="shared" si="27"/>
        <v>0</v>
      </c>
      <c r="M174" s="137">
        <f t="shared" si="27"/>
        <v>9.4</v>
      </c>
      <c r="N174" s="137">
        <f t="shared" si="27"/>
        <v>0</v>
      </c>
    </row>
    <row r="175" spans="1:14" s="351" customFormat="1" ht="37.5">
      <c r="A175" s="122"/>
      <c r="B175" s="139" t="s">
        <v>475</v>
      </c>
      <c r="C175" s="136" t="s">
        <v>3</v>
      </c>
      <c r="D175" s="121" t="s">
        <v>92</v>
      </c>
      <c r="E175" s="121" t="s">
        <v>57</v>
      </c>
      <c r="F175" s="734" t="s">
        <v>61</v>
      </c>
      <c r="G175" s="735" t="s">
        <v>65</v>
      </c>
      <c r="H175" s="735" t="s">
        <v>100</v>
      </c>
      <c r="I175" s="736" t="s">
        <v>474</v>
      </c>
      <c r="J175" s="121" t="s">
        <v>476</v>
      </c>
      <c r="K175" s="713">
        <v>9.4</v>
      </c>
      <c r="L175" s="137">
        <f>M175-K175</f>
        <v>0</v>
      </c>
      <c r="M175" s="137">
        <v>9.4</v>
      </c>
      <c r="N175" s="137">
        <v>0</v>
      </c>
    </row>
    <row r="176" spans="1:14" s="351" customFormat="1" ht="18.75">
      <c r="A176" s="122"/>
      <c r="B176" s="139"/>
      <c r="C176" s="136"/>
      <c r="D176" s="121"/>
      <c r="E176" s="121"/>
      <c r="F176" s="734"/>
      <c r="G176" s="735"/>
      <c r="H176" s="735"/>
      <c r="I176" s="736"/>
      <c r="J176" s="121"/>
      <c r="K176" s="713"/>
      <c r="L176" s="137"/>
      <c r="M176" s="137"/>
      <c r="N176" s="137"/>
    </row>
    <row r="177" spans="1:14" ht="56.25">
      <c r="A177" s="350">
        <v>2</v>
      </c>
      <c r="B177" s="129" t="s">
        <v>10</v>
      </c>
      <c r="C177" s="130" t="s">
        <v>354</v>
      </c>
      <c r="D177" s="131"/>
      <c r="E177" s="131"/>
      <c r="F177" s="132"/>
      <c r="G177" s="133"/>
      <c r="H177" s="133"/>
      <c r="I177" s="134"/>
      <c r="J177" s="131"/>
      <c r="K177" s="712">
        <f>K178+K196</f>
        <v>33406.9</v>
      </c>
      <c r="L177" s="160">
        <f>L178+L196</f>
        <v>0</v>
      </c>
      <c r="M177" s="160">
        <f>M178+M196</f>
        <v>33406.9</v>
      </c>
      <c r="N177" s="160">
        <f>N178+N196</f>
        <v>33407.599999999999</v>
      </c>
    </row>
    <row r="178" spans="1:14" s="355" customFormat="1" ht="18.75">
      <c r="A178" s="122"/>
      <c r="B178" s="135" t="s">
        <v>56</v>
      </c>
      <c r="C178" s="136" t="s">
        <v>354</v>
      </c>
      <c r="D178" s="121" t="s">
        <v>57</v>
      </c>
      <c r="E178" s="121"/>
      <c r="F178" s="734"/>
      <c r="G178" s="735"/>
      <c r="H178" s="735"/>
      <c r="I178" s="736"/>
      <c r="J178" s="121"/>
      <c r="K178" s="713">
        <f>K179+K187</f>
        <v>27906.9</v>
      </c>
      <c r="L178" s="137">
        <f>L179+L187</f>
        <v>0</v>
      </c>
      <c r="M178" s="137">
        <f>M179+M187</f>
        <v>27906.9</v>
      </c>
      <c r="N178" s="137">
        <f>N179+N187</f>
        <v>27907.599999999999</v>
      </c>
    </row>
    <row r="179" spans="1:14" s="356" customFormat="1" ht="75">
      <c r="A179" s="122"/>
      <c r="B179" s="135" t="s">
        <v>151</v>
      </c>
      <c r="C179" s="136" t="s">
        <v>354</v>
      </c>
      <c r="D179" s="121" t="s">
        <v>57</v>
      </c>
      <c r="E179" s="121" t="s">
        <v>102</v>
      </c>
      <c r="F179" s="734"/>
      <c r="G179" s="735"/>
      <c r="H179" s="735"/>
      <c r="I179" s="736"/>
      <c r="J179" s="121"/>
      <c r="K179" s="713">
        <f t="shared" ref="K179:N182" si="28">K180</f>
        <v>25025.600000000002</v>
      </c>
      <c r="L179" s="137">
        <f t="shared" si="28"/>
        <v>0</v>
      </c>
      <c r="M179" s="137">
        <f t="shared" si="28"/>
        <v>25025.600000000002</v>
      </c>
      <c r="N179" s="137">
        <f t="shared" si="28"/>
        <v>25026.3</v>
      </c>
    </row>
    <row r="180" spans="1:14" s="351" customFormat="1" ht="54.75" customHeight="1">
      <c r="A180" s="122"/>
      <c r="B180" s="135" t="s">
        <v>245</v>
      </c>
      <c r="C180" s="136" t="s">
        <v>354</v>
      </c>
      <c r="D180" s="121" t="s">
        <v>57</v>
      </c>
      <c r="E180" s="121" t="s">
        <v>102</v>
      </c>
      <c r="F180" s="734" t="s">
        <v>246</v>
      </c>
      <c r="G180" s="735" t="s">
        <v>62</v>
      </c>
      <c r="H180" s="735" t="s">
        <v>63</v>
      </c>
      <c r="I180" s="736" t="s">
        <v>64</v>
      </c>
      <c r="J180" s="121"/>
      <c r="K180" s="713">
        <f t="shared" si="28"/>
        <v>25025.600000000002</v>
      </c>
      <c r="L180" s="137">
        <f t="shared" si="28"/>
        <v>0</v>
      </c>
      <c r="M180" s="137">
        <f t="shared" si="28"/>
        <v>25025.600000000002</v>
      </c>
      <c r="N180" s="137">
        <f t="shared" si="28"/>
        <v>25026.3</v>
      </c>
    </row>
    <row r="181" spans="1:14" s="351" customFormat="1" ht="37.5">
      <c r="A181" s="122"/>
      <c r="B181" s="135" t="s">
        <v>404</v>
      </c>
      <c r="C181" s="136" t="s">
        <v>354</v>
      </c>
      <c r="D181" s="121" t="s">
        <v>57</v>
      </c>
      <c r="E181" s="121" t="s">
        <v>102</v>
      </c>
      <c r="F181" s="143" t="s">
        <v>246</v>
      </c>
      <c r="G181" s="144" t="s">
        <v>65</v>
      </c>
      <c r="H181" s="735" t="s">
        <v>63</v>
      </c>
      <c r="I181" s="736" t="s">
        <v>64</v>
      </c>
      <c r="J181" s="121"/>
      <c r="K181" s="713">
        <f>K182</f>
        <v>25025.600000000002</v>
      </c>
      <c r="L181" s="137">
        <f>L182</f>
        <v>0</v>
      </c>
      <c r="M181" s="137">
        <f>M182</f>
        <v>25025.600000000002</v>
      </c>
      <c r="N181" s="137">
        <f>N182</f>
        <v>25026.3</v>
      </c>
    </row>
    <row r="182" spans="1:14" s="351" customFormat="1" ht="56.25">
      <c r="A182" s="122"/>
      <c r="B182" s="135" t="s">
        <v>355</v>
      </c>
      <c r="C182" s="136" t="s">
        <v>354</v>
      </c>
      <c r="D182" s="121" t="s">
        <v>57</v>
      </c>
      <c r="E182" s="121" t="s">
        <v>102</v>
      </c>
      <c r="F182" s="143" t="s">
        <v>246</v>
      </c>
      <c r="G182" s="144" t="s">
        <v>65</v>
      </c>
      <c r="H182" s="735" t="s">
        <v>57</v>
      </c>
      <c r="I182" s="736" t="s">
        <v>64</v>
      </c>
      <c r="J182" s="121"/>
      <c r="K182" s="713">
        <f t="shared" si="28"/>
        <v>25025.600000000002</v>
      </c>
      <c r="L182" s="137">
        <f t="shared" si="28"/>
        <v>0</v>
      </c>
      <c r="M182" s="137">
        <f t="shared" si="28"/>
        <v>25025.600000000002</v>
      </c>
      <c r="N182" s="137">
        <f t="shared" si="28"/>
        <v>25026.3</v>
      </c>
    </row>
    <row r="183" spans="1:14" s="351" customFormat="1" ht="37.5">
      <c r="A183" s="122"/>
      <c r="B183" s="135" t="s">
        <v>67</v>
      </c>
      <c r="C183" s="136" t="s">
        <v>354</v>
      </c>
      <c r="D183" s="121" t="s">
        <v>57</v>
      </c>
      <c r="E183" s="121" t="s">
        <v>102</v>
      </c>
      <c r="F183" s="143" t="s">
        <v>246</v>
      </c>
      <c r="G183" s="144" t="s">
        <v>65</v>
      </c>
      <c r="H183" s="735" t="s">
        <v>57</v>
      </c>
      <c r="I183" s="736" t="s">
        <v>68</v>
      </c>
      <c r="J183" s="121"/>
      <c r="K183" s="713">
        <f>SUM(K184:K186)</f>
        <v>25025.600000000002</v>
      </c>
      <c r="L183" s="137">
        <f>SUM(L184:L186)</f>
        <v>0</v>
      </c>
      <c r="M183" s="137">
        <f>SUM(M184:M186)</f>
        <v>25025.600000000002</v>
      </c>
      <c r="N183" s="137">
        <f>SUM(N184:N186)</f>
        <v>25026.3</v>
      </c>
    </row>
    <row r="184" spans="1:14" s="351" customFormat="1" ht="112.5">
      <c r="A184" s="122"/>
      <c r="B184" s="135" t="s">
        <v>69</v>
      </c>
      <c r="C184" s="136" t="s">
        <v>354</v>
      </c>
      <c r="D184" s="121" t="s">
        <v>57</v>
      </c>
      <c r="E184" s="121" t="s">
        <v>102</v>
      </c>
      <c r="F184" s="143" t="s">
        <v>246</v>
      </c>
      <c r="G184" s="144" t="s">
        <v>65</v>
      </c>
      <c r="H184" s="735" t="s">
        <v>57</v>
      </c>
      <c r="I184" s="736" t="s">
        <v>68</v>
      </c>
      <c r="J184" s="121" t="s">
        <v>70</v>
      </c>
      <c r="K184" s="713">
        <v>24258.5</v>
      </c>
      <c r="L184" s="137">
        <f>M184-K184</f>
        <v>0</v>
      </c>
      <c r="M184" s="137">
        <v>24258.5</v>
      </c>
      <c r="N184" s="137">
        <v>24258.5</v>
      </c>
    </row>
    <row r="185" spans="1:14" s="351" customFormat="1" ht="56.25">
      <c r="A185" s="122"/>
      <c r="B185" s="135" t="s">
        <v>75</v>
      </c>
      <c r="C185" s="136" t="s">
        <v>354</v>
      </c>
      <c r="D185" s="121" t="s">
        <v>57</v>
      </c>
      <c r="E185" s="121" t="s">
        <v>102</v>
      </c>
      <c r="F185" s="143" t="s">
        <v>246</v>
      </c>
      <c r="G185" s="144" t="s">
        <v>65</v>
      </c>
      <c r="H185" s="735" t="s">
        <v>57</v>
      </c>
      <c r="I185" s="736" t="s">
        <v>68</v>
      </c>
      <c r="J185" s="121" t="s">
        <v>76</v>
      </c>
      <c r="K185" s="713">
        <v>762.4</v>
      </c>
      <c r="L185" s="137">
        <f>M185-K185</f>
        <v>0</v>
      </c>
      <c r="M185" s="137">
        <v>762.4</v>
      </c>
      <c r="N185" s="137">
        <v>763.2</v>
      </c>
    </row>
    <row r="186" spans="1:14" s="356" customFormat="1" ht="18.75">
      <c r="A186" s="122"/>
      <c r="B186" s="135" t="s">
        <v>77</v>
      </c>
      <c r="C186" s="136" t="s">
        <v>354</v>
      </c>
      <c r="D186" s="121" t="s">
        <v>57</v>
      </c>
      <c r="E186" s="121" t="s">
        <v>102</v>
      </c>
      <c r="F186" s="143" t="s">
        <v>246</v>
      </c>
      <c r="G186" s="144" t="s">
        <v>65</v>
      </c>
      <c r="H186" s="735" t="s">
        <v>57</v>
      </c>
      <c r="I186" s="736" t="s">
        <v>68</v>
      </c>
      <c r="J186" s="121" t="s">
        <v>78</v>
      </c>
      <c r="K186" s="713">
        <v>4.7</v>
      </c>
      <c r="L186" s="137">
        <f>M186-K186</f>
        <v>0</v>
      </c>
      <c r="M186" s="137">
        <v>4.7</v>
      </c>
      <c r="N186" s="137">
        <v>4.5999999999999996</v>
      </c>
    </row>
    <row r="187" spans="1:14" s="356" customFormat="1" ht="18.75">
      <c r="A187" s="122"/>
      <c r="B187" s="135" t="s">
        <v>91</v>
      </c>
      <c r="C187" s="136" t="s">
        <v>354</v>
      </c>
      <c r="D187" s="121" t="s">
        <v>57</v>
      </c>
      <c r="E187" s="121" t="s">
        <v>92</v>
      </c>
      <c r="F187" s="143"/>
      <c r="G187" s="144"/>
      <c r="H187" s="735"/>
      <c r="I187" s="736"/>
      <c r="J187" s="121"/>
      <c r="K187" s="713">
        <f t="shared" ref="K187:N188" si="29">K188</f>
        <v>2881.3</v>
      </c>
      <c r="L187" s="137">
        <f t="shared" si="29"/>
        <v>0</v>
      </c>
      <c r="M187" s="137">
        <f t="shared" si="29"/>
        <v>2881.3</v>
      </c>
      <c r="N187" s="137">
        <f t="shared" si="29"/>
        <v>2881.3</v>
      </c>
    </row>
    <row r="188" spans="1:14" s="356" customFormat="1" ht="75">
      <c r="A188" s="122"/>
      <c r="B188" s="135" t="s">
        <v>245</v>
      </c>
      <c r="C188" s="136" t="s">
        <v>354</v>
      </c>
      <c r="D188" s="121" t="s">
        <v>57</v>
      </c>
      <c r="E188" s="121" t="s">
        <v>92</v>
      </c>
      <c r="F188" s="143" t="s">
        <v>246</v>
      </c>
      <c r="G188" s="144" t="s">
        <v>62</v>
      </c>
      <c r="H188" s="735" t="s">
        <v>63</v>
      </c>
      <c r="I188" s="736" t="s">
        <v>64</v>
      </c>
      <c r="J188" s="121"/>
      <c r="K188" s="713">
        <f t="shared" si="29"/>
        <v>2881.3</v>
      </c>
      <c r="L188" s="137">
        <f t="shared" si="29"/>
        <v>0</v>
      </c>
      <c r="M188" s="137">
        <f t="shared" si="29"/>
        <v>2881.3</v>
      </c>
      <c r="N188" s="137">
        <f t="shared" si="29"/>
        <v>2881.3</v>
      </c>
    </row>
    <row r="189" spans="1:14" s="356" customFormat="1" ht="37.5">
      <c r="A189" s="122"/>
      <c r="B189" s="135" t="s">
        <v>404</v>
      </c>
      <c r="C189" s="136" t="s">
        <v>354</v>
      </c>
      <c r="D189" s="121" t="s">
        <v>57</v>
      </c>
      <c r="E189" s="121" t="s">
        <v>92</v>
      </c>
      <c r="F189" s="143" t="s">
        <v>246</v>
      </c>
      <c r="G189" s="144" t="s">
        <v>65</v>
      </c>
      <c r="H189" s="735" t="s">
        <v>63</v>
      </c>
      <c r="I189" s="736" t="s">
        <v>64</v>
      </c>
      <c r="J189" s="121"/>
      <c r="K189" s="713">
        <f>K190+K193</f>
        <v>2881.3</v>
      </c>
      <c r="L189" s="137">
        <f>L190+L193</f>
        <v>0</v>
      </c>
      <c r="M189" s="137">
        <f>M190+M193</f>
        <v>2881.3</v>
      </c>
      <c r="N189" s="137">
        <f>N190+N193</f>
        <v>2881.3</v>
      </c>
    </row>
    <row r="190" spans="1:14" s="356" customFormat="1" ht="37.5">
      <c r="A190" s="122"/>
      <c r="B190" s="135" t="s">
        <v>428</v>
      </c>
      <c r="C190" s="136" t="s">
        <v>354</v>
      </c>
      <c r="D190" s="121" t="s">
        <v>57</v>
      </c>
      <c r="E190" s="121" t="s">
        <v>92</v>
      </c>
      <c r="F190" s="143" t="s">
        <v>246</v>
      </c>
      <c r="G190" s="144" t="s">
        <v>65</v>
      </c>
      <c r="H190" s="735" t="s">
        <v>84</v>
      </c>
      <c r="I190" s="736" t="s">
        <v>64</v>
      </c>
      <c r="J190" s="121"/>
      <c r="K190" s="713">
        <f t="shared" ref="K190:N191" si="30">K191</f>
        <v>2863.3</v>
      </c>
      <c r="L190" s="137">
        <f t="shared" si="30"/>
        <v>0</v>
      </c>
      <c r="M190" s="137">
        <f t="shared" si="30"/>
        <v>2863.3</v>
      </c>
      <c r="N190" s="137">
        <f t="shared" si="30"/>
        <v>2863.3</v>
      </c>
    </row>
    <row r="191" spans="1:14" s="356" customFormat="1" ht="57" customHeight="1">
      <c r="A191" s="122"/>
      <c r="B191" s="135" t="s">
        <v>429</v>
      </c>
      <c r="C191" s="136" t="s">
        <v>354</v>
      </c>
      <c r="D191" s="121" t="s">
        <v>57</v>
      </c>
      <c r="E191" s="121" t="s">
        <v>92</v>
      </c>
      <c r="F191" s="143" t="s">
        <v>246</v>
      </c>
      <c r="G191" s="144" t="s">
        <v>65</v>
      </c>
      <c r="H191" s="735" t="s">
        <v>84</v>
      </c>
      <c r="I191" s="736" t="s">
        <v>126</v>
      </c>
      <c r="J191" s="121"/>
      <c r="K191" s="713">
        <f t="shared" si="30"/>
        <v>2863.3</v>
      </c>
      <c r="L191" s="137">
        <f t="shared" si="30"/>
        <v>0</v>
      </c>
      <c r="M191" s="137">
        <f t="shared" si="30"/>
        <v>2863.3</v>
      </c>
      <c r="N191" s="137">
        <f t="shared" si="30"/>
        <v>2863.3</v>
      </c>
    </row>
    <row r="192" spans="1:14" s="356" customFormat="1" ht="56.25">
      <c r="A192" s="122"/>
      <c r="B192" s="135" t="s">
        <v>75</v>
      </c>
      <c r="C192" s="136" t="s">
        <v>354</v>
      </c>
      <c r="D192" s="121" t="s">
        <v>57</v>
      </c>
      <c r="E192" s="121" t="s">
        <v>92</v>
      </c>
      <c r="F192" s="143" t="s">
        <v>246</v>
      </c>
      <c r="G192" s="144" t="s">
        <v>65</v>
      </c>
      <c r="H192" s="735" t="s">
        <v>84</v>
      </c>
      <c r="I192" s="736" t="s">
        <v>126</v>
      </c>
      <c r="J192" s="121" t="s">
        <v>76</v>
      </c>
      <c r="K192" s="713">
        <v>2863.3</v>
      </c>
      <c r="L192" s="137">
        <f>M192-K192</f>
        <v>0</v>
      </c>
      <c r="M192" s="137">
        <v>2863.3</v>
      </c>
      <c r="N192" s="137">
        <v>2863.3</v>
      </c>
    </row>
    <row r="193" spans="1:14" s="356" customFormat="1" ht="37.5">
      <c r="A193" s="122"/>
      <c r="B193" s="135" t="s">
        <v>799</v>
      </c>
      <c r="C193" s="136" t="s">
        <v>354</v>
      </c>
      <c r="D193" s="121" t="s">
        <v>57</v>
      </c>
      <c r="E193" s="121" t="s">
        <v>92</v>
      </c>
      <c r="F193" s="143" t="s">
        <v>246</v>
      </c>
      <c r="G193" s="144" t="s">
        <v>65</v>
      </c>
      <c r="H193" s="735" t="s">
        <v>86</v>
      </c>
      <c r="I193" s="736" t="s">
        <v>64</v>
      </c>
      <c r="J193" s="121"/>
      <c r="K193" s="713">
        <f t="shared" ref="K193:N194" si="31">K194</f>
        <v>18</v>
      </c>
      <c r="L193" s="137">
        <f t="shared" si="31"/>
        <v>0</v>
      </c>
      <c r="M193" s="137">
        <f t="shared" si="31"/>
        <v>18</v>
      </c>
      <c r="N193" s="137">
        <f t="shared" si="31"/>
        <v>18</v>
      </c>
    </row>
    <row r="194" spans="1:14" s="356" customFormat="1" ht="18.75">
      <c r="A194" s="122"/>
      <c r="B194" s="135" t="s">
        <v>797</v>
      </c>
      <c r="C194" s="136" t="s">
        <v>354</v>
      </c>
      <c r="D194" s="121" t="s">
        <v>57</v>
      </c>
      <c r="E194" s="121" t="s">
        <v>92</v>
      </c>
      <c r="F194" s="143" t="s">
        <v>246</v>
      </c>
      <c r="G194" s="144" t="s">
        <v>65</v>
      </c>
      <c r="H194" s="735" t="s">
        <v>86</v>
      </c>
      <c r="I194" s="736" t="s">
        <v>798</v>
      </c>
      <c r="J194" s="121"/>
      <c r="K194" s="713">
        <f t="shared" si="31"/>
        <v>18</v>
      </c>
      <c r="L194" s="137">
        <f t="shared" si="31"/>
        <v>0</v>
      </c>
      <c r="M194" s="137">
        <f t="shared" si="31"/>
        <v>18</v>
      </c>
      <c r="N194" s="137">
        <f t="shared" si="31"/>
        <v>18</v>
      </c>
    </row>
    <row r="195" spans="1:14" s="356" customFormat="1" ht="56.25">
      <c r="A195" s="122"/>
      <c r="B195" s="135" t="s">
        <v>75</v>
      </c>
      <c r="C195" s="136" t="s">
        <v>354</v>
      </c>
      <c r="D195" s="121" t="s">
        <v>57</v>
      </c>
      <c r="E195" s="121" t="s">
        <v>92</v>
      </c>
      <c r="F195" s="143" t="s">
        <v>246</v>
      </c>
      <c r="G195" s="144" t="s">
        <v>65</v>
      </c>
      <c r="H195" s="735" t="s">
        <v>86</v>
      </c>
      <c r="I195" s="736" t="s">
        <v>798</v>
      </c>
      <c r="J195" s="121" t="s">
        <v>76</v>
      </c>
      <c r="K195" s="713">
        <v>18</v>
      </c>
      <c r="L195" s="137">
        <f>M195-K195</f>
        <v>0</v>
      </c>
      <c r="M195" s="137">
        <v>18</v>
      </c>
      <c r="N195" s="137">
        <v>18</v>
      </c>
    </row>
    <row r="196" spans="1:14" s="356" customFormat="1" ht="56.25">
      <c r="A196" s="122"/>
      <c r="B196" s="135" t="s">
        <v>222</v>
      </c>
      <c r="C196" s="136" t="s">
        <v>354</v>
      </c>
      <c r="D196" s="121" t="s">
        <v>109</v>
      </c>
      <c r="E196" s="121"/>
      <c r="F196" s="143"/>
      <c r="G196" s="144"/>
      <c r="H196" s="735"/>
      <c r="I196" s="736"/>
      <c r="J196" s="121"/>
      <c r="K196" s="713">
        <f t="shared" ref="K196:N199" si="32">K197</f>
        <v>5500</v>
      </c>
      <c r="L196" s="137">
        <f t="shared" si="32"/>
        <v>0</v>
      </c>
      <c r="M196" s="137">
        <f t="shared" si="32"/>
        <v>5500</v>
      </c>
      <c r="N196" s="137">
        <f t="shared" si="32"/>
        <v>5500</v>
      </c>
    </row>
    <row r="197" spans="1:14" s="356" customFormat="1" ht="56.25">
      <c r="A197" s="122"/>
      <c r="B197" s="141" t="s">
        <v>223</v>
      </c>
      <c r="C197" s="136" t="s">
        <v>354</v>
      </c>
      <c r="D197" s="121" t="s">
        <v>109</v>
      </c>
      <c r="E197" s="121" t="s">
        <v>57</v>
      </c>
      <c r="F197" s="143"/>
      <c r="G197" s="144"/>
      <c r="H197" s="735"/>
      <c r="I197" s="736"/>
      <c r="J197" s="121"/>
      <c r="K197" s="713">
        <f t="shared" si="32"/>
        <v>5500</v>
      </c>
      <c r="L197" s="137">
        <f t="shared" si="32"/>
        <v>0</v>
      </c>
      <c r="M197" s="137">
        <f t="shared" si="32"/>
        <v>5500</v>
      </c>
      <c r="N197" s="137">
        <f t="shared" si="32"/>
        <v>5500</v>
      </c>
    </row>
    <row r="198" spans="1:14" s="356" customFormat="1" ht="75">
      <c r="A198" s="122"/>
      <c r="B198" s="135" t="s">
        <v>245</v>
      </c>
      <c r="C198" s="136" t="s">
        <v>354</v>
      </c>
      <c r="D198" s="121" t="s">
        <v>109</v>
      </c>
      <c r="E198" s="121" t="s">
        <v>57</v>
      </c>
      <c r="F198" s="143" t="s">
        <v>246</v>
      </c>
      <c r="G198" s="144" t="s">
        <v>62</v>
      </c>
      <c r="H198" s="735" t="s">
        <v>63</v>
      </c>
      <c r="I198" s="736" t="s">
        <v>64</v>
      </c>
      <c r="J198" s="121"/>
      <c r="K198" s="713">
        <f t="shared" si="32"/>
        <v>5500</v>
      </c>
      <c r="L198" s="137">
        <f t="shared" si="32"/>
        <v>0</v>
      </c>
      <c r="M198" s="137">
        <f t="shared" si="32"/>
        <v>5500</v>
      </c>
      <c r="N198" s="137">
        <f t="shared" si="32"/>
        <v>5500</v>
      </c>
    </row>
    <row r="199" spans="1:14" s="356" customFormat="1" ht="37.5">
      <c r="A199" s="122"/>
      <c r="B199" s="135" t="s">
        <v>404</v>
      </c>
      <c r="C199" s="136" t="s">
        <v>354</v>
      </c>
      <c r="D199" s="121" t="s">
        <v>109</v>
      </c>
      <c r="E199" s="121" t="s">
        <v>57</v>
      </c>
      <c r="F199" s="143" t="s">
        <v>246</v>
      </c>
      <c r="G199" s="144" t="s">
        <v>65</v>
      </c>
      <c r="H199" s="735" t="s">
        <v>63</v>
      </c>
      <c r="I199" s="736" t="s">
        <v>64</v>
      </c>
      <c r="J199" s="121"/>
      <c r="K199" s="713">
        <f t="shared" si="32"/>
        <v>5500</v>
      </c>
      <c r="L199" s="137">
        <f t="shared" si="32"/>
        <v>0</v>
      </c>
      <c r="M199" s="137">
        <f t="shared" si="32"/>
        <v>5500</v>
      </c>
      <c r="N199" s="137">
        <f t="shared" si="32"/>
        <v>5500</v>
      </c>
    </row>
    <row r="200" spans="1:14" s="356" customFormat="1" ht="37.5">
      <c r="A200" s="122"/>
      <c r="B200" s="135" t="s">
        <v>356</v>
      </c>
      <c r="C200" s="136" t="s">
        <v>354</v>
      </c>
      <c r="D200" s="121" t="s">
        <v>109</v>
      </c>
      <c r="E200" s="121" t="s">
        <v>57</v>
      </c>
      <c r="F200" s="143" t="s">
        <v>246</v>
      </c>
      <c r="G200" s="144" t="s">
        <v>65</v>
      </c>
      <c r="H200" s="735" t="s">
        <v>59</v>
      </c>
      <c r="I200" s="736" t="s">
        <v>64</v>
      </c>
      <c r="J200" s="121"/>
      <c r="K200" s="713">
        <f>K201</f>
        <v>5500</v>
      </c>
      <c r="L200" s="137">
        <f>L201</f>
        <v>0</v>
      </c>
      <c r="M200" s="137">
        <f>M201</f>
        <v>5500</v>
      </c>
      <c r="N200" s="137">
        <f>N201</f>
        <v>5500</v>
      </c>
    </row>
    <row r="201" spans="1:14" s="356" customFormat="1" ht="37.5">
      <c r="A201" s="122"/>
      <c r="B201" s="135" t="s">
        <v>298</v>
      </c>
      <c r="C201" s="136" t="s">
        <v>354</v>
      </c>
      <c r="D201" s="121" t="s">
        <v>109</v>
      </c>
      <c r="E201" s="121" t="s">
        <v>57</v>
      </c>
      <c r="F201" s="143" t="s">
        <v>246</v>
      </c>
      <c r="G201" s="144" t="s">
        <v>65</v>
      </c>
      <c r="H201" s="735" t="s">
        <v>59</v>
      </c>
      <c r="I201" s="736" t="s">
        <v>578</v>
      </c>
      <c r="J201" s="121"/>
      <c r="K201" s="713">
        <f t="shared" ref="K201:N201" si="33">K202</f>
        <v>5500</v>
      </c>
      <c r="L201" s="137">
        <f t="shared" si="33"/>
        <v>0</v>
      </c>
      <c r="M201" s="137">
        <f t="shared" si="33"/>
        <v>5500</v>
      </c>
      <c r="N201" s="137">
        <f t="shared" si="33"/>
        <v>5500</v>
      </c>
    </row>
    <row r="202" spans="1:14" s="356" customFormat="1" ht="18.75">
      <c r="A202" s="122"/>
      <c r="B202" s="135" t="s">
        <v>144</v>
      </c>
      <c r="C202" s="136" t="s">
        <v>354</v>
      </c>
      <c r="D202" s="121" t="s">
        <v>109</v>
      </c>
      <c r="E202" s="121" t="s">
        <v>57</v>
      </c>
      <c r="F202" s="143" t="s">
        <v>246</v>
      </c>
      <c r="G202" s="144" t="s">
        <v>65</v>
      </c>
      <c r="H202" s="735" t="s">
        <v>59</v>
      </c>
      <c r="I202" s="736" t="s">
        <v>578</v>
      </c>
      <c r="J202" s="121" t="s">
        <v>145</v>
      </c>
      <c r="K202" s="713">
        <v>5500</v>
      </c>
      <c r="L202" s="137">
        <f>M202-K202</f>
        <v>0</v>
      </c>
      <c r="M202" s="137">
        <v>5500</v>
      </c>
      <c r="N202" s="137">
        <v>5500</v>
      </c>
    </row>
    <row r="203" spans="1:14" s="356" customFormat="1" ht="18.75">
      <c r="A203" s="122"/>
      <c r="B203" s="135"/>
      <c r="C203" s="136"/>
      <c r="D203" s="121"/>
      <c r="E203" s="121"/>
      <c r="F203" s="143"/>
      <c r="G203" s="144"/>
      <c r="H203" s="735"/>
      <c r="I203" s="736"/>
      <c r="J203" s="121"/>
      <c r="K203" s="713"/>
      <c r="L203" s="137"/>
      <c r="M203" s="137"/>
      <c r="N203" s="137"/>
    </row>
    <row r="204" spans="1:14" s="357" customFormat="1" ht="56.25">
      <c r="A204" s="350">
        <v>3</v>
      </c>
      <c r="B204" s="129" t="s">
        <v>55</v>
      </c>
      <c r="C204" s="130" t="s">
        <v>150</v>
      </c>
      <c r="D204" s="131"/>
      <c r="E204" s="131"/>
      <c r="F204" s="132"/>
      <c r="G204" s="133"/>
      <c r="H204" s="133"/>
      <c r="I204" s="134"/>
      <c r="J204" s="131"/>
      <c r="K204" s="712">
        <f t="shared" ref="K204:N207" si="34">K205</f>
        <v>4306.6000000000004</v>
      </c>
      <c r="L204" s="160">
        <f t="shared" si="34"/>
        <v>0</v>
      </c>
      <c r="M204" s="160">
        <f t="shared" si="34"/>
        <v>4306.6000000000004</v>
      </c>
      <c r="N204" s="160">
        <f t="shared" si="34"/>
        <v>4306.7</v>
      </c>
    </row>
    <row r="205" spans="1:14" s="357" customFormat="1" ht="18.75">
      <c r="A205" s="122"/>
      <c r="B205" s="135" t="s">
        <v>56</v>
      </c>
      <c r="C205" s="136" t="s">
        <v>150</v>
      </c>
      <c r="D205" s="121" t="s">
        <v>57</v>
      </c>
      <c r="E205" s="121"/>
      <c r="F205" s="734"/>
      <c r="G205" s="735"/>
      <c r="H205" s="735"/>
      <c r="I205" s="736"/>
      <c r="J205" s="121"/>
      <c r="K205" s="713">
        <f t="shared" si="34"/>
        <v>4306.6000000000004</v>
      </c>
      <c r="L205" s="137">
        <f t="shared" si="34"/>
        <v>0</v>
      </c>
      <c r="M205" s="137">
        <f t="shared" si="34"/>
        <v>4306.6000000000004</v>
      </c>
      <c r="N205" s="137">
        <f t="shared" si="34"/>
        <v>4306.7</v>
      </c>
    </row>
    <row r="206" spans="1:14" s="357" customFormat="1" ht="75">
      <c r="A206" s="122"/>
      <c r="B206" s="135" t="s">
        <v>151</v>
      </c>
      <c r="C206" s="136" t="s">
        <v>150</v>
      </c>
      <c r="D206" s="121" t="s">
        <v>57</v>
      </c>
      <c r="E206" s="121" t="s">
        <v>102</v>
      </c>
      <c r="F206" s="734"/>
      <c r="G206" s="735"/>
      <c r="H206" s="735"/>
      <c r="I206" s="736"/>
      <c r="J206" s="121"/>
      <c r="K206" s="713">
        <f t="shared" si="34"/>
        <v>4306.6000000000004</v>
      </c>
      <c r="L206" s="137">
        <f t="shared" si="34"/>
        <v>0</v>
      </c>
      <c r="M206" s="137">
        <f t="shared" si="34"/>
        <v>4306.6000000000004</v>
      </c>
      <c r="N206" s="137">
        <f t="shared" si="34"/>
        <v>4306.7</v>
      </c>
    </row>
    <row r="207" spans="1:14" s="357" customFormat="1" ht="56.25">
      <c r="A207" s="122"/>
      <c r="B207" s="138" t="s">
        <v>152</v>
      </c>
      <c r="C207" s="136" t="s">
        <v>150</v>
      </c>
      <c r="D207" s="121" t="s">
        <v>57</v>
      </c>
      <c r="E207" s="121" t="s">
        <v>102</v>
      </c>
      <c r="F207" s="734" t="s">
        <v>153</v>
      </c>
      <c r="G207" s="735" t="s">
        <v>62</v>
      </c>
      <c r="H207" s="735" t="s">
        <v>63</v>
      </c>
      <c r="I207" s="736" t="s">
        <v>64</v>
      </c>
      <c r="J207" s="121"/>
      <c r="K207" s="713">
        <f t="shared" si="34"/>
        <v>4306.6000000000004</v>
      </c>
      <c r="L207" s="137">
        <f t="shared" si="34"/>
        <v>0</v>
      </c>
      <c r="M207" s="137">
        <f t="shared" si="34"/>
        <v>4306.6000000000004</v>
      </c>
      <c r="N207" s="137">
        <f t="shared" si="34"/>
        <v>4306.7</v>
      </c>
    </row>
    <row r="208" spans="1:14" s="357" customFormat="1" ht="34.5" customHeight="1">
      <c r="A208" s="122"/>
      <c r="B208" s="138" t="s">
        <v>154</v>
      </c>
      <c r="C208" s="136" t="s">
        <v>150</v>
      </c>
      <c r="D208" s="121" t="s">
        <v>57</v>
      </c>
      <c r="E208" s="121" t="s">
        <v>102</v>
      </c>
      <c r="F208" s="734" t="s">
        <v>153</v>
      </c>
      <c r="G208" s="735" t="s">
        <v>65</v>
      </c>
      <c r="H208" s="735" t="s">
        <v>63</v>
      </c>
      <c r="I208" s="736" t="s">
        <v>64</v>
      </c>
      <c r="J208" s="121"/>
      <c r="K208" s="713">
        <f>K209</f>
        <v>4306.6000000000004</v>
      </c>
      <c r="L208" s="137">
        <f>L209</f>
        <v>0</v>
      </c>
      <c r="M208" s="137">
        <f>M209</f>
        <v>4306.6000000000004</v>
      </c>
      <c r="N208" s="137">
        <f>N209</f>
        <v>4306.7</v>
      </c>
    </row>
    <row r="209" spans="1:14" s="357" customFormat="1" ht="37.5">
      <c r="A209" s="122"/>
      <c r="B209" s="135" t="s">
        <v>67</v>
      </c>
      <c r="C209" s="136" t="s">
        <v>150</v>
      </c>
      <c r="D209" s="121" t="s">
        <v>57</v>
      </c>
      <c r="E209" s="121" t="s">
        <v>102</v>
      </c>
      <c r="F209" s="734" t="s">
        <v>153</v>
      </c>
      <c r="G209" s="735" t="s">
        <v>65</v>
      </c>
      <c r="H209" s="735" t="s">
        <v>63</v>
      </c>
      <c r="I209" s="736" t="s">
        <v>68</v>
      </c>
      <c r="J209" s="121"/>
      <c r="K209" s="713">
        <f>K210+K211+K212</f>
        <v>4306.6000000000004</v>
      </c>
      <c r="L209" s="137">
        <f>L210+L211+L212</f>
        <v>0</v>
      </c>
      <c r="M209" s="137">
        <f>M210+M211+M212</f>
        <v>4306.6000000000004</v>
      </c>
      <c r="N209" s="137">
        <f>N210+N211+N212</f>
        <v>4306.7</v>
      </c>
    </row>
    <row r="210" spans="1:14" s="357" customFormat="1" ht="112.5">
      <c r="A210" s="122"/>
      <c r="B210" s="135" t="s">
        <v>69</v>
      </c>
      <c r="C210" s="136" t="s">
        <v>150</v>
      </c>
      <c r="D210" s="121" t="s">
        <v>57</v>
      </c>
      <c r="E210" s="121" t="s">
        <v>102</v>
      </c>
      <c r="F210" s="734" t="s">
        <v>153</v>
      </c>
      <c r="G210" s="735" t="s">
        <v>65</v>
      </c>
      <c r="H210" s="735" t="s">
        <v>63</v>
      </c>
      <c r="I210" s="736" t="s">
        <v>68</v>
      </c>
      <c r="J210" s="121" t="s">
        <v>70</v>
      </c>
      <c r="K210" s="713">
        <v>4101.3</v>
      </c>
      <c r="L210" s="137">
        <f>M210-K210</f>
        <v>0</v>
      </c>
      <c r="M210" s="137">
        <v>4101.3</v>
      </c>
      <c r="N210" s="137">
        <v>4101.3</v>
      </c>
    </row>
    <row r="211" spans="1:14" s="357" customFormat="1" ht="56.25">
      <c r="A211" s="122"/>
      <c r="B211" s="135" t="s">
        <v>75</v>
      </c>
      <c r="C211" s="136" t="s">
        <v>150</v>
      </c>
      <c r="D211" s="121" t="s">
        <v>57</v>
      </c>
      <c r="E211" s="121" t="s">
        <v>102</v>
      </c>
      <c r="F211" s="734" t="s">
        <v>153</v>
      </c>
      <c r="G211" s="735" t="s">
        <v>65</v>
      </c>
      <c r="H211" s="735" t="s">
        <v>63</v>
      </c>
      <c r="I211" s="736" t="s">
        <v>68</v>
      </c>
      <c r="J211" s="121" t="s">
        <v>76</v>
      </c>
      <c r="K211" s="713">
        <v>195.3</v>
      </c>
      <c r="L211" s="137">
        <f>M211-K211</f>
        <v>0</v>
      </c>
      <c r="M211" s="137">
        <v>195.3</v>
      </c>
      <c r="N211" s="137">
        <v>195.4</v>
      </c>
    </row>
    <row r="212" spans="1:14" s="357" customFormat="1" ht="18.75">
      <c r="A212" s="122"/>
      <c r="B212" s="135" t="s">
        <v>77</v>
      </c>
      <c r="C212" s="136" t="s">
        <v>150</v>
      </c>
      <c r="D212" s="121" t="s">
        <v>57</v>
      </c>
      <c r="E212" s="121" t="s">
        <v>102</v>
      </c>
      <c r="F212" s="734" t="s">
        <v>153</v>
      </c>
      <c r="G212" s="735" t="s">
        <v>65</v>
      </c>
      <c r="H212" s="735" t="s">
        <v>63</v>
      </c>
      <c r="I212" s="736" t="s">
        <v>68</v>
      </c>
      <c r="J212" s="121" t="s">
        <v>78</v>
      </c>
      <c r="K212" s="713">
        <v>10</v>
      </c>
      <c r="L212" s="137">
        <f>M212-K212</f>
        <v>0</v>
      </c>
      <c r="M212" s="137">
        <v>10</v>
      </c>
      <c r="N212" s="137">
        <v>10</v>
      </c>
    </row>
    <row r="213" spans="1:14" s="357" customFormat="1" ht="18.75">
      <c r="A213" s="122"/>
      <c r="B213" s="135"/>
      <c r="C213" s="136"/>
      <c r="D213" s="121"/>
      <c r="E213" s="121"/>
      <c r="F213" s="734"/>
      <c r="G213" s="735"/>
      <c r="H213" s="735"/>
      <c r="I213" s="736"/>
      <c r="J213" s="121"/>
      <c r="K213" s="713"/>
      <c r="L213" s="137"/>
      <c r="M213" s="137"/>
      <c r="N213" s="137"/>
    </row>
    <row r="214" spans="1:14" s="366" customFormat="1" ht="56.25">
      <c r="A214" s="358">
        <v>4</v>
      </c>
      <c r="B214" s="359" t="s">
        <v>17</v>
      </c>
      <c r="C214" s="360" t="s">
        <v>588</v>
      </c>
      <c r="D214" s="361"/>
      <c r="E214" s="361"/>
      <c r="F214" s="362"/>
      <c r="G214" s="363"/>
      <c r="H214" s="363"/>
      <c r="I214" s="364"/>
      <c r="J214" s="361"/>
      <c r="K214" s="714">
        <f>K215+K249+K269+K256</f>
        <v>175814.5</v>
      </c>
      <c r="L214" s="365">
        <f>L215+L249+L269+L256</f>
        <v>0</v>
      </c>
      <c r="M214" s="365">
        <f>M215+M249+M269+M256</f>
        <v>175814.5</v>
      </c>
      <c r="N214" s="365">
        <f>N215+N249+N269+N256</f>
        <v>65112.500000000007</v>
      </c>
    </row>
    <row r="215" spans="1:14" s="372" customFormat="1" ht="18.75">
      <c r="A215" s="367"/>
      <c r="B215" s="332" t="s">
        <v>56</v>
      </c>
      <c r="C215" s="368" t="s">
        <v>588</v>
      </c>
      <c r="D215" s="369" t="s">
        <v>57</v>
      </c>
      <c r="E215" s="281"/>
      <c r="F215" s="370"/>
      <c r="G215" s="279"/>
      <c r="H215" s="279"/>
      <c r="I215" s="280"/>
      <c r="J215" s="281"/>
      <c r="K215" s="715">
        <f>K216</f>
        <v>24902.5</v>
      </c>
      <c r="L215" s="371">
        <f>L216</f>
        <v>0</v>
      </c>
      <c r="M215" s="371">
        <f>M216</f>
        <v>24902.5</v>
      </c>
      <c r="N215" s="371">
        <f>N216</f>
        <v>24909.800000000003</v>
      </c>
    </row>
    <row r="216" spans="1:14" s="366" customFormat="1" ht="18.75">
      <c r="A216" s="367"/>
      <c r="B216" s="332" t="s">
        <v>91</v>
      </c>
      <c r="C216" s="368" t="s">
        <v>588</v>
      </c>
      <c r="D216" s="369" t="s">
        <v>57</v>
      </c>
      <c r="E216" s="369" t="s">
        <v>92</v>
      </c>
      <c r="F216" s="370"/>
      <c r="G216" s="279"/>
      <c r="H216" s="279"/>
      <c r="I216" s="280"/>
      <c r="J216" s="281"/>
      <c r="K216" s="715">
        <f>K217+K242</f>
        <v>24902.5</v>
      </c>
      <c r="L216" s="371">
        <f>L217+L242</f>
        <v>0</v>
      </c>
      <c r="M216" s="371">
        <f>M217+M242</f>
        <v>24902.5</v>
      </c>
      <c r="N216" s="371">
        <f>N217+N242</f>
        <v>24909.800000000003</v>
      </c>
    </row>
    <row r="217" spans="1:14" s="372" customFormat="1" ht="54" customHeight="1">
      <c r="A217" s="367"/>
      <c r="B217" s="332" t="s">
        <v>247</v>
      </c>
      <c r="C217" s="368" t="s">
        <v>588</v>
      </c>
      <c r="D217" s="369" t="s">
        <v>57</v>
      </c>
      <c r="E217" s="369" t="s">
        <v>92</v>
      </c>
      <c r="F217" s="308" t="s">
        <v>248</v>
      </c>
      <c r="G217" s="279" t="s">
        <v>62</v>
      </c>
      <c r="H217" s="279" t="s">
        <v>63</v>
      </c>
      <c r="I217" s="280" t="s">
        <v>64</v>
      </c>
      <c r="J217" s="281"/>
      <c r="K217" s="715">
        <f>K218+K224</f>
        <v>19719.5</v>
      </c>
      <c r="L217" s="371">
        <f>L218+L224</f>
        <v>0</v>
      </c>
      <c r="M217" s="371">
        <f>M218+M224</f>
        <v>19719.5</v>
      </c>
      <c r="N217" s="371">
        <f>N218+N224</f>
        <v>19723.400000000001</v>
      </c>
    </row>
    <row r="218" spans="1:14" s="372" customFormat="1" ht="41.25" customHeight="1">
      <c r="A218" s="367"/>
      <c r="B218" s="332" t="s">
        <v>249</v>
      </c>
      <c r="C218" s="368" t="s">
        <v>588</v>
      </c>
      <c r="D218" s="369" t="s">
        <v>57</v>
      </c>
      <c r="E218" s="369" t="s">
        <v>92</v>
      </c>
      <c r="F218" s="373" t="s">
        <v>248</v>
      </c>
      <c r="G218" s="374" t="s">
        <v>65</v>
      </c>
      <c r="H218" s="374" t="s">
        <v>63</v>
      </c>
      <c r="I218" s="375" t="s">
        <v>64</v>
      </c>
      <c r="J218" s="281"/>
      <c r="K218" s="715">
        <f t="shared" ref="K218:N222" si="35">K219</f>
        <v>506.2</v>
      </c>
      <c r="L218" s="371">
        <f t="shared" si="35"/>
        <v>0</v>
      </c>
      <c r="M218" s="371">
        <f t="shared" si="35"/>
        <v>506.2</v>
      </c>
      <c r="N218" s="371">
        <f t="shared" si="35"/>
        <v>508.4</v>
      </c>
    </row>
    <row r="219" spans="1:14" s="366" customFormat="1" ht="37.5">
      <c r="A219" s="367"/>
      <c r="B219" s="327" t="s">
        <v>403</v>
      </c>
      <c r="C219" s="368" t="s">
        <v>588</v>
      </c>
      <c r="D219" s="369" t="s">
        <v>57</v>
      </c>
      <c r="E219" s="369" t="s">
        <v>92</v>
      </c>
      <c r="F219" s="278" t="s">
        <v>248</v>
      </c>
      <c r="G219" s="279" t="s">
        <v>65</v>
      </c>
      <c r="H219" s="279" t="s">
        <v>59</v>
      </c>
      <c r="I219" s="280" t="s">
        <v>64</v>
      </c>
      <c r="J219" s="281"/>
      <c r="K219" s="715">
        <f t="shared" ref="K219" si="36">K222+K220</f>
        <v>506.2</v>
      </c>
      <c r="L219" s="371">
        <f t="shared" ref="L219" si="37">L222+L220</f>
        <v>0</v>
      </c>
      <c r="M219" s="371">
        <f t="shared" ref="M219:N219" si="38">M222+M220</f>
        <v>506.2</v>
      </c>
      <c r="N219" s="371">
        <f t="shared" si="38"/>
        <v>508.4</v>
      </c>
    </row>
    <row r="220" spans="1:14" s="366" customFormat="1" ht="37.5">
      <c r="A220" s="367"/>
      <c r="B220" s="327" t="s">
        <v>402</v>
      </c>
      <c r="C220" s="368" t="s">
        <v>588</v>
      </c>
      <c r="D220" s="369" t="s">
        <v>57</v>
      </c>
      <c r="E220" s="369" t="s">
        <v>92</v>
      </c>
      <c r="F220" s="278" t="s">
        <v>248</v>
      </c>
      <c r="G220" s="279" t="s">
        <v>65</v>
      </c>
      <c r="H220" s="279" t="s">
        <v>59</v>
      </c>
      <c r="I220" s="280" t="s">
        <v>401</v>
      </c>
      <c r="J220" s="281"/>
      <c r="K220" s="715">
        <f t="shared" si="35"/>
        <v>506.2</v>
      </c>
      <c r="L220" s="371">
        <f t="shared" si="35"/>
        <v>0</v>
      </c>
      <c r="M220" s="371">
        <f t="shared" si="35"/>
        <v>506.2</v>
      </c>
      <c r="N220" s="371">
        <f t="shared" si="35"/>
        <v>508.4</v>
      </c>
    </row>
    <row r="221" spans="1:14" s="366" customFormat="1" ht="56.25">
      <c r="A221" s="367"/>
      <c r="B221" s="327" t="s">
        <v>75</v>
      </c>
      <c r="C221" s="368" t="s">
        <v>588</v>
      </c>
      <c r="D221" s="369" t="s">
        <v>57</v>
      </c>
      <c r="E221" s="369" t="s">
        <v>92</v>
      </c>
      <c r="F221" s="278" t="s">
        <v>248</v>
      </c>
      <c r="G221" s="279" t="s">
        <v>65</v>
      </c>
      <c r="H221" s="279" t="s">
        <v>59</v>
      </c>
      <c r="I221" s="280" t="s">
        <v>401</v>
      </c>
      <c r="J221" s="281" t="s">
        <v>76</v>
      </c>
      <c r="K221" s="715">
        <v>506.2</v>
      </c>
      <c r="L221" s="137">
        <f>M221-K221</f>
        <v>0</v>
      </c>
      <c r="M221" s="371">
        <v>506.2</v>
      </c>
      <c r="N221" s="371">
        <v>508.4</v>
      </c>
    </row>
    <row r="222" spans="1:14" s="372" customFormat="1" ht="93.75">
      <c r="A222" s="367"/>
      <c r="B222" s="277" t="s">
        <v>1008</v>
      </c>
      <c r="C222" s="368" t="s">
        <v>588</v>
      </c>
      <c r="D222" s="369" t="s">
        <v>57</v>
      </c>
      <c r="E222" s="369" t="s">
        <v>92</v>
      </c>
      <c r="F222" s="278" t="s">
        <v>248</v>
      </c>
      <c r="G222" s="279" t="s">
        <v>65</v>
      </c>
      <c r="H222" s="279" t="s">
        <v>59</v>
      </c>
      <c r="I222" s="280" t="s">
        <v>593</v>
      </c>
      <c r="J222" s="281"/>
      <c r="K222" s="715">
        <f t="shared" si="35"/>
        <v>0</v>
      </c>
      <c r="L222" s="371">
        <f t="shared" si="35"/>
        <v>0</v>
      </c>
      <c r="M222" s="371">
        <f t="shared" si="35"/>
        <v>0</v>
      </c>
      <c r="N222" s="371">
        <f t="shared" si="35"/>
        <v>0</v>
      </c>
    </row>
    <row r="223" spans="1:14" s="372" customFormat="1" ht="56.25">
      <c r="A223" s="367"/>
      <c r="B223" s="277" t="s">
        <v>225</v>
      </c>
      <c r="C223" s="368" t="s">
        <v>588</v>
      </c>
      <c r="D223" s="369" t="s">
        <v>57</v>
      </c>
      <c r="E223" s="369" t="s">
        <v>92</v>
      </c>
      <c r="F223" s="278" t="s">
        <v>248</v>
      </c>
      <c r="G223" s="279" t="s">
        <v>65</v>
      </c>
      <c r="H223" s="279" t="s">
        <v>59</v>
      </c>
      <c r="I223" s="280" t="s">
        <v>593</v>
      </c>
      <c r="J223" s="281" t="s">
        <v>226</v>
      </c>
      <c r="K223" s="715">
        <f>8000-8000</f>
        <v>0</v>
      </c>
      <c r="L223" s="137">
        <f>M223-K223</f>
        <v>0</v>
      </c>
      <c r="M223" s="371">
        <f>8000-8000</f>
        <v>0</v>
      </c>
      <c r="N223" s="371">
        <v>0</v>
      </c>
    </row>
    <row r="224" spans="1:14" s="366" customFormat="1" ht="37.5">
      <c r="A224" s="367"/>
      <c r="B224" s="332" t="s">
        <v>251</v>
      </c>
      <c r="C224" s="368" t="s">
        <v>588</v>
      </c>
      <c r="D224" s="369" t="s">
        <v>57</v>
      </c>
      <c r="E224" s="369" t="s">
        <v>92</v>
      </c>
      <c r="F224" s="308" t="s">
        <v>248</v>
      </c>
      <c r="G224" s="279" t="s">
        <v>110</v>
      </c>
      <c r="H224" s="279" t="s">
        <v>63</v>
      </c>
      <c r="I224" s="280" t="s">
        <v>64</v>
      </c>
      <c r="J224" s="281"/>
      <c r="K224" s="715">
        <f>K225+K236+K239</f>
        <v>19213.3</v>
      </c>
      <c r="L224" s="371">
        <f>L225+L236+L239</f>
        <v>0</v>
      </c>
      <c r="M224" s="371">
        <f>M225+M236+M239</f>
        <v>19213.3</v>
      </c>
      <c r="N224" s="371">
        <f>N225+N236+N239</f>
        <v>19215</v>
      </c>
    </row>
    <row r="225" spans="1:14" s="372" customFormat="1" ht="77.25" customHeight="1">
      <c r="A225" s="367"/>
      <c r="B225" s="332" t="s">
        <v>353</v>
      </c>
      <c r="C225" s="368" t="s">
        <v>588</v>
      </c>
      <c r="D225" s="369" t="s">
        <v>57</v>
      </c>
      <c r="E225" s="369" t="s">
        <v>92</v>
      </c>
      <c r="F225" s="308" t="s">
        <v>248</v>
      </c>
      <c r="G225" s="279" t="s">
        <v>110</v>
      </c>
      <c r="H225" s="279" t="s">
        <v>57</v>
      </c>
      <c r="I225" s="280" t="s">
        <v>64</v>
      </c>
      <c r="J225" s="281"/>
      <c r="K225" s="715">
        <f>K226+K230+K234</f>
        <v>18642.899999999998</v>
      </c>
      <c r="L225" s="371">
        <f>L226+L230+L234</f>
        <v>0</v>
      </c>
      <c r="M225" s="371">
        <f>M226+M230+M234</f>
        <v>18642.899999999998</v>
      </c>
      <c r="N225" s="371">
        <f>N226+N230+N234</f>
        <v>18644.599999999999</v>
      </c>
    </row>
    <row r="226" spans="1:14" s="366" customFormat="1" ht="37.5">
      <c r="A226" s="367"/>
      <c r="B226" s="332" t="s">
        <v>67</v>
      </c>
      <c r="C226" s="368" t="s">
        <v>588</v>
      </c>
      <c r="D226" s="369" t="s">
        <v>57</v>
      </c>
      <c r="E226" s="369" t="s">
        <v>92</v>
      </c>
      <c r="F226" s="376" t="s">
        <v>248</v>
      </c>
      <c r="G226" s="374" t="s">
        <v>110</v>
      </c>
      <c r="H226" s="374" t="s">
        <v>57</v>
      </c>
      <c r="I226" s="375" t="s">
        <v>68</v>
      </c>
      <c r="J226" s="281"/>
      <c r="K226" s="715">
        <f>K227+K228+K229</f>
        <v>13256.9</v>
      </c>
      <c r="L226" s="371">
        <f>L227+L228+L229</f>
        <v>0</v>
      </c>
      <c r="M226" s="371">
        <f>M227+M228+M229</f>
        <v>13256.9</v>
      </c>
      <c r="N226" s="371">
        <f>N227+N228+N229</f>
        <v>13257.3</v>
      </c>
    </row>
    <row r="227" spans="1:14" s="372" customFormat="1" ht="112.5">
      <c r="A227" s="367"/>
      <c r="B227" s="135" t="s">
        <v>69</v>
      </c>
      <c r="C227" s="368" t="s">
        <v>588</v>
      </c>
      <c r="D227" s="369" t="s">
        <v>57</v>
      </c>
      <c r="E227" s="369" t="s">
        <v>92</v>
      </c>
      <c r="F227" s="308" t="s">
        <v>248</v>
      </c>
      <c r="G227" s="279" t="s">
        <v>110</v>
      </c>
      <c r="H227" s="279" t="s">
        <v>57</v>
      </c>
      <c r="I227" s="280" t="s">
        <v>68</v>
      </c>
      <c r="J227" s="281" t="s">
        <v>70</v>
      </c>
      <c r="K227" s="715">
        <v>12941.4</v>
      </c>
      <c r="L227" s="137">
        <f>M227-K227</f>
        <v>0</v>
      </c>
      <c r="M227" s="371">
        <v>12941.4</v>
      </c>
      <c r="N227" s="371">
        <v>12941.4</v>
      </c>
    </row>
    <row r="228" spans="1:14" s="372" customFormat="1" ht="56.25">
      <c r="A228" s="367"/>
      <c r="B228" s="327" t="s">
        <v>75</v>
      </c>
      <c r="C228" s="368" t="s">
        <v>588</v>
      </c>
      <c r="D228" s="369" t="s">
        <v>57</v>
      </c>
      <c r="E228" s="369" t="s">
        <v>92</v>
      </c>
      <c r="F228" s="308" t="s">
        <v>248</v>
      </c>
      <c r="G228" s="279" t="s">
        <v>110</v>
      </c>
      <c r="H228" s="279" t="s">
        <v>57</v>
      </c>
      <c r="I228" s="280" t="s">
        <v>68</v>
      </c>
      <c r="J228" s="281" t="s">
        <v>76</v>
      </c>
      <c r="K228" s="715">
        <v>314.2</v>
      </c>
      <c r="L228" s="137">
        <f>M228-K228</f>
        <v>0</v>
      </c>
      <c r="M228" s="371">
        <v>314.2</v>
      </c>
      <c r="N228" s="371">
        <v>314.60000000000002</v>
      </c>
    </row>
    <row r="229" spans="1:14" s="372" customFormat="1" ht="18.75">
      <c r="A229" s="367"/>
      <c r="B229" s="332" t="s">
        <v>77</v>
      </c>
      <c r="C229" s="368" t="s">
        <v>588</v>
      </c>
      <c r="D229" s="369" t="s">
        <v>57</v>
      </c>
      <c r="E229" s="369" t="s">
        <v>92</v>
      </c>
      <c r="F229" s="308" t="s">
        <v>248</v>
      </c>
      <c r="G229" s="279" t="s">
        <v>110</v>
      </c>
      <c r="H229" s="279" t="s">
        <v>57</v>
      </c>
      <c r="I229" s="280" t="s">
        <v>68</v>
      </c>
      <c r="J229" s="281" t="s">
        <v>78</v>
      </c>
      <c r="K229" s="715">
        <v>1.3</v>
      </c>
      <c r="L229" s="137">
        <f>M229-K229</f>
        <v>0</v>
      </c>
      <c r="M229" s="371">
        <v>1.3</v>
      </c>
      <c r="N229" s="371">
        <v>1.3</v>
      </c>
    </row>
    <row r="230" spans="1:14" s="372" customFormat="1" ht="40.5" customHeight="1">
      <c r="A230" s="367"/>
      <c r="B230" s="274" t="s">
        <v>795</v>
      </c>
      <c r="C230" s="368" t="s">
        <v>588</v>
      </c>
      <c r="D230" s="369" t="s">
        <v>57</v>
      </c>
      <c r="E230" s="369" t="s">
        <v>92</v>
      </c>
      <c r="F230" s="308" t="s">
        <v>248</v>
      </c>
      <c r="G230" s="279" t="s">
        <v>110</v>
      </c>
      <c r="H230" s="279" t="s">
        <v>57</v>
      </c>
      <c r="I230" s="280" t="s">
        <v>112</v>
      </c>
      <c r="J230" s="281"/>
      <c r="K230" s="715">
        <f>K231+K232+K233</f>
        <v>5351.4999999999991</v>
      </c>
      <c r="L230" s="371">
        <f>L231+L232+L233</f>
        <v>0</v>
      </c>
      <c r="M230" s="371">
        <f>M231+M232+M233</f>
        <v>5351.4999999999991</v>
      </c>
      <c r="N230" s="371">
        <f>N231+N232+N233</f>
        <v>5352.8</v>
      </c>
    </row>
    <row r="231" spans="1:14" s="372" customFormat="1" ht="112.5">
      <c r="A231" s="367"/>
      <c r="B231" s="135" t="s">
        <v>69</v>
      </c>
      <c r="C231" s="368" t="s">
        <v>588</v>
      </c>
      <c r="D231" s="369" t="s">
        <v>57</v>
      </c>
      <c r="E231" s="369" t="s">
        <v>92</v>
      </c>
      <c r="F231" s="308" t="s">
        <v>248</v>
      </c>
      <c r="G231" s="279" t="s">
        <v>110</v>
      </c>
      <c r="H231" s="279" t="s">
        <v>57</v>
      </c>
      <c r="I231" s="280" t="s">
        <v>112</v>
      </c>
      <c r="J231" s="281" t="s">
        <v>70</v>
      </c>
      <c r="K231" s="715">
        <v>4981.3999999999996</v>
      </c>
      <c r="L231" s="137">
        <f>M231-K231</f>
        <v>0</v>
      </c>
      <c r="M231" s="371">
        <v>4981.3999999999996</v>
      </c>
      <c r="N231" s="371">
        <v>4981.3999999999996</v>
      </c>
    </row>
    <row r="232" spans="1:14" s="372" customFormat="1" ht="56.25">
      <c r="A232" s="367"/>
      <c r="B232" s="327" t="s">
        <v>75</v>
      </c>
      <c r="C232" s="368" t="s">
        <v>588</v>
      </c>
      <c r="D232" s="369" t="s">
        <v>57</v>
      </c>
      <c r="E232" s="369" t="s">
        <v>92</v>
      </c>
      <c r="F232" s="376" t="s">
        <v>248</v>
      </c>
      <c r="G232" s="374" t="s">
        <v>110</v>
      </c>
      <c r="H232" s="374" t="s">
        <v>57</v>
      </c>
      <c r="I232" s="375" t="s">
        <v>112</v>
      </c>
      <c r="J232" s="281" t="s">
        <v>76</v>
      </c>
      <c r="K232" s="715">
        <v>347.2</v>
      </c>
      <c r="L232" s="137">
        <f>M232-K232</f>
        <v>0</v>
      </c>
      <c r="M232" s="371">
        <v>347.2</v>
      </c>
      <c r="N232" s="371">
        <v>350.3</v>
      </c>
    </row>
    <row r="233" spans="1:14" s="372" customFormat="1" ht="18.75">
      <c r="A233" s="367"/>
      <c r="B233" s="332" t="s">
        <v>77</v>
      </c>
      <c r="C233" s="368" t="s">
        <v>588</v>
      </c>
      <c r="D233" s="369" t="s">
        <v>57</v>
      </c>
      <c r="E233" s="369" t="s">
        <v>92</v>
      </c>
      <c r="F233" s="308" t="s">
        <v>248</v>
      </c>
      <c r="G233" s="279" t="s">
        <v>110</v>
      </c>
      <c r="H233" s="279" t="s">
        <v>57</v>
      </c>
      <c r="I233" s="280" t="s">
        <v>112</v>
      </c>
      <c r="J233" s="281" t="s">
        <v>78</v>
      </c>
      <c r="K233" s="715">
        <v>22.9</v>
      </c>
      <c r="L233" s="137">
        <f>M233-K233</f>
        <v>0</v>
      </c>
      <c r="M233" s="371">
        <v>22.9</v>
      </c>
      <c r="N233" s="371">
        <v>21.1</v>
      </c>
    </row>
    <row r="234" spans="1:14" s="372" customFormat="1" ht="56.25">
      <c r="A234" s="367"/>
      <c r="B234" s="327" t="s">
        <v>431</v>
      </c>
      <c r="C234" s="368" t="s">
        <v>588</v>
      </c>
      <c r="D234" s="369" t="s">
        <v>57</v>
      </c>
      <c r="E234" s="369" t="s">
        <v>92</v>
      </c>
      <c r="F234" s="308" t="s">
        <v>248</v>
      </c>
      <c r="G234" s="279" t="s">
        <v>110</v>
      </c>
      <c r="H234" s="279" t="s">
        <v>57</v>
      </c>
      <c r="I234" s="280" t="s">
        <v>430</v>
      </c>
      <c r="J234" s="281"/>
      <c r="K234" s="715">
        <f>K235</f>
        <v>34.5</v>
      </c>
      <c r="L234" s="371">
        <f>L235</f>
        <v>0</v>
      </c>
      <c r="M234" s="371">
        <f>M235</f>
        <v>34.5</v>
      </c>
      <c r="N234" s="371">
        <f>N235</f>
        <v>34.5</v>
      </c>
    </row>
    <row r="235" spans="1:14" s="372" customFormat="1" ht="56.25">
      <c r="A235" s="367"/>
      <c r="B235" s="327" t="s">
        <v>75</v>
      </c>
      <c r="C235" s="368" t="s">
        <v>588</v>
      </c>
      <c r="D235" s="369" t="s">
        <v>57</v>
      </c>
      <c r="E235" s="369" t="s">
        <v>92</v>
      </c>
      <c r="F235" s="308" t="s">
        <v>248</v>
      </c>
      <c r="G235" s="279" t="s">
        <v>110</v>
      </c>
      <c r="H235" s="279" t="s">
        <v>57</v>
      </c>
      <c r="I235" s="415" t="s">
        <v>430</v>
      </c>
      <c r="J235" s="281" t="s">
        <v>76</v>
      </c>
      <c r="K235" s="715">
        <v>34.5</v>
      </c>
      <c r="L235" s="137">
        <f>M235-K235</f>
        <v>0</v>
      </c>
      <c r="M235" s="371">
        <v>34.5</v>
      </c>
      <c r="N235" s="371">
        <v>34.5</v>
      </c>
    </row>
    <row r="236" spans="1:14" s="372" customFormat="1" ht="37.5">
      <c r="A236" s="367"/>
      <c r="B236" s="417" t="s">
        <v>428</v>
      </c>
      <c r="C236" s="418" t="s">
        <v>588</v>
      </c>
      <c r="D236" s="419" t="s">
        <v>57</v>
      </c>
      <c r="E236" s="419" t="s">
        <v>92</v>
      </c>
      <c r="F236" s="308" t="s">
        <v>248</v>
      </c>
      <c r="G236" s="309" t="s">
        <v>110</v>
      </c>
      <c r="H236" s="309" t="s">
        <v>59</v>
      </c>
      <c r="I236" s="310" t="s">
        <v>64</v>
      </c>
      <c r="J236" s="311"/>
      <c r="K236" s="715">
        <f t="shared" ref="K236:N237" si="39">K237</f>
        <v>549.9</v>
      </c>
      <c r="L236" s="371">
        <f t="shared" si="39"/>
        <v>0</v>
      </c>
      <c r="M236" s="371">
        <f t="shared" si="39"/>
        <v>549.9</v>
      </c>
      <c r="N236" s="371">
        <f t="shared" si="39"/>
        <v>549.9</v>
      </c>
    </row>
    <row r="237" spans="1:14" s="372" customFormat="1" ht="58.5" customHeight="1">
      <c r="A237" s="367"/>
      <c r="B237" s="424" t="s">
        <v>429</v>
      </c>
      <c r="C237" s="368" t="s">
        <v>588</v>
      </c>
      <c r="D237" s="369" t="s">
        <v>57</v>
      </c>
      <c r="E237" s="369" t="s">
        <v>92</v>
      </c>
      <c r="F237" s="378" t="s">
        <v>248</v>
      </c>
      <c r="G237" s="309" t="s">
        <v>110</v>
      </c>
      <c r="H237" s="309" t="s">
        <v>59</v>
      </c>
      <c r="I237" s="310" t="s">
        <v>126</v>
      </c>
      <c r="J237" s="313"/>
      <c r="K237" s="715">
        <f t="shared" si="39"/>
        <v>549.9</v>
      </c>
      <c r="L237" s="371">
        <f t="shared" si="39"/>
        <v>0</v>
      </c>
      <c r="M237" s="371">
        <f t="shared" si="39"/>
        <v>549.9</v>
      </c>
      <c r="N237" s="371">
        <f t="shared" si="39"/>
        <v>549.9</v>
      </c>
    </row>
    <row r="238" spans="1:14" s="372" customFormat="1" ht="56.25">
      <c r="A238" s="367"/>
      <c r="B238" s="426" t="s">
        <v>75</v>
      </c>
      <c r="C238" s="368" t="s">
        <v>588</v>
      </c>
      <c r="D238" s="369" t="s">
        <v>57</v>
      </c>
      <c r="E238" s="369" t="s">
        <v>92</v>
      </c>
      <c r="F238" s="378" t="s">
        <v>248</v>
      </c>
      <c r="G238" s="317" t="s">
        <v>110</v>
      </c>
      <c r="H238" s="317" t="s">
        <v>59</v>
      </c>
      <c r="I238" s="427" t="s">
        <v>126</v>
      </c>
      <c r="J238" s="428" t="s">
        <v>76</v>
      </c>
      <c r="K238" s="715">
        <v>549.9</v>
      </c>
      <c r="L238" s="137">
        <f>M238-K238</f>
        <v>0</v>
      </c>
      <c r="M238" s="371">
        <v>549.9</v>
      </c>
      <c r="N238" s="371">
        <v>549.9</v>
      </c>
    </row>
    <row r="239" spans="1:14" s="372" customFormat="1" ht="37.5">
      <c r="A239" s="367"/>
      <c r="B239" s="429" t="s">
        <v>464</v>
      </c>
      <c r="C239" s="368" t="s">
        <v>588</v>
      </c>
      <c r="D239" s="369" t="s">
        <v>57</v>
      </c>
      <c r="E239" s="369" t="s">
        <v>92</v>
      </c>
      <c r="F239" s="378" t="s">
        <v>248</v>
      </c>
      <c r="G239" s="309" t="s">
        <v>110</v>
      </c>
      <c r="H239" s="309" t="s">
        <v>84</v>
      </c>
      <c r="I239" s="310" t="s">
        <v>64</v>
      </c>
      <c r="J239" s="313"/>
      <c r="K239" s="715">
        <f t="shared" ref="K239:N240" si="40">K240</f>
        <v>20.5</v>
      </c>
      <c r="L239" s="371">
        <f t="shared" si="40"/>
        <v>0</v>
      </c>
      <c r="M239" s="371">
        <f t="shared" si="40"/>
        <v>20.5</v>
      </c>
      <c r="N239" s="371">
        <f t="shared" si="40"/>
        <v>20.5</v>
      </c>
    </row>
    <row r="240" spans="1:14" s="372" customFormat="1" ht="37.5">
      <c r="A240" s="367"/>
      <c r="B240" s="429" t="s">
        <v>402</v>
      </c>
      <c r="C240" s="368" t="s">
        <v>588</v>
      </c>
      <c r="D240" s="369" t="s">
        <v>57</v>
      </c>
      <c r="E240" s="369" t="s">
        <v>92</v>
      </c>
      <c r="F240" s="316" t="s">
        <v>248</v>
      </c>
      <c r="G240" s="317" t="s">
        <v>110</v>
      </c>
      <c r="H240" s="317" t="s">
        <v>84</v>
      </c>
      <c r="I240" s="427" t="s">
        <v>401</v>
      </c>
      <c r="J240" s="313"/>
      <c r="K240" s="715">
        <f t="shared" si="40"/>
        <v>20.5</v>
      </c>
      <c r="L240" s="371">
        <f t="shared" si="40"/>
        <v>0</v>
      </c>
      <c r="M240" s="371">
        <f t="shared" si="40"/>
        <v>20.5</v>
      </c>
      <c r="N240" s="371">
        <f t="shared" si="40"/>
        <v>20.5</v>
      </c>
    </row>
    <row r="241" spans="1:14" s="372" customFormat="1" ht="18.75">
      <c r="A241" s="367"/>
      <c r="B241" s="332" t="s">
        <v>77</v>
      </c>
      <c r="C241" s="431" t="s">
        <v>588</v>
      </c>
      <c r="D241" s="369" t="s">
        <v>57</v>
      </c>
      <c r="E241" s="369" t="s">
        <v>92</v>
      </c>
      <c r="F241" s="308" t="s">
        <v>248</v>
      </c>
      <c r="G241" s="309" t="s">
        <v>110</v>
      </c>
      <c r="H241" s="309" t="s">
        <v>84</v>
      </c>
      <c r="I241" s="310" t="s">
        <v>401</v>
      </c>
      <c r="J241" s="313" t="s">
        <v>78</v>
      </c>
      <c r="K241" s="715">
        <v>20.5</v>
      </c>
      <c r="L241" s="137">
        <f>M241-K241</f>
        <v>0</v>
      </c>
      <c r="M241" s="371">
        <v>20.5</v>
      </c>
      <c r="N241" s="371">
        <v>20.5</v>
      </c>
    </row>
    <row r="242" spans="1:14" s="372" customFormat="1" ht="56.25" customHeight="1">
      <c r="A242" s="367"/>
      <c r="B242" s="377" t="s">
        <v>60</v>
      </c>
      <c r="C242" s="368" t="s">
        <v>588</v>
      </c>
      <c r="D242" s="369" t="s">
        <v>57</v>
      </c>
      <c r="E242" s="369" t="s">
        <v>92</v>
      </c>
      <c r="F242" s="378" t="s">
        <v>61</v>
      </c>
      <c r="G242" s="279" t="s">
        <v>62</v>
      </c>
      <c r="H242" s="279" t="s">
        <v>63</v>
      </c>
      <c r="I242" s="280" t="s">
        <v>64</v>
      </c>
      <c r="J242" s="281"/>
      <c r="K242" s="715">
        <f t="shared" ref="K242:N244" si="41">K243</f>
        <v>5183.0000000000009</v>
      </c>
      <c r="L242" s="371">
        <f t="shared" si="41"/>
        <v>0</v>
      </c>
      <c r="M242" s="371">
        <f t="shared" si="41"/>
        <v>5183.0000000000009</v>
      </c>
      <c r="N242" s="371">
        <f t="shared" si="41"/>
        <v>5186.4000000000005</v>
      </c>
    </row>
    <row r="243" spans="1:14" s="372" customFormat="1" ht="37.5">
      <c r="A243" s="367"/>
      <c r="B243" s="327" t="s">
        <v>404</v>
      </c>
      <c r="C243" s="368" t="s">
        <v>588</v>
      </c>
      <c r="D243" s="369" t="s">
        <v>57</v>
      </c>
      <c r="E243" s="369" t="s">
        <v>92</v>
      </c>
      <c r="F243" s="308" t="s">
        <v>61</v>
      </c>
      <c r="G243" s="279" t="s">
        <v>65</v>
      </c>
      <c r="H243" s="279" t="s">
        <v>63</v>
      </c>
      <c r="I243" s="280" t="s">
        <v>64</v>
      </c>
      <c r="J243" s="281"/>
      <c r="K243" s="715">
        <f t="shared" si="41"/>
        <v>5183.0000000000009</v>
      </c>
      <c r="L243" s="371">
        <f t="shared" si="41"/>
        <v>0</v>
      </c>
      <c r="M243" s="371">
        <f t="shared" si="41"/>
        <v>5183.0000000000009</v>
      </c>
      <c r="N243" s="371">
        <f t="shared" si="41"/>
        <v>5186.4000000000005</v>
      </c>
    </row>
    <row r="244" spans="1:14" s="372" customFormat="1" ht="75">
      <c r="A244" s="367"/>
      <c r="B244" s="332" t="s">
        <v>351</v>
      </c>
      <c r="C244" s="368" t="s">
        <v>588</v>
      </c>
      <c r="D244" s="369" t="s">
        <v>57</v>
      </c>
      <c r="E244" s="369" t="s">
        <v>92</v>
      </c>
      <c r="F244" s="308" t="s">
        <v>61</v>
      </c>
      <c r="G244" s="279" t="s">
        <v>65</v>
      </c>
      <c r="H244" s="279" t="s">
        <v>102</v>
      </c>
      <c r="I244" s="280" t="s">
        <v>64</v>
      </c>
      <c r="J244" s="281"/>
      <c r="K244" s="715">
        <f t="shared" si="41"/>
        <v>5183.0000000000009</v>
      </c>
      <c r="L244" s="371">
        <f t="shared" si="41"/>
        <v>0</v>
      </c>
      <c r="M244" s="371">
        <f t="shared" si="41"/>
        <v>5183.0000000000009</v>
      </c>
      <c r="N244" s="371">
        <f t="shared" si="41"/>
        <v>5186.4000000000005</v>
      </c>
    </row>
    <row r="245" spans="1:14" s="372" customFormat="1" ht="42.75" customHeight="1">
      <c r="A245" s="367"/>
      <c r="B245" s="274" t="s">
        <v>795</v>
      </c>
      <c r="C245" s="368" t="s">
        <v>588</v>
      </c>
      <c r="D245" s="369" t="s">
        <v>57</v>
      </c>
      <c r="E245" s="369" t="s">
        <v>92</v>
      </c>
      <c r="F245" s="308" t="s">
        <v>61</v>
      </c>
      <c r="G245" s="279" t="s">
        <v>65</v>
      </c>
      <c r="H245" s="279" t="s">
        <v>102</v>
      </c>
      <c r="I245" s="280" t="s">
        <v>112</v>
      </c>
      <c r="J245" s="281"/>
      <c r="K245" s="715">
        <f>K246+K247+K248</f>
        <v>5183.0000000000009</v>
      </c>
      <c r="L245" s="371">
        <f>L246+L247+L248</f>
        <v>0</v>
      </c>
      <c r="M245" s="371">
        <f>M246+M247+M248</f>
        <v>5183.0000000000009</v>
      </c>
      <c r="N245" s="371">
        <f>N246+N247+N248</f>
        <v>5186.4000000000005</v>
      </c>
    </row>
    <row r="246" spans="1:14" s="372" customFormat="1" ht="112.5">
      <c r="A246" s="367"/>
      <c r="B246" s="135" t="s">
        <v>69</v>
      </c>
      <c r="C246" s="368" t="s">
        <v>588</v>
      </c>
      <c r="D246" s="369" t="s">
        <v>57</v>
      </c>
      <c r="E246" s="369" t="s">
        <v>92</v>
      </c>
      <c r="F246" s="308" t="s">
        <v>61</v>
      </c>
      <c r="G246" s="279" t="s">
        <v>65</v>
      </c>
      <c r="H246" s="279" t="s">
        <v>102</v>
      </c>
      <c r="I246" s="280" t="s">
        <v>112</v>
      </c>
      <c r="J246" s="281" t="s">
        <v>70</v>
      </c>
      <c r="K246" s="715">
        <v>4729.8</v>
      </c>
      <c r="L246" s="137">
        <f>M246-K246</f>
        <v>0</v>
      </c>
      <c r="M246" s="371">
        <v>4729.8</v>
      </c>
      <c r="N246" s="371">
        <v>4729.8</v>
      </c>
    </row>
    <row r="247" spans="1:14" s="372" customFormat="1" ht="56.25">
      <c r="A247" s="367"/>
      <c r="B247" s="327" t="s">
        <v>75</v>
      </c>
      <c r="C247" s="368" t="s">
        <v>588</v>
      </c>
      <c r="D247" s="369" t="s">
        <v>57</v>
      </c>
      <c r="E247" s="369" t="s">
        <v>92</v>
      </c>
      <c r="F247" s="308" t="s">
        <v>61</v>
      </c>
      <c r="G247" s="279" t="s">
        <v>65</v>
      </c>
      <c r="H247" s="279" t="s">
        <v>102</v>
      </c>
      <c r="I247" s="280" t="s">
        <v>112</v>
      </c>
      <c r="J247" s="281" t="s">
        <v>76</v>
      </c>
      <c r="K247" s="715">
        <v>453.1</v>
      </c>
      <c r="L247" s="137">
        <f>M247-K247</f>
        <v>0</v>
      </c>
      <c r="M247" s="371">
        <v>453.1</v>
      </c>
      <c r="N247" s="371">
        <v>456.5</v>
      </c>
    </row>
    <row r="248" spans="1:14" s="372" customFormat="1" ht="18.75">
      <c r="A248" s="367"/>
      <c r="B248" s="327" t="s">
        <v>77</v>
      </c>
      <c r="C248" s="368" t="s">
        <v>588</v>
      </c>
      <c r="D248" s="369" t="s">
        <v>57</v>
      </c>
      <c r="E248" s="369" t="s">
        <v>92</v>
      </c>
      <c r="F248" s="308" t="s">
        <v>61</v>
      </c>
      <c r="G248" s="279" t="s">
        <v>65</v>
      </c>
      <c r="H248" s="279" t="s">
        <v>102</v>
      </c>
      <c r="I248" s="280" t="s">
        <v>112</v>
      </c>
      <c r="J248" s="281" t="s">
        <v>78</v>
      </c>
      <c r="K248" s="715">
        <v>0.1</v>
      </c>
      <c r="L248" s="137">
        <f>M248-K248</f>
        <v>0</v>
      </c>
      <c r="M248" s="371">
        <v>0.1</v>
      </c>
      <c r="N248" s="371">
        <v>0.1</v>
      </c>
    </row>
    <row r="249" spans="1:14" s="372" customFormat="1" ht="18.75">
      <c r="A249" s="367"/>
      <c r="B249" s="332" t="s">
        <v>199</v>
      </c>
      <c r="C249" s="368" t="s">
        <v>588</v>
      </c>
      <c r="D249" s="369" t="s">
        <v>86</v>
      </c>
      <c r="E249" s="369"/>
      <c r="F249" s="278"/>
      <c r="G249" s="279"/>
      <c r="H249" s="279"/>
      <c r="I249" s="333"/>
      <c r="J249" s="281"/>
      <c r="K249" s="715">
        <f t="shared" ref="K249:N254" si="42">K250</f>
        <v>12354.9</v>
      </c>
      <c r="L249" s="371">
        <f t="shared" si="42"/>
        <v>0</v>
      </c>
      <c r="M249" s="371">
        <f t="shared" si="42"/>
        <v>12354.9</v>
      </c>
      <c r="N249" s="371">
        <f t="shared" si="42"/>
        <v>0</v>
      </c>
    </row>
    <row r="250" spans="1:14" s="372" customFormat="1" ht="18.75">
      <c r="A250" s="367"/>
      <c r="B250" s="332" t="s">
        <v>398</v>
      </c>
      <c r="C250" s="368" t="s">
        <v>588</v>
      </c>
      <c r="D250" s="369" t="s">
        <v>86</v>
      </c>
      <c r="E250" s="369" t="s">
        <v>59</v>
      </c>
      <c r="F250" s="278"/>
      <c r="G250" s="279"/>
      <c r="H250" s="279"/>
      <c r="I250" s="333"/>
      <c r="J250" s="281"/>
      <c r="K250" s="715">
        <f t="shared" si="42"/>
        <v>12354.9</v>
      </c>
      <c r="L250" s="371">
        <f t="shared" si="42"/>
        <v>0</v>
      </c>
      <c r="M250" s="371">
        <f t="shared" si="42"/>
        <v>12354.9</v>
      </c>
      <c r="N250" s="371">
        <f t="shared" si="42"/>
        <v>0</v>
      </c>
    </row>
    <row r="251" spans="1:14" s="372" customFormat="1" ht="77.25" customHeight="1">
      <c r="A251" s="367"/>
      <c r="B251" s="379" t="s">
        <v>397</v>
      </c>
      <c r="C251" s="368" t="s">
        <v>588</v>
      </c>
      <c r="D251" s="369" t="s">
        <v>86</v>
      </c>
      <c r="E251" s="369" t="s">
        <v>59</v>
      </c>
      <c r="F251" s="278" t="s">
        <v>125</v>
      </c>
      <c r="G251" s="279" t="s">
        <v>62</v>
      </c>
      <c r="H251" s="279" t="s">
        <v>63</v>
      </c>
      <c r="I251" s="333" t="s">
        <v>64</v>
      </c>
      <c r="J251" s="281"/>
      <c r="K251" s="715">
        <f t="shared" si="42"/>
        <v>12354.9</v>
      </c>
      <c r="L251" s="371">
        <f t="shared" si="42"/>
        <v>0</v>
      </c>
      <c r="M251" s="371">
        <f t="shared" si="42"/>
        <v>12354.9</v>
      </c>
      <c r="N251" s="371">
        <f t="shared" si="42"/>
        <v>0</v>
      </c>
    </row>
    <row r="252" spans="1:14" s="372" customFormat="1" ht="56.25">
      <c r="A252" s="367"/>
      <c r="B252" s="327" t="s">
        <v>399</v>
      </c>
      <c r="C252" s="368" t="s">
        <v>588</v>
      </c>
      <c r="D252" s="369" t="s">
        <v>86</v>
      </c>
      <c r="E252" s="369" t="s">
        <v>59</v>
      </c>
      <c r="F252" s="278" t="s">
        <v>125</v>
      </c>
      <c r="G252" s="279" t="s">
        <v>65</v>
      </c>
      <c r="H252" s="279" t="s">
        <v>63</v>
      </c>
      <c r="I252" s="333" t="s">
        <v>64</v>
      </c>
      <c r="J252" s="281"/>
      <c r="K252" s="715">
        <f t="shared" si="42"/>
        <v>12354.9</v>
      </c>
      <c r="L252" s="371">
        <f t="shared" si="42"/>
        <v>0</v>
      </c>
      <c r="M252" s="371">
        <f t="shared" si="42"/>
        <v>12354.9</v>
      </c>
      <c r="N252" s="371">
        <f t="shared" si="42"/>
        <v>0</v>
      </c>
    </row>
    <row r="253" spans="1:14" s="372" customFormat="1" ht="56.25">
      <c r="A253" s="367"/>
      <c r="B253" s="327" t="s">
        <v>460</v>
      </c>
      <c r="C253" s="368" t="s">
        <v>588</v>
      </c>
      <c r="D253" s="369" t="s">
        <v>86</v>
      </c>
      <c r="E253" s="369" t="s">
        <v>59</v>
      </c>
      <c r="F253" s="278" t="s">
        <v>125</v>
      </c>
      <c r="G253" s="279" t="s">
        <v>65</v>
      </c>
      <c r="H253" s="279" t="s">
        <v>57</v>
      </c>
      <c r="I253" s="333" t="s">
        <v>64</v>
      </c>
      <c r="J253" s="281"/>
      <c r="K253" s="715">
        <f t="shared" si="42"/>
        <v>12354.9</v>
      </c>
      <c r="L253" s="371">
        <f t="shared" si="42"/>
        <v>0</v>
      </c>
      <c r="M253" s="371">
        <f t="shared" si="42"/>
        <v>12354.9</v>
      </c>
      <c r="N253" s="371">
        <f t="shared" si="42"/>
        <v>0</v>
      </c>
    </row>
    <row r="254" spans="1:14" s="372" customFormat="1" ht="75">
      <c r="A254" s="367"/>
      <c r="B254" s="327" t="s">
        <v>1007</v>
      </c>
      <c r="C254" s="368" t="s">
        <v>588</v>
      </c>
      <c r="D254" s="369" t="s">
        <v>86</v>
      </c>
      <c r="E254" s="369" t="s">
        <v>59</v>
      </c>
      <c r="F254" s="278" t="s">
        <v>125</v>
      </c>
      <c r="G254" s="279" t="s">
        <v>65</v>
      </c>
      <c r="H254" s="279" t="s">
        <v>57</v>
      </c>
      <c r="I254" s="333" t="s">
        <v>589</v>
      </c>
      <c r="J254" s="281"/>
      <c r="K254" s="715">
        <f>K255</f>
        <v>12354.9</v>
      </c>
      <c r="L254" s="371">
        <f t="shared" si="42"/>
        <v>0</v>
      </c>
      <c r="M254" s="371">
        <f>M255</f>
        <v>12354.9</v>
      </c>
      <c r="N254" s="371">
        <f t="shared" si="42"/>
        <v>0</v>
      </c>
    </row>
    <row r="255" spans="1:14" s="372" customFormat="1" ht="56.25">
      <c r="A255" s="367"/>
      <c r="B255" s="327" t="s">
        <v>225</v>
      </c>
      <c r="C255" s="368" t="s">
        <v>588</v>
      </c>
      <c r="D255" s="369" t="s">
        <v>86</v>
      </c>
      <c r="E255" s="369" t="s">
        <v>59</v>
      </c>
      <c r="F255" s="278" t="s">
        <v>125</v>
      </c>
      <c r="G255" s="279" t="s">
        <v>65</v>
      </c>
      <c r="H255" s="279" t="s">
        <v>57</v>
      </c>
      <c r="I255" s="333" t="s">
        <v>589</v>
      </c>
      <c r="J255" s="281" t="s">
        <v>226</v>
      </c>
      <c r="K255" s="715">
        <v>12354.9</v>
      </c>
      <c r="L255" s="137">
        <f>M255-K255</f>
        <v>0</v>
      </c>
      <c r="M255" s="371">
        <v>12354.9</v>
      </c>
      <c r="N255" s="371">
        <v>0</v>
      </c>
    </row>
    <row r="256" spans="1:14" s="372" customFormat="1" ht="18.75">
      <c r="A256" s="367"/>
      <c r="B256" s="277" t="s">
        <v>201</v>
      </c>
      <c r="C256" s="368" t="s">
        <v>588</v>
      </c>
      <c r="D256" s="369" t="s">
        <v>246</v>
      </c>
      <c r="E256" s="369"/>
      <c r="F256" s="278"/>
      <c r="G256" s="279"/>
      <c r="H256" s="279"/>
      <c r="I256" s="333"/>
      <c r="J256" s="281"/>
      <c r="K256" s="718">
        <f t="shared" ref="K256" si="43">K257+K263</f>
        <v>98354.4</v>
      </c>
      <c r="L256" s="137">
        <f>L257+L263</f>
        <v>0</v>
      </c>
      <c r="M256" s="137">
        <f t="shared" ref="M256:N256" si="44">M257+M263</f>
        <v>98354.4</v>
      </c>
      <c r="N256" s="137">
        <f t="shared" si="44"/>
        <v>0</v>
      </c>
    </row>
    <row r="257" spans="1:14" s="372" customFormat="1" ht="18.75">
      <c r="A257" s="367"/>
      <c r="B257" s="277" t="s">
        <v>203</v>
      </c>
      <c r="C257" s="368" t="s">
        <v>588</v>
      </c>
      <c r="D257" s="369" t="s">
        <v>246</v>
      </c>
      <c r="E257" s="369" t="s">
        <v>57</v>
      </c>
      <c r="F257" s="278"/>
      <c r="G257" s="279"/>
      <c r="H257" s="279"/>
      <c r="I257" s="280"/>
      <c r="J257" s="281"/>
      <c r="K257" s="718">
        <f t="shared" ref="K257:N261" si="45">K258</f>
        <v>98157.2</v>
      </c>
      <c r="L257" s="137">
        <f t="shared" si="45"/>
        <v>0</v>
      </c>
      <c r="M257" s="764">
        <f t="shared" si="45"/>
        <v>98157.2</v>
      </c>
      <c r="N257" s="371">
        <f t="shared" si="45"/>
        <v>0</v>
      </c>
    </row>
    <row r="258" spans="1:14" s="372" customFormat="1" ht="56.25">
      <c r="A258" s="367"/>
      <c r="B258" s="277" t="s">
        <v>724</v>
      </c>
      <c r="C258" s="368" t="s">
        <v>588</v>
      </c>
      <c r="D258" s="369" t="s">
        <v>246</v>
      </c>
      <c r="E258" s="369" t="s">
        <v>57</v>
      </c>
      <c r="F258" s="278" t="s">
        <v>59</v>
      </c>
      <c r="G258" s="279" t="s">
        <v>62</v>
      </c>
      <c r="H258" s="279" t="s">
        <v>63</v>
      </c>
      <c r="I258" s="280" t="s">
        <v>64</v>
      </c>
      <c r="J258" s="281"/>
      <c r="K258" s="718">
        <f t="shared" si="45"/>
        <v>98157.2</v>
      </c>
      <c r="L258" s="137">
        <f t="shared" si="45"/>
        <v>0</v>
      </c>
      <c r="M258" s="764">
        <f t="shared" si="45"/>
        <v>98157.2</v>
      </c>
      <c r="N258" s="371">
        <f t="shared" si="45"/>
        <v>0</v>
      </c>
    </row>
    <row r="259" spans="1:14" s="372" customFormat="1" ht="37.5">
      <c r="A259" s="367"/>
      <c r="B259" s="277" t="s">
        <v>228</v>
      </c>
      <c r="C259" s="368" t="s">
        <v>588</v>
      </c>
      <c r="D259" s="369" t="s">
        <v>246</v>
      </c>
      <c r="E259" s="369" t="s">
        <v>57</v>
      </c>
      <c r="F259" s="278" t="s">
        <v>59</v>
      </c>
      <c r="G259" s="279" t="s">
        <v>65</v>
      </c>
      <c r="H259" s="279" t="s">
        <v>63</v>
      </c>
      <c r="I259" s="280" t="s">
        <v>64</v>
      </c>
      <c r="J259" s="281"/>
      <c r="K259" s="718">
        <f t="shared" si="45"/>
        <v>98157.2</v>
      </c>
      <c r="L259" s="137">
        <f t="shared" si="45"/>
        <v>0</v>
      </c>
      <c r="M259" s="764">
        <f t="shared" si="45"/>
        <v>98157.2</v>
      </c>
      <c r="N259" s="371">
        <f t="shared" si="45"/>
        <v>0</v>
      </c>
    </row>
    <row r="260" spans="1:14" s="372" customFormat="1" ht="37.5">
      <c r="A260" s="367"/>
      <c r="B260" s="277" t="s">
        <v>307</v>
      </c>
      <c r="C260" s="368" t="s">
        <v>588</v>
      </c>
      <c r="D260" s="369" t="s">
        <v>246</v>
      </c>
      <c r="E260" s="369" t="s">
        <v>57</v>
      </c>
      <c r="F260" s="278" t="s">
        <v>59</v>
      </c>
      <c r="G260" s="279" t="s">
        <v>65</v>
      </c>
      <c r="H260" s="279" t="s">
        <v>57</v>
      </c>
      <c r="I260" s="333" t="s">
        <v>64</v>
      </c>
      <c r="J260" s="281"/>
      <c r="K260" s="718">
        <f t="shared" si="45"/>
        <v>98157.2</v>
      </c>
      <c r="L260" s="137">
        <f t="shared" si="45"/>
        <v>0</v>
      </c>
      <c r="M260" s="764">
        <f t="shared" si="45"/>
        <v>98157.2</v>
      </c>
      <c r="N260" s="371">
        <f t="shared" si="45"/>
        <v>0</v>
      </c>
    </row>
    <row r="261" spans="1:14" s="372" customFormat="1" ht="112.5">
      <c r="A261" s="367"/>
      <c r="B261" s="277" t="s">
        <v>1025</v>
      </c>
      <c r="C261" s="368" t="s">
        <v>588</v>
      </c>
      <c r="D261" s="369" t="s">
        <v>246</v>
      </c>
      <c r="E261" s="369" t="s">
        <v>57</v>
      </c>
      <c r="F261" s="278" t="s">
        <v>59</v>
      </c>
      <c r="G261" s="279" t="s">
        <v>65</v>
      </c>
      <c r="H261" s="279" t="s">
        <v>57</v>
      </c>
      <c r="I261" s="333" t="s">
        <v>1022</v>
      </c>
      <c r="J261" s="281"/>
      <c r="K261" s="718">
        <f t="shared" si="45"/>
        <v>98157.2</v>
      </c>
      <c r="L261" s="137">
        <f t="shared" si="45"/>
        <v>0</v>
      </c>
      <c r="M261" s="764">
        <f t="shared" si="45"/>
        <v>98157.2</v>
      </c>
      <c r="N261" s="371">
        <f t="shared" si="45"/>
        <v>0</v>
      </c>
    </row>
    <row r="262" spans="1:14" s="372" customFormat="1" ht="56.25">
      <c r="A262" s="367"/>
      <c r="B262" s="277" t="s">
        <v>225</v>
      </c>
      <c r="C262" s="368" t="s">
        <v>588</v>
      </c>
      <c r="D262" s="369" t="s">
        <v>246</v>
      </c>
      <c r="E262" s="369" t="s">
        <v>57</v>
      </c>
      <c r="F262" s="278" t="s">
        <v>59</v>
      </c>
      <c r="G262" s="279" t="s">
        <v>65</v>
      </c>
      <c r="H262" s="279" t="s">
        <v>57</v>
      </c>
      <c r="I262" s="333" t="s">
        <v>1022</v>
      </c>
      <c r="J262" s="281" t="s">
        <v>226</v>
      </c>
      <c r="K262" s="718">
        <f>95112+3045.2</f>
        <v>98157.2</v>
      </c>
      <c r="L262" s="137">
        <f>M262-K262</f>
        <v>0</v>
      </c>
      <c r="M262" s="764">
        <f>95112+3045.2</f>
        <v>98157.2</v>
      </c>
      <c r="N262" s="371">
        <v>0</v>
      </c>
    </row>
    <row r="263" spans="1:14" s="372" customFormat="1" ht="18.75">
      <c r="A263" s="367"/>
      <c r="B263" s="277" t="s">
        <v>205</v>
      </c>
      <c r="C263" s="368" t="s">
        <v>588</v>
      </c>
      <c r="D263" s="369" t="s">
        <v>246</v>
      </c>
      <c r="E263" s="369" t="s">
        <v>59</v>
      </c>
      <c r="F263" s="278"/>
      <c r="G263" s="279"/>
      <c r="H263" s="279"/>
      <c r="I263" s="333"/>
      <c r="J263" s="281"/>
      <c r="K263" s="718">
        <f t="shared" ref="K263:M267" si="46">K264</f>
        <v>197.2</v>
      </c>
      <c r="L263" s="137">
        <f t="shared" si="46"/>
        <v>0</v>
      </c>
      <c r="M263" s="764">
        <f t="shared" si="46"/>
        <v>197.2</v>
      </c>
      <c r="N263" s="371">
        <v>0</v>
      </c>
    </row>
    <row r="264" spans="1:14" s="372" customFormat="1" ht="56.25">
      <c r="A264" s="367"/>
      <c r="B264" s="277" t="s">
        <v>227</v>
      </c>
      <c r="C264" s="368" t="s">
        <v>588</v>
      </c>
      <c r="D264" s="369" t="s">
        <v>246</v>
      </c>
      <c r="E264" s="369" t="s">
        <v>59</v>
      </c>
      <c r="F264" s="278" t="s">
        <v>59</v>
      </c>
      <c r="G264" s="279" t="s">
        <v>62</v>
      </c>
      <c r="H264" s="279" t="s">
        <v>63</v>
      </c>
      <c r="I264" s="280" t="s">
        <v>64</v>
      </c>
      <c r="J264" s="281"/>
      <c r="K264" s="718">
        <f t="shared" si="46"/>
        <v>197.2</v>
      </c>
      <c r="L264" s="137">
        <f t="shared" si="46"/>
        <v>0</v>
      </c>
      <c r="M264" s="764">
        <f t="shared" si="46"/>
        <v>197.2</v>
      </c>
      <c r="N264" s="371">
        <v>0</v>
      </c>
    </row>
    <row r="265" spans="1:14" s="372" customFormat="1" ht="37.5">
      <c r="A265" s="367"/>
      <c r="B265" s="277" t="s">
        <v>228</v>
      </c>
      <c r="C265" s="368" t="s">
        <v>588</v>
      </c>
      <c r="D265" s="369" t="s">
        <v>246</v>
      </c>
      <c r="E265" s="369" t="s">
        <v>59</v>
      </c>
      <c r="F265" s="278" t="s">
        <v>59</v>
      </c>
      <c r="G265" s="279" t="s">
        <v>65</v>
      </c>
      <c r="H265" s="279" t="s">
        <v>63</v>
      </c>
      <c r="I265" s="280" t="s">
        <v>64</v>
      </c>
      <c r="J265" s="281"/>
      <c r="K265" s="718">
        <f t="shared" si="46"/>
        <v>197.2</v>
      </c>
      <c r="L265" s="137">
        <f t="shared" si="46"/>
        <v>0</v>
      </c>
      <c r="M265" s="764">
        <f t="shared" si="46"/>
        <v>197.2</v>
      </c>
      <c r="N265" s="371">
        <v>0</v>
      </c>
    </row>
    <row r="266" spans="1:14" s="372" customFormat="1" ht="18.75">
      <c r="A266" s="367"/>
      <c r="B266" s="277" t="s">
        <v>312</v>
      </c>
      <c r="C266" s="368" t="s">
        <v>588</v>
      </c>
      <c r="D266" s="369" t="s">
        <v>246</v>
      </c>
      <c r="E266" s="369" t="s">
        <v>59</v>
      </c>
      <c r="F266" s="278" t="s">
        <v>59</v>
      </c>
      <c r="G266" s="279" t="s">
        <v>65</v>
      </c>
      <c r="H266" s="279" t="s">
        <v>59</v>
      </c>
      <c r="I266" s="280" t="s">
        <v>64</v>
      </c>
      <c r="J266" s="281"/>
      <c r="K266" s="718">
        <f t="shared" si="46"/>
        <v>197.2</v>
      </c>
      <c r="L266" s="137">
        <f t="shared" si="46"/>
        <v>0</v>
      </c>
      <c r="M266" s="764">
        <f t="shared" si="46"/>
        <v>197.2</v>
      </c>
      <c r="N266" s="371">
        <v>0</v>
      </c>
    </row>
    <row r="267" spans="1:14" s="372" customFormat="1" ht="37.5">
      <c r="A267" s="367"/>
      <c r="B267" s="277" t="s">
        <v>230</v>
      </c>
      <c r="C267" s="368" t="s">
        <v>588</v>
      </c>
      <c r="D267" s="369" t="s">
        <v>246</v>
      </c>
      <c r="E267" s="369" t="s">
        <v>59</v>
      </c>
      <c r="F267" s="278" t="s">
        <v>59</v>
      </c>
      <c r="G267" s="279" t="s">
        <v>65</v>
      </c>
      <c r="H267" s="279" t="s">
        <v>59</v>
      </c>
      <c r="I267" s="280" t="s">
        <v>314</v>
      </c>
      <c r="J267" s="281"/>
      <c r="K267" s="718">
        <f t="shared" si="46"/>
        <v>197.2</v>
      </c>
      <c r="L267" s="137">
        <f t="shared" si="46"/>
        <v>0</v>
      </c>
      <c r="M267" s="764">
        <f t="shared" si="46"/>
        <v>197.2</v>
      </c>
      <c r="N267" s="371">
        <v>0</v>
      </c>
    </row>
    <row r="268" spans="1:14" s="372" customFormat="1" ht="56.25">
      <c r="A268" s="367"/>
      <c r="B268" s="277" t="s">
        <v>225</v>
      </c>
      <c r="C268" s="368" t="s">
        <v>588</v>
      </c>
      <c r="D268" s="369" t="s">
        <v>246</v>
      </c>
      <c r="E268" s="369" t="s">
        <v>59</v>
      </c>
      <c r="F268" s="278" t="s">
        <v>59</v>
      </c>
      <c r="G268" s="279" t="s">
        <v>65</v>
      </c>
      <c r="H268" s="279" t="s">
        <v>59</v>
      </c>
      <c r="I268" s="280" t="s">
        <v>314</v>
      </c>
      <c r="J268" s="281" t="s">
        <v>226</v>
      </c>
      <c r="K268" s="718">
        <v>197.2</v>
      </c>
      <c r="L268" s="137">
        <f>M268-K268</f>
        <v>0</v>
      </c>
      <c r="M268" s="764">
        <v>197.2</v>
      </c>
      <c r="N268" s="371">
        <v>0</v>
      </c>
    </row>
    <row r="269" spans="1:14" s="383" customFormat="1" ht="18.75">
      <c r="A269" s="380"/>
      <c r="B269" s="381" t="s">
        <v>140</v>
      </c>
      <c r="C269" s="382" t="s">
        <v>588</v>
      </c>
      <c r="D269" s="331" t="s">
        <v>125</v>
      </c>
      <c r="E269" s="331"/>
      <c r="F269" s="328"/>
      <c r="G269" s="329"/>
      <c r="H269" s="329"/>
      <c r="I269" s="330"/>
      <c r="J269" s="331"/>
      <c r="K269" s="715">
        <f>K270+K399</f>
        <v>40202.699999999997</v>
      </c>
      <c r="L269" s="687">
        <f>L270+L399</f>
        <v>0</v>
      </c>
      <c r="M269" s="371">
        <f>M270+M399</f>
        <v>40202.699999999997</v>
      </c>
      <c r="N269" s="371">
        <f>N270+N399</f>
        <v>40202.700000000004</v>
      </c>
    </row>
    <row r="270" spans="1:14" s="383" customFormat="1" ht="18.75">
      <c r="A270" s="380"/>
      <c r="B270" s="327" t="s">
        <v>215</v>
      </c>
      <c r="C270" s="382" t="s">
        <v>588</v>
      </c>
      <c r="D270" s="331" t="s">
        <v>125</v>
      </c>
      <c r="E270" s="331" t="s">
        <v>72</v>
      </c>
      <c r="F270" s="328"/>
      <c r="G270" s="329"/>
      <c r="H270" s="329"/>
      <c r="I270" s="330"/>
      <c r="J270" s="331"/>
      <c r="K270" s="715">
        <f t="shared" ref="K270:N272" si="47">K271</f>
        <v>40202.699999999997</v>
      </c>
      <c r="L270" s="371">
        <f t="shared" si="47"/>
        <v>0</v>
      </c>
      <c r="M270" s="371">
        <f t="shared" si="47"/>
        <v>40202.699999999997</v>
      </c>
      <c r="N270" s="371">
        <f t="shared" si="47"/>
        <v>40202.700000000004</v>
      </c>
    </row>
    <row r="271" spans="1:14" s="383" customFormat="1" ht="56.25">
      <c r="A271" s="380"/>
      <c r="B271" s="384" t="s">
        <v>252</v>
      </c>
      <c r="C271" s="382" t="s">
        <v>588</v>
      </c>
      <c r="D271" s="331" t="s">
        <v>125</v>
      </c>
      <c r="E271" s="331" t="s">
        <v>72</v>
      </c>
      <c r="F271" s="328" t="s">
        <v>100</v>
      </c>
      <c r="G271" s="329" t="s">
        <v>62</v>
      </c>
      <c r="H271" s="329" t="s">
        <v>63</v>
      </c>
      <c r="I271" s="330" t="s">
        <v>64</v>
      </c>
      <c r="J271" s="331"/>
      <c r="K271" s="715">
        <f t="shared" si="47"/>
        <v>40202.699999999997</v>
      </c>
      <c r="L271" s="371">
        <f t="shared" si="47"/>
        <v>0</v>
      </c>
      <c r="M271" s="371">
        <f t="shared" si="47"/>
        <v>40202.699999999997</v>
      </c>
      <c r="N271" s="371">
        <f t="shared" si="47"/>
        <v>40202.700000000004</v>
      </c>
    </row>
    <row r="272" spans="1:14" s="383" customFormat="1" ht="37.5">
      <c r="A272" s="380"/>
      <c r="B272" s="327" t="s">
        <v>404</v>
      </c>
      <c r="C272" s="382" t="s">
        <v>588</v>
      </c>
      <c r="D272" s="331" t="s">
        <v>125</v>
      </c>
      <c r="E272" s="331" t="s">
        <v>72</v>
      </c>
      <c r="F272" s="328" t="s">
        <v>100</v>
      </c>
      <c r="G272" s="329" t="s">
        <v>65</v>
      </c>
      <c r="H272" s="329" t="s">
        <v>63</v>
      </c>
      <c r="I272" s="330" t="s">
        <v>64</v>
      </c>
      <c r="J272" s="331"/>
      <c r="K272" s="715">
        <f t="shared" si="47"/>
        <v>40202.699999999997</v>
      </c>
      <c r="L272" s="371">
        <f t="shared" si="47"/>
        <v>0</v>
      </c>
      <c r="M272" s="371">
        <f t="shared" si="47"/>
        <v>40202.699999999997</v>
      </c>
      <c r="N272" s="371">
        <f t="shared" si="47"/>
        <v>40202.700000000004</v>
      </c>
    </row>
    <row r="273" spans="1:15" s="385" customFormat="1" ht="93.75">
      <c r="A273" s="380"/>
      <c r="B273" s="327" t="s">
        <v>352</v>
      </c>
      <c r="C273" s="382" t="s">
        <v>588</v>
      </c>
      <c r="D273" s="331" t="s">
        <v>125</v>
      </c>
      <c r="E273" s="331" t="s">
        <v>72</v>
      </c>
      <c r="F273" s="328" t="s">
        <v>100</v>
      </c>
      <c r="G273" s="329" t="s">
        <v>65</v>
      </c>
      <c r="H273" s="329" t="s">
        <v>59</v>
      </c>
      <c r="I273" s="330" t="s">
        <v>64</v>
      </c>
      <c r="J273" s="331"/>
      <c r="K273" s="715">
        <f>K274+K276</f>
        <v>40202.699999999997</v>
      </c>
      <c r="L273" s="371">
        <f>L274+L276</f>
        <v>0</v>
      </c>
      <c r="M273" s="371">
        <f>M274+M276</f>
        <v>40202.699999999997</v>
      </c>
      <c r="N273" s="371">
        <f>N274+N276</f>
        <v>40202.700000000004</v>
      </c>
    </row>
    <row r="274" spans="1:15" s="372" customFormat="1" ht="110.25" customHeight="1">
      <c r="A274" s="367"/>
      <c r="B274" s="332" t="s">
        <v>590</v>
      </c>
      <c r="C274" s="368" t="s">
        <v>588</v>
      </c>
      <c r="D274" s="369" t="s">
        <v>125</v>
      </c>
      <c r="E274" s="369" t="s">
        <v>72</v>
      </c>
      <c r="F274" s="278" t="s">
        <v>100</v>
      </c>
      <c r="G274" s="279" t="s">
        <v>65</v>
      </c>
      <c r="H274" s="279" t="s">
        <v>59</v>
      </c>
      <c r="I274" s="333" t="s">
        <v>591</v>
      </c>
      <c r="J274" s="281"/>
      <c r="K274" s="715">
        <f>K275</f>
        <v>30934.1</v>
      </c>
      <c r="L274" s="371">
        <f>L275</f>
        <v>0</v>
      </c>
      <c r="M274" s="371">
        <f>M275</f>
        <v>30934.1</v>
      </c>
      <c r="N274" s="371">
        <f>N275</f>
        <v>30934.100000000002</v>
      </c>
    </row>
    <row r="275" spans="1:15" s="372" customFormat="1" ht="56.25">
      <c r="A275" s="367"/>
      <c r="B275" s="332" t="s">
        <v>225</v>
      </c>
      <c r="C275" s="368" t="s">
        <v>588</v>
      </c>
      <c r="D275" s="369" t="s">
        <v>125</v>
      </c>
      <c r="E275" s="369" t="s">
        <v>72</v>
      </c>
      <c r="F275" s="278" t="s">
        <v>100</v>
      </c>
      <c r="G275" s="279" t="s">
        <v>65</v>
      </c>
      <c r="H275" s="279" t="s">
        <v>59</v>
      </c>
      <c r="I275" s="333" t="s">
        <v>591</v>
      </c>
      <c r="J275" s="281" t="s">
        <v>226</v>
      </c>
      <c r="K275" s="715">
        <v>30934.1</v>
      </c>
      <c r="L275" s="137">
        <f>M275-K275</f>
        <v>0</v>
      </c>
      <c r="M275" s="371">
        <v>30934.1</v>
      </c>
      <c r="N275" s="371">
        <f>32480.4-1546.3</f>
        <v>30934.100000000002</v>
      </c>
    </row>
    <row r="276" spans="1:15" s="372" customFormat="1" ht="131.25">
      <c r="A276" s="367"/>
      <c r="B276" s="332" t="s">
        <v>590</v>
      </c>
      <c r="C276" s="368" t="s">
        <v>588</v>
      </c>
      <c r="D276" s="369" t="s">
        <v>125</v>
      </c>
      <c r="E276" s="369" t="s">
        <v>72</v>
      </c>
      <c r="F276" s="278" t="s">
        <v>100</v>
      </c>
      <c r="G276" s="279" t="s">
        <v>65</v>
      </c>
      <c r="H276" s="279" t="s">
        <v>59</v>
      </c>
      <c r="I276" s="333" t="s">
        <v>592</v>
      </c>
      <c r="J276" s="281"/>
      <c r="K276" s="715">
        <f>K277</f>
        <v>9268.6</v>
      </c>
      <c r="L276" s="371">
        <f>L277</f>
        <v>0</v>
      </c>
      <c r="M276" s="371">
        <f>M277</f>
        <v>9268.6</v>
      </c>
      <c r="N276" s="371">
        <f>N277</f>
        <v>9268.6</v>
      </c>
    </row>
    <row r="277" spans="1:15" s="372" customFormat="1" ht="56.25">
      <c r="A277" s="367"/>
      <c r="B277" s="332" t="s">
        <v>225</v>
      </c>
      <c r="C277" s="368" t="s">
        <v>588</v>
      </c>
      <c r="D277" s="369" t="s">
        <v>125</v>
      </c>
      <c r="E277" s="369" t="s">
        <v>72</v>
      </c>
      <c r="F277" s="278" t="s">
        <v>100</v>
      </c>
      <c r="G277" s="279" t="s">
        <v>65</v>
      </c>
      <c r="H277" s="279" t="s">
        <v>59</v>
      </c>
      <c r="I277" s="333" t="s">
        <v>592</v>
      </c>
      <c r="J277" s="281" t="s">
        <v>226</v>
      </c>
      <c r="K277" s="715">
        <v>9268.6</v>
      </c>
      <c r="L277" s="137">
        <f>M277-K277</f>
        <v>0</v>
      </c>
      <c r="M277" s="371">
        <v>9268.6</v>
      </c>
      <c r="N277" s="371">
        <v>9268.6</v>
      </c>
    </row>
    <row r="278" spans="1:15" s="357" customFormat="1" ht="18.75">
      <c r="A278" s="122"/>
      <c r="B278" s="135"/>
      <c r="C278" s="136"/>
      <c r="D278" s="121"/>
      <c r="E278" s="121"/>
      <c r="F278" s="734"/>
      <c r="G278" s="735"/>
      <c r="H278" s="735"/>
      <c r="I278" s="736"/>
      <c r="J278" s="121"/>
      <c r="K278" s="713"/>
      <c r="L278" s="137"/>
      <c r="M278" s="137"/>
      <c r="N278" s="137"/>
    </row>
    <row r="279" spans="1:15" s="355" customFormat="1" ht="56.25">
      <c r="A279" s="350">
        <v>5</v>
      </c>
      <c r="B279" s="129" t="s">
        <v>23</v>
      </c>
      <c r="C279" s="130" t="s">
        <v>609</v>
      </c>
      <c r="D279" s="131"/>
      <c r="E279" s="131"/>
      <c r="F279" s="132"/>
      <c r="G279" s="133"/>
      <c r="H279" s="133"/>
      <c r="I279" s="134"/>
      <c r="J279" s="131"/>
      <c r="K279" s="712">
        <f>K293+K391+K280</f>
        <v>1022117.1</v>
      </c>
      <c r="L279" s="160">
        <f>L293+L391+L280</f>
        <v>0</v>
      </c>
      <c r="M279" s="160">
        <f>M293+M391+M280</f>
        <v>1022117.1</v>
      </c>
      <c r="N279" s="160">
        <f>N293+N391+N280</f>
        <v>1008274.0999999999</v>
      </c>
      <c r="O279" s="386"/>
    </row>
    <row r="280" spans="1:15" s="355" customFormat="1" ht="18.75">
      <c r="A280" s="350"/>
      <c r="B280" s="607" t="s">
        <v>56</v>
      </c>
      <c r="C280" s="620" t="s">
        <v>609</v>
      </c>
      <c r="D280" s="611" t="s">
        <v>57</v>
      </c>
      <c r="E280" s="271"/>
      <c r="F280" s="621"/>
      <c r="G280" s="285"/>
      <c r="H280" s="285"/>
      <c r="I280" s="286"/>
      <c r="J280" s="271"/>
      <c r="K280" s="713">
        <f t="shared" ref="K280:M281" si="48">K281</f>
        <v>228.8</v>
      </c>
      <c r="L280" s="538">
        <f t="shared" si="48"/>
        <v>0</v>
      </c>
      <c r="M280" s="538">
        <f t="shared" si="48"/>
        <v>228.8</v>
      </c>
      <c r="N280" s="538">
        <f t="shared" ref="N280:N281" si="49">N281</f>
        <v>228.8</v>
      </c>
      <c r="O280" s="386"/>
    </row>
    <row r="281" spans="1:15" s="355" customFormat="1" ht="18.75">
      <c r="A281" s="350"/>
      <c r="B281" s="607" t="s">
        <v>91</v>
      </c>
      <c r="C281" s="622" t="s">
        <v>609</v>
      </c>
      <c r="D281" s="611" t="s">
        <v>57</v>
      </c>
      <c r="E281" s="611" t="s">
        <v>92</v>
      </c>
      <c r="F281" s="621"/>
      <c r="G281" s="285"/>
      <c r="H281" s="285"/>
      <c r="I281" s="286"/>
      <c r="J281" s="271"/>
      <c r="K281" s="713">
        <f t="shared" si="48"/>
        <v>228.8</v>
      </c>
      <c r="L281" s="538">
        <f t="shared" si="48"/>
        <v>0</v>
      </c>
      <c r="M281" s="538">
        <f t="shared" si="48"/>
        <v>228.8</v>
      </c>
      <c r="N281" s="538">
        <f t="shared" si="49"/>
        <v>228.8</v>
      </c>
      <c r="O281" s="386"/>
    </row>
    <row r="282" spans="1:15" s="355" customFormat="1" ht="56.25">
      <c r="A282" s="350"/>
      <c r="B282" s="607" t="s">
        <v>227</v>
      </c>
      <c r="C282" s="620" t="s">
        <v>609</v>
      </c>
      <c r="D282" s="611" t="s">
        <v>57</v>
      </c>
      <c r="E282" s="611" t="s">
        <v>92</v>
      </c>
      <c r="F282" s="608" t="s">
        <v>59</v>
      </c>
      <c r="G282" s="609" t="s">
        <v>62</v>
      </c>
      <c r="H282" s="609" t="s">
        <v>63</v>
      </c>
      <c r="I282" s="610" t="s">
        <v>64</v>
      </c>
      <c r="J282" s="611"/>
      <c r="K282" s="713">
        <f>K283</f>
        <v>228.8</v>
      </c>
      <c r="L282" s="538">
        <f>L283</f>
        <v>0</v>
      </c>
      <c r="M282" s="538">
        <f>M283</f>
        <v>228.8</v>
      </c>
      <c r="N282" s="538">
        <f>N283</f>
        <v>228.8</v>
      </c>
      <c r="O282" s="386"/>
    </row>
    <row r="283" spans="1:15" s="355" customFormat="1" ht="56.25">
      <c r="A283" s="350"/>
      <c r="B283" s="575" t="s">
        <v>234</v>
      </c>
      <c r="C283" s="620" t="s">
        <v>609</v>
      </c>
      <c r="D283" s="611" t="s">
        <v>57</v>
      </c>
      <c r="E283" s="611" t="s">
        <v>92</v>
      </c>
      <c r="F283" s="608" t="s">
        <v>59</v>
      </c>
      <c r="G283" s="609" t="s">
        <v>50</v>
      </c>
      <c r="H283" s="609" t="s">
        <v>63</v>
      </c>
      <c r="I283" s="610" t="s">
        <v>64</v>
      </c>
      <c r="J283" s="611"/>
      <c r="K283" s="713">
        <f>K284+K287+K290</f>
        <v>228.8</v>
      </c>
      <c r="L283" s="538">
        <f>L284+L287+L290</f>
        <v>0</v>
      </c>
      <c r="M283" s="538">
        <f>M284+M287+M290</f>
        <v>228.8</v>
      </c>
      <c r="N283" s="538">
        <f>N284+N287+N290</f>
        <v>228.8</v>
      </c>
      <c r="O283" s="386"/>
    </row>
    <row r="284" spans="1:15" s="355" customFormat="1" ht="37.5">
      <c r="A284" s="350"/>
      <c r="B284" s="607" t="s">
        <v>428</v>
      </c>
      <c r="C284" s="620" t="s">
        <v>609</v>
      </c>
      <c r="D284" s="611" t="s">
        <v>57</v>
      </c>
      <c r="E284" s="611" t="s">
        <v>92</v>
      </c>
      <c r="F284" s="608" t="s">
        <v>59</v>
      </c>
      <c r="G284" s="609" t="s">
        <v>50</v>
      </c>
      <c r="H284" s="609" t="s">
        <v>84</v>
      </c>
      <c r="I284" s="610" t="s">
        <v>64</v>
      </c>
      <c r="J284" s="611"/>
      <c r="K284" s="713">
        <f t="shared" ref="K284:N285" si="50">K285</f>
        <v>100.4</v>
      </c>
      <c r="L284" s="538">
        <f t="shared" si="50"/>
        <v>0</v>
      </c>
      <c r="M284" s="538">
        <f t="shared" si="50"/>
        <v>100.4</v>
      </c>
      <c r="N284" s="538">
        <f t="shared" si="50"/>
        <v>100.4</v>
      </c>
      <c r="O284" s="386"/>
    </row>
    <row r="285" spans="1:15" s="355" customFormat="1" ht="57" customHeight="1">
      <c r="A285" s="350"/>
      <c r="B285" s="575" t="s">
        <v>814</v>
      </c>
      <c r="C285" s="622" t="s">
        <v>609</v>
      </c>
      <c r="D285" s="611" t="s">
        <v>57</v>
      </c>
      <c r="E285" s="611" t="s">
        <v>92</v>
      </c>
      <c r="F285" s="608" t="s">
        <v>59</v>
      </c>
      <c r="G285" s="609" t="s">
        <v>50</v>
      </c>
      <c r="H285" s="609" t="s">
        <v>84</v>
      </c>
      <c r="I285" s="610" t="s">
        <v>126</v>
      </c>
      <c r="J285" s="611"/>
      <c r="K285" s="713">
        <f t="shared" si="50"/>
        <v>100.4</v>
      </c>
      <c r="L285" s="538">
        <f t="shared" si="50"/>
        <v>0</v>
      </c>
      <c r="M285" s="538">
        <f t="shared" si="50"/>
        <v>100.4</v>
      </c>
      <c r="N285" s="538">
        <f t="shared" si="50"/>
        <v>100.4</v>
      </c>
      <c r="O285" s="386"/>
    </row>
    <row r="286" spans="1:15" s="355" customFormat="1" ht="56.25">
      <c r="A286" s="350"/>
      <c r="B286" s="575" t="s">
        <v>75</v>
      </c>
      <c r="C286" s="622" t="s">
        <v>609</v>
      </c>
      <c r="D286" s="611" t="s">
        <v>57</v>
      </c>
      <c r="E286" s="611" t="s">
        <v>92</v>
      </c>
      <c r="F286" s="608" t="s">
        <v>59</v>
      </c>
      <c r="G286" s="609" t="s">
        <v>50</v>
      </c>
      <c r="H286" s="609" t="s">
        <v>84</v>
      </c>
      <c r="I286" s="610" t="s">
        <v>126</v>
      </c>
      <c r="J286" s="611" t="s">
        <v>76</v>
      </c>
      <c r="K286" s="713">
        <v>100.4</v>
      </c>
      <c r="L286" s="137">
        <f>M286-K286</f>
        <v>0</v>
      </c>
      <c r="M286" s="538">
        <v>100.4</v>
      </c>
      <c r="N286" s="538">
        <v>100.4</v>
      </c>
      <c r="O286" s="386"/>
    </row>
    <row r="287" spans="1:15" s="355" customFormat="1" ht="37.5">
      <c r="A287" s="350"/>
      <c r="B287" s="575" t="s">
        <v>799</v>
      </c>
      <c r="C287" s="620" t="s">
        <v>609</v>
      </c>
      <c r="D287" s="611" t="s">
        <v>57</v>
      </c>
      <c r="E287" s="611" t="s">
        <v>92</v>
      </c>
      <c r="F287" s="608" t="s">
        <v>59</v>
      </c>
      <c r="G287" s="609" t="s">
        <v>50</v>
      </c>
      <c r="H287" s="609" t="s">
        <v>72</v>
      </c>
      <c r="I287" s="610" t="s">
        <v>64</v>
      </c>
      <c r="J287" s="611"/>
      <c r="K287" s="713">
        <f t="shared" ref="K287:N288" si="51">K288</f>
        <v>25</v>
      </c>
      <c r="L287" s="538">
        <f t="shared" si="51"/>
        <v>0</v>
      </c>
      <c r="M287" s="538">
        <f t="shared" si="51"/>
        <v>25</v>
      </c>
      <c r="N287" s="538">
        <f t="shared" si="51"/>
        <v>25</v>
      </c>
      <c r="O287" s="386"/>
    </row>
    <row r="288" spans="1:15" s="355" customFormat="1" ht="18.75">
      <c r="A288" s="350"/>
      <c r="B288" s="575" t="s">
        <v>815</v>
      </c>
      <c r="C288" s="622" t="s">
        <v>609</v>
      </c>
      <c r="D288" s="611" t="s">
        <v>57</v>
      </c>
      <c r="E288" s="611" t="s">
        <v>92</v>
      </c>
      <c r="F288" s="608" t="s">
        <v>59</v>
      </c>
      <c r="G288" s="609" t="s">
        <v>50</v>
      </c>
      <c r="H288" s="609" t="s">
        <v>72</v>
      </c>
      <c r="I288" s="610" t="s">
        <v>798</v>
      </c>
      <c r="J288" s="611"/>
      <c r="K288" s="713">
        <f t="shared" si="51"/>
        <v>25</v>
      </c>
      <c r="L288" s="538">
        <f t="shared" si="51"/>
        <v>0</v>
      </c>
      <c r="M288" s="538">
        <f t="shared" si="51"/>
        <v>25</v>
      </c>
      <c r="N288" s="538">
        <f t="shared" si="51"/>
        <v>25</v>
      </c>
      <c r="O288" s="386"/>
    </row>
    <row r="289" spans="1:15" s="355" customFormat="1" ht="56.25">
      <c r="A289" s="350"/>
      <c r="B289" s="575" t="s">
        <v>75</v>
      </c>
      <c r="C289" s="622" t="s">
        <v>609</v>
      </c>
      <c r="D289" s="611" t="s">
        <v>57</v>
      </c>
      <c r="E289" s="611" t="s">
        <v>92</v>
      </c>
      <c r="F289" s="608" t="s">
        <v>59</v>
      </c>
      <c r="G289" s="609" t="s">
        <v>50</v>
      </c>
      <c r="H289" s="609" t="s">
        <v>72</v>
      </c>
      <c r="I289" s="610" t="s">
        <v>798</v>
      </c>
      <c r="J289" s="611" t="s">
        <v>76</v>
      </c>
      <c r="K289" s="713">
        <v>25</v>
      </c>
      <c r="L289" s="137">
        <f>M289-K289</f>
        <v>0</v>
      </c>
      <c r="M289" s="538">
        <v>25</v>
      </c>
      <c r="N289" s="538">
        <v>25</v>
      </c>
      <c r="O289" s="386"/>
    </row>
    <row r="290" spans="1:15" s="355" customFormat="1" ht="37.5">
      <c r="A290" s="350"/>
      <c r="B290" s="575" t="s">
        <v>811</v>
      </c>
      <c r="C290" s="622" t="s">
        <v>609</v>
      </c>
      <c r="D290" s="611" t="s">
        <v>57</v>
      </c>
      <c r="E290" s="611" t="s">
        <v>92</v>
      </c>
      <c r="F290" s="608" t="s">
        <v>59</v>
      </c>
      <c r="G290" s="609" t="s">
        <v>50</v>
      </c>
      <c r="H290" s="609" t="s">
        <v>86</v>
      </c>
      <c r="I290" s="730" t="s">
        <v>64</v>
      </c>
      <c r="J290" s="259"/>
      <c r="K290" s="713">
        <f t="shared" ref="K290:N291" si="52">K291</f>
        <v>103.4</v>
      </c>
      <c r="L290" s="538">
        <f t="shared" si="52"/>
        <v>0</v>
      </c>
      <c r="M290" s="538">
        <f t="shared" si="52"/>
        <v>103.4</v>
      </c>
      <c r="N290" s="538">
        <f t="shared" si="52"/>
        <v>103.4</v>
      </c>
      <c r="O290" s="386"/>
    </row>
    <row r="291" spans="1:15" s="355" customFormat="1" ht="37.5">
      <c r="A291" s="350"/>
      <c r="B291" s="575" t="s">
        <v>148</v>
      </c>
      <c r="C291" s="622" t="s">
        <v>609</v>
      </c>
      <c r="D291" s="611" t="s">
        <v>57</v>
      </c>
      <c r="E291" s="611" t="s">
        <v>92</v>
      </c>
      <c r="F291" s="608" t="s">
        <v>59</v>
      </c>
      <c r="G291" s="609" t="s">
        <v>50</v>
      </c>
      <c r="H291" s="609" t="s">
        <v>86</v>
      </c>
      <c r="I291" s="730" t="s">
        <v>111</v>
      </c>
      <c r="J291" s="259"/>
      <c r="K291" s="713">
        <f t="shared" si="52"/>
        <v>103.4</v>
      </c>
      <c r="L291" s="538">
        <f t="shared" si="52"/>
        <v>0</v>
      </c>
      <c r="M291" s="538">
        <f t="shared" si="52"/>
        <v>103.4</v>
      </c>
      <c r="N291" s="538">
        <f t="shared" si="52"/>
        <v>103.4</v>
      </c>
      <c r="O291" s="386"/>
    </row>
    <row r="292" spans="1:15" s="355" customFormat="1" ht="56.25">
      <c r="A292" s="350"/>
      <c r="B292" s="575" t="s">
        <v>75</v>
      </c>
      <c r="C292" s="622" t="s">
        <v>609</v>
      </c>
      <c r="D292" s="611" t="s">
        <v>57</v>
      </c>
      <c r="E292" s="611" t="s">
        <v>92</v>
      </c>
      <c r="F292" s="608" t="s">
        <v>59</v>
      </c>
      <c r="G292" s="609" t="s">
        <v>50</v>
      </c>
      <c r="H292" s="609" t="s">
        <v>86</v>
      </c>
      <c r="I292" s="730" t="s">
        <v>111</v>
      </c>
      <c r="J292" s="259" t="s">
        <v>76</v>
      </c>
      <c r="K292" s="713">
        <v>103.4</v>
      </c>
      <c r="L292" s="137">
        <f>M292-K292</f>
        <v>0</v>
      </c>
      <c r="M292" s="538">
        <v>103.4</v>
      </c>
      <c r="N292" s="538">
        <v>103.4</v>
      </c>
      <c r="O292" s="386"/>
    </row>
    <row r="293" spans="1:15" s="356" customFormat="1" ht="18.75">
      <c r="A293" s="122"/>
      <c r="B293" s="135" t="s">
        <v>201</v>
      </c>
      <c r="C293" s="136" t="s">
        <v>609</v>
      </c>
      <c r="D293" s="121" t="s">
        <v>246</v>
      </c>
      <c r="E293" s="121"/>
      <c r="F293" s="734"/>
      <c r="G293" s="735"/>
      <c r="H293" s="735"/>
      <c r="I293" s="736"/>
      <c r="J293" s="121"/>
      <c r="K293" s="713">
        <f>K294+K309+K375+K349+K369</f>
        <v>1013854.1</v>
      </c>
      <c r="L293" s="137">
        <f>L294+L309+L375+L349+L369</f>
        <v>0</v>
      </c>
      <c r="M293" s="137">
        <f>M294+M309+M375+M349+M369</f>
        <v>1013854.1</v>
      </c>
      <c r="N293" s="137">
        <f>N294+N309+N375+N349+N369</f>
        <v>1000011.0999999999</v>
      </c>
      <c r="O293" s="387"/>
    </row>
    <row r="294" spans="1:15" s="355" customFormat="1" ht="18.75">
      <c r="A294" s="122"/>
      <c r="B294" s="135" t="s">
        <v>203</v>
      </c>
      <c r="C294" s="136" t="s">
        <v>609</v>
      </c>
      <c r="D294" s="121" t="s">
        <v>246</v>
      </c>
      <c r="E294" s="121" t="s">
        <v>57</v>
      </c>
      <c r="F294" s="734"/>
      <c r="G294" s="735"/>
      <c r="H294" s="735"/>
      <c r="I294" s="736"/>
      <c r="J294" s="121"/>
      <c r="K294" s="713">
        <f>K295+K304</f>
        <v>311662.7</v>
      </c>
      <c r="L294" s="137">
        <f>L295+L304</f>
        <v>0</v>
      </c>
      <c r="M294" s="137">
        <f>M295+M304</f>
        <v>311662.7</v>
      </c>
      <c r="N294" s="137">
        <f>N295+N304</f>
        <v>310578.99999999994</v>
      </c>
    </row>
    <row r="295" spans="1:15" s="355" customFormat="1" ht="56.25">
      <c r="A295" s="122"/>
      <c r="B295" s="135" t="s">
        <v>227</v>
      </c>
      <c r="C295" s="136" t="s">
        <v>609</v>
      </c>
      <c r="D295" s="121" t="s">
        <v>246</v>
      </c>
      <c r="E295" s="121" t="s">
        <v>57</v>
      </c>
      <c r="F295" s="734" t="s">
        <v>59</v>
      </c>
      <c r="G295" s="735" t="s">
        <v>62</v>
      </c>
      <c r="H295" s="735" t="s">
        <v>63</v>
      </c>
      <c r="I295" s="736" t="s">
        <v>64</v>
      </c>
      <c r="J295" s="121"/>
      <c r="K295" s="713">
        <f t="shared" ref="K295:N296" si="53">K296</f>
        <v>310346.8</v>
      </c>
      <c r="L295" s="137">
        <f t="shared" si="53"/>
        <v>0</v>
      </c>
      <c r="M295" s="137">
        <f t="shared" si="53"/>
        <v>310346.8</v>
      </c>
      <c r="N295" s="137">
        <f t="shared" si="53"/>
        <v>309950.69999999995</v>
      </c>
    </row>
    <row r="296" spans="1:15" s="355" customFormat="1" ht="37.5">
      <c r="A296" s="122"/>
      <c r="B296" s="135" t="s">
        <v>228</v>
      </c>
      <c r="C296" s="136" t="s">
        <v>609</v>
      </c>
      <c r="D296" s="121" t="s">
        <v>246</v>
      </c>
      <c r="E296" s="121" t="s">
        <v>57</v>
      </c>
      <c r="F296" s="734" t="s">
        <v>59</v>
      </c>
      <c r="G296" s="735" t="s">
        <v>65</v>
      </c>
      <c r="H296" s="735" t="s">
        <v>63</v>
      </c>
      <c r="I296" s="736" t="s">
        <v>64</v>
      </c>
      <c r="J296" s="121"/>
      <c r="K296" s="713">
        <f>K297</f>
        <v>310346.8</v>
      </c>
      <c r="L296" s="137">
        <f>L297</f>
        <v>0</v>
      </c>
      <c r="M296" s="137">
        <f>M297</f>
        <v>310346.8</v>
      </c>
      <c r="N296" s="137">
        <f t="shared" si="53"/>
        <v>309950.69999999995</v>
      </c>
    </row>
    <row r="297" spans="1:15" s="355" customFormat="1" ht="37.5">
      <c r="A297" s="122"/>
      <c r="B297" s="135" t="s">
        <v>307</v>
      </c>
      <c r="C297" s="136" t="s">
        <v>609</v>
      </c>
      <c r="D297" s="121" t="s">
        <v>246</v>
      </c>
      <c r="E297" s="121" t="s">
        <v>57</v>
      </c>
      <c r="F297" s="734" t="s">
        <v>59</v>
      </c>
      <c r="G297" s="735" t="s">
        <v>65</v>
      </c>
      <c r="H297" s="735" t="s">
        <v>57</v>
      </c>
      <c r="I297" s="736" t="s">
        <v>64</v>
      </c>
      <c r="J297" s="121"/>
      <c r="K297" s="713">
        <f>K300+K302+K298</f>
        <v>310346.8</v>
      </c>
      <c r="L297" s="137">
        <f>L300+L302+L298</f>
        <v>0</v>
      </c>
      <c r="M297" s="137">
        <f>M300+M302+M298</f>
        <v>310346.8</v>
      </c>
      <c r="N297" s="137">
        <f>N300+N302+N298</f>
        <v>309950.69999999995</v>
      </c>
    </row>
    <row r="298" spans="1:15" s="351" customFormat="1" ht="56.25">
      <c r="A298" s="122"/>
      <c r="B298" s="274" t="s">
        <v>795</v>
      </c>
      <c r="C298" s="136" t="s">
        <v>609</v>
      </c>
      <c r="D298" s="121" t="s">
        <v>246</v>
      </c>
      <c r="E298" s="121" t="s">
        <v>57</v>
      </c>
      <c r="F298" s="734" t="s">
        <v>59</v>
      </c>
      <c r="G298" s="735" t="s">
        <v>65</v>
      </c>
      <c r="H298" s="735" t="s">
        <v>57</v>
      </c>
      <c r="I298" s="736" t="s">
        <v>112</v>
      </c>
      <c r="J298" s="121"/>
      <c r="K298" s="713">
        <f>K299</f>
        <v>97128.3</v>
      </c>
      <c r="L298" s="137">
        <f>L299</f>
        <v>0</v>
      </c>
      <c r="M298" s="137">
        <f>M299</f>
        <v>97128.3</v>
      </c>
      <c r="N298" s="137">
        <f>N299</f>
        <v>96714.1</v>
      </c>
    </row>
    <row r="299" spans="1:15" s="351" customFormat="1" ht="56.25">
      <c r="A299" s="122"/>
      <c r="B299" s="135" t="s">
        <v>97</v>
      </c>
      <c r="C299" s="136" t="s">
        <v>609</v>
      </c>
      <c r="D299" s="121" t="s">
        <v>246</v>
      </c>
      <c r="E299" s="121" t="s">
        <v>57</v>
      </c>
      <c r="F299" s="734" t="s">
        <v>59</v>
      </c>
      <c r="G299" s="735" t="s">
        <v>65</v>
      </c>
      <c r="H299" s="735" t="s">
        <v>57</v>
      </c>
      <c r="I299" s="736" t="s">
        <v>112</v>
      </c>
      <c r="J299" s="121" t="s">
        <v>98</v>
      </c>
      <c r="K299" s="713">
        <v>97128.3</v>
      </c>
      <c r="L299" s="137">
        <f>M299-K299</f>
        <v>0</v>
      </c>
      <c r="M299" s="137">
        <v>97128.3</v>
      </c>
      <c r="N299" s="137">
        <v>96714.1</v>
      </c>
    </row>
    <row r="300" spans="1:15" s="355" customFormat="1" ht="18.75">
      <c r="A300" s="122"/>
      <c r="B300" s="135" t="s">
        <v>308</v>
      </c>
      <c r="C300" s="136" t="s">
        <v>609</v>
      </c>
      <c r="D300" s="121" t="s">
        <v>246</v>
      </c>
      <c r="E300" s="121" t="s">
        <v>57</v>
      </c>
      <c r="F300" s="734" t="s">
        <v>59</v>
      </c>
      <c r="G300" s="735" t="s">
        <v>65</v>
      </c>
      <c r="H300" s="735" t="s">
        <v>57</v>
      </c>
      <c r="I300" s="736" t="s">
        <v>309</v>
      </c>
      <c r="J300" s="121"/>
      <c r="K300" s="713">
        <f>K301</f>
        <v>520.70000000000005</v>
      </c>
      <c r="L300" s="137">
        <f>L301</f>
        <v>0</v>
      </c>
      <c r="M300" s="137">
        <f>M301</f>
        <v>520.70000000000005</v>
      </c>
      <c r="N300" s="137">
        <f>N301</f>
        <v>538.79999999999995</v>
      </c>
    </row>
    <row r="301" spans="1:15" s="355" customFormat="1" ht="56.25">
      <c r="A301" s="122"/>
      <c r="B301" s="135" t="s">
        <v>97</v>
      </c>
      <c r="C301" s="136" t="s">
        <v>609</v>
      </c>
      <c r="D301" s="121" t="s">
        <v>246</v>
      </c>
      <c r="E301" s="121" t="s">
        <v>57</v>
      </c>
      <c r="F301" s="734" t="s">
        <v>59</v>
      </c>
      <c r="G301" s="735" t="s">
        <v>65</v>
      </c>
      <c r="H301" s="735" t="s">
        <v>57</v>
      </c>
      <c r="I301" s="736" t="s">
        <v>309</v>
      </c>
      <c r="J301" s="121" t="s">
        <v>98</v>
      </c>
      <c r="K301" s="713">
        <v>520.70000000000005</v>
      </c>
      <c r="L301" s="137">
        <f>M301-K301</f>
        <v>0</v>
      </c>
      <c r="M301" s="137">
        <v>520.70000000000005</v>
      </c>
      <c r="N301" s="137">
        <v>538.79999999999995</v>
      </c>
    </row>
    <row r="302" spans="1:15" s="355" customFormat="1" ht="131.25">
      <c r="A302" s="122"/>
      <c r="B302" s="135" t="s">
        <v>415</v>
      </c>
      <c r="C302" s="136" t="s">
        <v>609</v>
      </c>
      <c r="D302" s="121" t="s">
        <v>246</v>
      </c>
      <c r="E302" s="121" t="s">
        <v>57</v>
      </c>
      <c r="F302" s="734" t="s">
        <v>59</v>
      </c>
      <c r="G302" s="735" t="s">
        <v>65</v>
      </c>
      <c r="H302" s="735" t="s">
        <v>57</v>
      </c>
      <c r="I302" s="736" t="s">
        <v>310</v>
      </c>
      <c r="J302" s="121"/>
      <c r="K302" s="713">
        <f>K303</f>
        <v>212697.8</v>
      </c>
      <c r="L302" s="137">
        <f>L303</f>
        <v>0</v>
      </c>
      <c r="M302" s="137">
        <f>M303</f>
        <v>212697.8</v>
      </c>
      <c r="N302" s="137">
        <f>N303</f>
        <v>212697.8</v>
      </c>
    </row>
    <row r="303" spans="1:15" s="355" customFormat="1" ht="56.25">
      <c r="A303" s="122"/>
      <c r="B303" s="135" t="s">
        <v>97</v>
      </c>
      <c r="C303" s="136" t="s">
        <v>609</v>
      </c>
      <c r="D303" s="121" t="s">
        <v>246</v>
      </c>
      <c r="E303" s="121" t="s">
        <v>57</v>
      </c>
      <c r="F303" s="734" t="s">
        <v>59</v>
      </c>
      <c r="G303" s="735" t="s">
        <v>65</v>
      </c>
      <c r="H303" s="735" t="s">
        <v>57</v>
      </c>
      <c r="I303" s="736" t="s">
        <v>310</v>
      </c>
      <c r="J303" s="121" t="s">
        <v>98</v>
      </c>
      <c r="K303" s="713">
        <v>212697.8</v>
      </c>
      <c r="L303" s="137">
        <f>M303-K303</f>
        <v>0</v>
      </c>
      <c r="M303" s="137">
        <v>212697.8</v>
      </c>
      <c r="N303" s="137">
        <v>212697.8</v>
      </c>
    </row>
    <row r="304" spans="1:15" s="355" customFormat="1" ht="60" customHeight="1">
      <c r="A304" s="122"/>
      <c r="B304" s="135" t="s">
        <v>101</v>
      </c>
      <c r="C304" s="136" t="s">
        <v>609</v>
      </c>
      <c r="D304" s="121" t="s">
        <v>246</v>
      </c>
      <c r="E304" s="121" t="s">
        <v>57</v>
      </c>
      <c r="F304" s="734" t="s">
        <v>102</v>
      </c>
      <c r="G304" s="735" t="s">
        <v>62</v>
      </c>
      <c r="H304" s="735" t="s">
        <v>63</v>
      </c>
      <c r="I304" s="736" t="s">
        <v>64</v>
      </c>
      <c r="J304" s="121"/>
      <c r="K304" s="713">
        <f t="shared" ref="K304:N307" si="54">K305</f>
        <v>1315.9</v>
      </c>
      <c r="L304" s="137">
        <f t="shared" si="54"/>
        <v>0</v>
      </c>
      <c r="M304" s="137">
        <f t="shared" si="54"/>
        <v>1315.9</v>
      </c>
      <c r="N304" s="137">
        <f>N305</f>
        <v>628.29999999999995</v>
      </c>
    </row>
    <row r="305" spans="1:14" s="355" customFormat="1" ht="37.5">
      <c r="A305" s="122"/>
      <c r="B305" s="135" t="s">
        <v>146</v>
      </c>
      <c r="C305" s="136" t="s">
        <v>609</v>
      </c>
      <c r="D305" s="121" t="s">
        <v>246</v>
      </c>
      <c r="E305" s="121" t="s">
        <v>57</v>
      </c>
      <c r="F305" s="734" t="s">
        <v>102</v>
      </c>
      <c r="G305" s="735" t="s">
        <v>110</v>
      </c>
      <c r="H305" s="735" t="s">
        <v>63</v>
      </c>
      <c r="I305" s="736" t="s">
        <v>64</v>
      </c>
      <c r="J305" s="121"/>
      <c r="K305" s="713">
        <f t="shared" si="54"/>
        <v>1315.9</v>
      </c>
      <c r="L305" s="137">
        <f t="shared" si="54"/>
        <v>0</v>
      </c>
      <c r="M305" s="137">
        <f t="shared" si="54"/>
        <v>1315.9</v>
      </c>
      <c r="N305" s="137">
        <f t="shared" si="54"/>
        <v>628.29999999999995</v>
      </c>
    </row>
    <row r="306" spans="1:14" s="355" customFormat="1" ht="41.25" customHeight="1">
      <c r="A306" s="122"/>
      <c r="B306" s="135" t="s">
        <v>311</v>
      </c>
      <c r="C306" s="136" t="s">
        <v>609</v>
      </c>
      <c r="D306" s="121" t="s">
        <v>246</v>
      </c>
      <c r="E306" s="121" t="s">
        <v>57</v>
      </c>
      <c r="F306" s="734" t="s">
        <v>102</v>
      </c>
      <c r="G306" s="735" t="s">
        <v>110</v>
      </c>
      <c r="H306" s="735" t="s">
        <v>57</v>
      </c>
      <c r="I306" s="736" t="s">
        <v>64</v>
      </c>
      <c r="J306" s="121"/>
      <c r="K306" s="713">
        <f t="shared" si="54"/>
        <v>1315.9</v>
      </c>
      <c r="L306" s="137">
        <f t="shared" si="54"/>
        <v>0</v>
      </c>
      <c r="M306" s="137">
        <f t="shared" si="54"/>
        <v>1315.9</v>
      </c>
      <c r="N306" s="137">
        <f t="shared" si="54"/>
        <v>628.29999999999995</v>
      </c>
    </row>
    <row r="307" spans="1:14" s="355" customFormat="1" ht="18.75">
      <c r="A307" s="122"/>
      <c r="B307" s="135" t="s">
        <v>684</v>
      </c>
      <c r="C307" s="136" t="s">
        <v>609</v>
      </c>
      <c r="D307" s="121" t="s">
        <v>246</v>
      </c>
      <c r="E307" s="121" t="s">
        <v>57</v>
      </c>
      <c r="F307" s="734" t="s">
        <v>102</v>
      </c>
      <c r="G307" s="735" t="s">
        <v>110</v>
      </c>
      <c r="H307" s="735" t="s">
        <v>57</v>
      </c>
      <c r="I307" s="736" t="s">
        <v>685</v>
      </c>
      <c r="J307" s="121"/>
      <c r="K307" s="713">
        <f t="shared" si="54"/>
        <v>1315.9</v>
      </c>
      <c r="L307" s="137">
        <f t="shared" si="54"/>
        <v>0</v>
      </c>
      <c r="M307" s="137">
        <f t="shared" si="54"/>
        <v>1315.9</v>
      </c>
      <c r="N307" s="137">
        <f t="shared" si="54"/>
        <v>628.29999999999995</v>
      </c>
    </row>
    <row r="308" spans="1:14" s="355" customFormat="1" ht="56.25">
      <c r="A308" s="122"/>
      <c r="B308" s="135" t="s">
        <v>97</v>
      </c>
      <c r="C308" s="136" t="s">
        <v>609</v>
      </c>
      <c r="D308" s="121" t="s">
        <v>246</v>
      </c>
      <c r="E308" s="121" t="s">
        <v>57</v>
      </c>
      <c r="F308" s="734" t="s">
        <v>102</v>
      </c>
      <c r="G308" s="735" t="s">
        <v>110</v>
      </c>
      <c r="H308" s="735" t="s">
        <v>57</v>
      </c>
      <c r="I308" s="736" t="s">
        <v>685</v>
      </c>
      <c r="J308" s="121" t="s">
        <v>98</v>
      </c>
      <c r="K308" s="713">
        <v>1315.9</v>
      </c>
      <c r="L308" s="137">
        <f>M308-K308</f>
        <v>0</v>
      </c>
      <c r="M308" s="137">
        <v>1315.9</v>
      </c>
      <c r="N308" s="137">
        <v>628.29999999999995</v>
      </c>
    </row>
    <row r="309" spans="1:14" s="355" customFormat="1" ht="18.75">
      <c r="A309" s="122"/>
      <c r="B309" s="135" t="s">
        <v>205</v>
      </c>
      <c r="C309" s="136" t="s">
        <v>609</v>
      </c>
      <c r="D309" s="121" t="s">
        <v>246</v>
      </c>
      <c r="E309" s="121" t="s">
        <v>59</v>
      </c>
      <c r="F309" s="734"/>
      <c r="G309" s="735"/>
      <c r="H309" s="735"/>
      <c r="I309" s="736"/>
      <c r="J309" s="121"/>
      <c r="K309" s="713">
        <f>K310+K343</f>
        <v>577408.29999999993</v>
      </c>
      <c r="L309" s="137">
        <f>L310+L343</f>
        <v>0</v>
      </c>
      <c r="M309" s="137">
        <f>M310+M343</f>
        <v>577408.29999999993</v>
      </c>
      <c r="N309" s="137">
        <f>N310+N343</f>
        <v>563979.39999999991</v>
      </c>
    </row>
    <row r="310" spans="1:14" s="355" customFormat="1" ht="56.25">
      <c r="A310" s="122"/>
      <c r="B310" s="135" t="s">
        <v>227</v>
      </c>
      <c r="C310" s="136" t="s">
        <v>609</v>
      </c>
      <c r="D310" s="121" t="s">
        <v>246</v>
      </c>
      <c r="E310" s="121" t="s">
        <v>59</v>
      </c>
      <c r="F310" s="734" t="s">
        <v>59</v>
      </c>
      <c r="G310" s="735" t="s">
        <v>62</v>
      </c>
      <c r="H310" s="735" t="s">
        <v>63</v>
      </c>
      <c r="I310" s="736" t="s">
        <v>64</v>
      </c>
      <c r="J310" s="121"/>
      <c r="K310" s="713">
        <f>K311+K338</f>
        <v>570154.1</v>
      </c>
      <c r="L310" s="137">
        <f>L311+L338</f>
        <v>0</v>
      </c>
      <c r="M310" s="137">
        <f>M311+M338</f>
        <v>570154.1</v>
      </c>
      <c r="N310" s="137">
        <f>N311+N338</f>
        <v>563979.39999999991</v>
      </c>
    </row>
    <row r="311" spans="1:14" s="355" customFormat="1" ht="37.5">
      <c r="A311" s="122"/>
      <c r="B311" s="135" t="s">
        <v>228</v>
      </c>
      <c r="C311" s="136" t="s">
        <v>609</v>
      </c>
      <c r="D311" s="121" t="s">
        <v>246</v>
      </c>
      <c r="E311" s="121" t="s">
        <v>59</v>
      </c>
      <c r="F311" s="734" t="s">
        <v>59</v>
      </c>
      <c r="G311" s="735" t="s">
        <v>65</v>
      </c>
      <c r="H311" s="735" t="s">
        <v>63</v>
      </c>
      <c r="I311" s="736" t="s">
        <v>64</v>
      </c>
      <c r="J311" s="121"/>
      <c r="K311" s="713">
        <f>K312</f>
        <v>567796.1</v>
      </c>
      <c r="L311" s="137">
        <f>L312</f>
        <v>0</v>
      </c>
      <c r="M311" s="137">
        <f>M312</f>
        <v>567796.1</v>
      </c>
      <c r="N311" s="137">
        <f>N312</f>
        <v>561621.39999999991</v>
      </c>
    </row>
    <row r="312" spans="1:14" s="355" customFormat="1" ht="18.75">
      <c r="A312" s="122"/>
      <c r="B312" s="135" t="s">
        <v>312</v>
      </c>
      <c r="C312" s="136" t="s">
        <v>609</v>
      </c>
      <c r="D312" s="121" t="s">
        <v>246</v>
      </c>
      <c r="E312" s="121" t="s">
        <v>59</v>
      </c>
      <c r="F312" s="734" t="s">
        <v>59</v>
      </c>
      <c r="G312" s="735" t="s">
        <v>65</v>
      </c>
      <c r="H312" s="735" t="s">
        <v>59</v>
      </c>
      <c r="I312" s="736" t="s">
        <v>64</v>
      </c>
      <c r="J312" s="121"/>
      <c r="K312" s="713">
        <f>K324+K328+K332+K313+K318+K335+K321</f>
        <v>567796.1</v>
      </c>
      <c r="L312" s="137">
        <f>L324+L328+L332+L313+L318+L335+L321</f>
        <v>0</v>
      </c>
      <c r="M312" s="137">
        <f>M324+M328+M332+M313+M318+M335+M321</f>
        <v>567796.1</v>
      </c>
      <c r="N312" s="137">
        <f>N324+N328+N332+N313+N318+N335+N321</f>
        <v>561621.39999999991</v>
      </c>
    </row>
    <row r="313" spans="1:14" s="351" customFormat="1" ht="56.25">
      <c r="A313" s="122"/>
      <c r="B313" s="274" t="s">
        <v>795</v>
      </c>
      <c r="C313" s="136" t="s">
        <v>609</v>
      </c>
      <c r="D313" s="121" t="s">
        <v>246</v>
      </c>
      <c r="E313" s="121" t="s">
        <v>59</v>
      </c>
      <c r="F313" s="734" t="s">
        <v>59</v>
      </c>
      <c r="G313" s="735" t="s">
        <v>65</v>
      </c>
      <c r="H313" s="735" t="s">
        <v>59</v>
      </c>
      <c r="I313" s="736" t="s">
        <v>112</v>
      </c>
      <c r="J313" s="121"/>
      <c r="K313" s="713">
        <f>K316+K317+K315+K314</f>
        <v>59981.899999999994</v>
      </c>
      <c r="L313" s="137">
        <f>L316+L317+L315+L314</f>
        <v>0</v>
      </c>
      <c r="M313" s="137">
        <f>M316+M317+M315+M314</f>
        <v>59981.899999999994</v>
      </c>
      <c r="N313" s="137">
        <f>N316+N317+N315+N314</f>
        <v>59681.7</v>
      </c>
    </row>
    <row r="314" spans="1:14" s="351" customFormat="1" ht="112.5">
      <c r="A314" s="122"/>
      <c r="B314" s="135" t="s">
        <v>69</v>
      </c>
      <c r="C314" s="136" t="s">
        <v>609</v>
      </c>
      <c r="D314" s="121" t="s">
        <v>246</v>
      </c>
      <c r="E314" s="121" t="s">
        <v>59</v>
      </c>
      <c r="F314" s="734" t="s">
        <v>59</v>
      </c>
      <c r="G314" s="735" t="s">
        <v>65</v>
      </c>
      <c r="H314" s="735" t="s">
        <v>59</v>
      </c>
      <c r="I314" s="736" t="s">
        <v>112</v>
      </c>
      <c r="J314" s="121" t="s">
        <v>70</v>
      </c>
      <c r="K314" s="713">
        <v>899.4</v>
      </c>
      <c r="L314" s="137">
        <f>M314-K314</f>
        <v>0</v>
      </c>
      <c r="M314" s="137">
        <v>899.4</v>
      </c>
      <c r="N314" s="137">
        <v>899.4</v>
      </c>
    </row>
    <row r="315" spans="1:14" s="351" customFormat="1" ht="56.25">
      <c r="A315" s="122"/>
      <c r="B315" s="135" t="s">
        <v>75</v>
      </c>
      <c r="C315" s="136" t="s">
        <v>609</v>
      </c>
      <c r="D315" s="121" t="s">
        <v>246</v>
      </c>
      <c r="E315" s="121" t="s">
        <v>59</v>
      </c>
      <c r="F315" s="734" t="s">
        <v>59</v>
      </c>
      <c r="G315" s="735" t="s">
        <v>65</v>
      </c>
      <c r="H315" s="735" t="s">
        <v>59</v>
      </c>
      <c r="I315" s="736" t="s">
        <v>112</v>
      </c>
      <c r="J315" s="121" t="s">
        <v>76</v>
      </c>
      <c r="K315" s="713">
        <v>3918.2</v>
      </c>
      <c r="L315" s="137">
        <f>M315-K315</f>
        <v>0</v>
      </c>
      <c r="M315" s="137">
        <v>3918.2</v>
      </c>
      <c r="N315" s="137">
        <v>3924.6</v>
      </c>
    </row>
    <row r="316" spans="1:14" s="351" customFormat="1" ht="56.25">
      <c r="A316" s="122"/>
      <c r="B316" s="135" t="s">
        <v>97</v>
      </c>
      <c r="C316" s="136" t="s">
        <v>609</v>
      </c>
      <c r="D316" s="121" t="s">
        <v>246</v>
      </c>
      <c r="E316" s="121" t="s">
        <v>59</v>
      </c>
      <c r="F316" s="734" t="s">
        <v>59</v>
      </c>
      <c r="G316" s="735" t="s">
        <v>65</v>
      </c>
      <c r="H316" s="735" t="s">
        <v>59</v>
      </c>
      <c r="I316" s="736" t="s">
        <v>112</v>
      </c>
      <c r="J316" s="121" t="s">
        <v>98</v>
      </c>
      <c r="K316" s="713">
        <f>54476.6+69.7</f>
        <v>54546.299999999996</v>
      </c>
      <c r="L316" s="137">
        <f>M316-K316</f>
        <v>0</v>
      </c>
      <c r="M316" s="137">
        <f>54476.6+69.7</f>
        <v>54546.299999999996</v>
      </c>
      <c r="N316" s="137">
        <f>55945.7-1695.1</f>
        <v>54250.6</v>
      </c>
    </row>
    <row r="317" spans="1:14" s="351" customFormat="1" ht="18.75">
      <c r="A317" s="122"/>
      <c r="B317" s="135" t="s">
        <v>77</v>
      </c>
      <c r="C317" s="136" t="s">
        <v>609</v>
      </c>
      <c r="D317" s="121" t="s">
        <v>246</v>
      </c>
      <c r="E317" s="121" t="s">
        <v>59</v>
      </c>
      <c r="F317" s="734" t="s">
        <v>59</v>
      </c>
      <c r="G317" s="735" t="s">
        <v>65</v>
      </c>
      <c r="H317" s="735" t="s">
        <v>59</v>
      </c>
      <c r="I317" s="736" t="s">
        <v>112</v>
      </c>
      <c r="J317" s="121" t="s">
        <v>78</v>
      </c>
      <c r="K317" s="713">
        <v>618</v>
      </c>
      <c r="L317" s="137">
        <f>M317-K317</f>
        <v>0</v>
      </c>
      <c r="M317" s="137">
        <v>618</v>
      </c>
      <c r="N317" s="137">
        <v>607.1</v>
      </c>
    </row>
    <row r="318" spans="1:14" s="351" customFormat="1" ht="37.5">
      <c r="A318" s="122"/>
      <c r="B318" s="135" t="s">
        <v>230</v>
      </c>
      <c r="C318" s="136" t="s">
        <v>609</v>
      </c>
      <c r="D318" s="121" t="s">
        <v>246</v>
      </c>
      <c r="E318" s="121" t="s">
        <v>59</v>
      </c>
      <c r="F318" s="734" t="s">
        <v>59</v>
      </c>
      <c r="G318" s="735" t="s">
        <v>65</v>
      </c>
      <c r="H318" s="735" t="s">
        <v>59</v>
      </c>
      <c r="I318" s="736" t="s">
        <v>314</v>
      </c>
      <c r="J318" s="121"/>
      <c r="K318" s="713">
        <f>K319+K320</f>
        <v>4527.3999999999996</v>
      </c>
      <c r="L318" s="137">
        <f>L319+L320</f>
        <v>0</v>
      </c>
      <c r="M318" s="137">
        <f>M319+M320</f>
        <v>4527.3999999999996</v>
      </c>
      <c r="N318" s="137">
        <f>N319+N320</f>
        <v>0</v>
      </c>
    </row>
    <row r="319" spans="1:14" s="351" customFormat="1" ht="56.25">
      <c r="A319" s="122"/>
      <c r="B319" s="135" t="s">
        <v>75</v>
      </c>
      <c r="C319" s="136" t="s">
        <v>609</v>
      </c>
      <c r="D319" s="121" t="s">
        <v>246</v>
      </c>
      <c r="E319" s="121" t="s">
        <v>59</v>
      </c>
      <c r="F319" s="734" t="s">
        <v>59</v>
      </c>
      <c r="G319" s="735" t="s">
        <v>65</v>
      </c>
      <c r="H319" s="735" t="s">
        <v>59</v>
      </c>
      <c r="I319" s="736" t="s">
        <v>314</v>
      </c>
      <c r="J319" s="121" t="s">
        <v>76</v>
      </c>
      <c r="K319" s="713">
        <v>178</v>
      </c>
      <c r="L319" s="137">
        <f>M319-K319</f>
        <v>0</v>
      </c>
      <c r="M319" s="137">
        <v>178</v>
      </c>
      <c r="N319" s="137">
        <v>0</v>
      </c>
    </row>
    <row r="320" spans="1:14" s="351" customFormat="1" ht="56.25">
      <c r="A320" s="122"/>
      <c r="B320" s="135" t="s">
        <v>97</v>
      </c>
      <c r="C320" s="136" t="s">
        <v>609</v>
      </c>
      <c r="D320" s="121" t="s">
        <v>246</v>
      </c>
      <c r="E320" s="121" t="s">
        <v>59</v>
      </c>
      <c r="F320" s="734" t="s">
        <v>59</v>
      </c>
      <c r="G320" s="735" t="s">
        <v>65</v>
      </c>
      <c r="H320" s="735" t="s">
        <v>59</v>
      </c>
      <c r="I320" s="736" t="s">
        <v>314</v>
      </c>
      <c r="J320" s="121" t="s">
        <v>98</v>
      </c>
      <c r="K320" s="713">
        <v>4349.3999999999996</v>
      </c>
      <c r="L320" s="137">
        <f>M320-K320</f>
        <v>0</v>
      </c>
      <c r="M320" s="137">
        <v>4349.3999999999996</v>
      </c>
      <c r="N320" s="137">
        <v>0</v>
      </c>
    </row>
    <row r="321" spans="1:14" s="351" customFormat="1" ht="93.75">
      <c r="A321" s="122"/>
      <c r="B321" s="135" t="s">
        <v>889</v>
      </c>
      <c r="C321" s="136" t="s">
        <v>609</v>
      </c>
      <c r="D321" s="121" t="s">
        <v>246</v>
      </c>
      <c r="E321" s="121" t="s">
        <v>59</v>
      </c>
      <c r="F321" s="734" t="s">
        <v>59</v>
      </c>
      <c r="G321" s="735" t="s">
        <v>65</v>
      </c>
      <c r="H321" s="735" t="s">
        <v>59</v>
      </c>
      <c r="I321" s="736" t="s">
        <v>888</v>
      </c>
      <c r="J321" s="121"/>
      <c r="K321" s="713">
        <f>K322+K323</f>
        <v>36560.199999999997</v>
      </c>
      <c r="L321" s="137">
        <f>L322+L323</f>
        <v>0</v>
      </c>
      <c r="M321" s="137">
        <f>M322+M323</f>
        <v>36560.199999999997</v>
      </c>
      <c r="N321" s="137">
        <f>N322+N323</f>
        <v>36560.199999999997</v>
      </c>
    </row>
    <row r="322" spans="1:14" s="351" customFormat="1" ht="112.5">
      <c r="A322" s="122"/>
      <c r="B322" s="135" t="s">
        <v>69</v>
      </c>
      <c r="C322" s="136" t="s">
        <v>609</v>
      </c>
      <c r="D322" s="121" t="s">
        <v>246</v>
      </c>
      <c r="E322" s="121" t="s">
        <v>59</v>
      </c>
      <c r="F322" s="734" t="s">
        <v>59</v>
      </c>
      <c r="G322" s="735" t="s">
        <v>65</v>
      </c>
      <c r="H322" s="735" t="s">
        <v>59</v>
      </c>
      <c r="I322" s="736" t="s">
        <v>888</v>
      </c>
      <c r="J322" s="121" t="s">
        <v>70</v>
      </c>
      <c r="K322" s="713">
        <v>2968.6</v>
      </c>
      <c r="L322" s="137">
        <f>M322-K322</f>
        <v>0</v>
      </c>
      <c r="M322" s="137">
        <v>2968.6</v>
      </c>
      <c r="N322" s="137">
        <v>2968.6</v>
      </c>
    </row>
    <row r="323" spans="1:14" s="351" customFormat="1" ht="56.25">
      <c r="A323" s="122"/>
      <c r="B323" s="135" t="s">
        <v>97</v>
      </c>
      <c r="C323" s="136" t="s">
        <v>609</v>
      </c>
      <c r="D323" s="121" t="s">
        <v>246</v>
      </c>
      <c r="E323" s="121" t="s">
        <v>59</v>
      </c>
      <c r="F323" s="734" t="s">
        <v>59</v>
      </c>
      <c r="G323" s="735" t="s">
        <v>65</v>
      </c>
      <c r="H323" s="735" t="s">
        <v>59</v>
      </c>
      <c r="I323" s="736" t="s">
        <v>888</v>
      </c>
      <c r="J323" s="121" t="s">
        <v>98</v>
      </c>
      <c r="K323" s="713">
        <v>33591.599999999999</v>
      </c>
      <c r="L323" s="137">
        <f>M323-K323</f>
        <v>0</v>
      </c>
      <c r="M323" s="137">
        <v>33591.599999999999</v>
      </c>
      <c r="N323" s="137">
        <v>33591.599999999999</v>
      </c>
    </row>
    <row r="324" spans="1:14" s="355" customFormat="1" ht="18.75">
      <c r="A324" s="122"/>
      <c r="B324" s="135" t="s">
        <v>308</v>
      </c>
      <c r="C324" s="136" t="s">
        <v>609</v>
      </c>
      <c r="D324" s="121" t="s">
        <v>246</v>
      </c>
      <c r="E324" s="121" t="s">
        <v>59</v>
      </c>
      <c r="F324" s="734" t="s">
        <v>59</v>
      </c>
      <c r="G324" s="735" t="s">
        <v>65</v>
      </c>
      <c r="H324" s="735" t="s">
        <v>59</v>
      </c>
      <c r="I324" s="736" t="s">
        <v>309</v>
      </c>
      <c r="J324" s="121"/>
      <c r="K324" s="713">
        <f>SUM(K325:K327)</f>
        <v>1632.2</v>
      </c>
      <c r="L324" s="137">
        <f>SUM(L325:L327)</f>
        <v>0</v>
      </c>
      <c r="M324" s="137">
        <f>SUM(M325:M327)</f>
        <v>1632.2</v>
      </c>
      <c r="N324" s="137">
        <f>SUM(N325:N327)</f>
        <v>1689.1000000000001</v>
      </c>
    </row>
    <row r="325" spans="1:14" s="355" customFormat="1" ht="112.5">
      <c r="A325" s="122"/>
      <c r="B325" s="135" t="s">
        <v>69</v>
      </c>
      <c r="C325" s="136" t="s">
        <v>609</v>
      </c>
      <c r="D325" s="121" t="s">
        <v>246</v>
      </c>
      <c r="E325" s="121" t="s">
        <v>59</v>
      </c>
      <c r="F325" s="734" t="s">
        <v>59</v>
      </c>
      <c r="G325" s="735" t="s">
        <v>65</v>
      </c>
      <c r="H325" s="735" t="s">
        <v>59</v>
      </c>
      <c r="I325" s="736" t="s">
        <v>309</v>
      </c>
      <c r="J325" s="121" t="s">
        <v>70</v>
      </c>
      <c r="K325" s="713">
        <v>115.8</v>
      </c>
      <c r="L325" s="137">
        <f>M325-K325</f>
        <v>0</v>
      </c>
      <c r="M325" s="137">
        <v>115.8</v>
      </c>
      <c r="N325" s="137">
        <v>115.8</v>
      </c>
    </row>
    <row r="326" spans="1:14" s="355" customFormat="1" ht="37.5">
      <c r="A326" s="122"/>
      <c r="B326" s="135" t="s">
        <v>141</v>
      </c>
      <c r="C326" s="136" t="s">
        <v>609</v>
      </c>
      <c r="D326" s="121" t="s">
        <v>246</v>
      </c>
      <c r="E326" s="121" t="s">
        <v>59</v>
      </c>
      <c r="F326" s="734" t="s">
        <v>59</v>
      </c>
      <c r="G326" s="735" t="s">
        <v>65</v>
      </c>
      <c r="H326" s="735" t="s">
        <v>59</v>
      </c>
      <c r="I326" s="736" t="s">
        <v>309</v>
      </c>
      <c r="J326" s="121" t="s">
        <v>142</v>
      </c>
      <c r="K326" s="713">
        <v>13.9</v>
      </c>
      <c r="L326" s="137">
        <f>M326-K326</f>
        <v>0</v>
      </c>
      <c r="M326" s="137">
        <v>13.9</v>
      </c>
      <c r="N326" s="137">
        <v>13.9</v>
      </c>
    </row>
    <row r="327" spans="1:14" s="355" customFormat="1" ht="56.25">
      <c r="A327" s="122"/>
      <c r="B327" s="135" t="s">
        <v>97</v>
      </c>
      <c r="C327" s="136" t="s">
        <v>609</v>
      </c>
      <c r="D327" s="121" t="s">
        <v>246</v>
      </c>
      <c r="E327" s="121" t="s">
        <v>59</v>
      </c>
      <c r="F327" s="734" t="s">
        <v>59</v>
      </c>
      <c r="G327" s="735" t="s">
        <v>65</v>
      </c>
      <c r="H327" s="735" t="s">
        <v>59</v>
      </c>
      <c r="I327" s="736" t="s">
        <v>309</v>
      </c>
      <c r="J327" s="121" t="s">
        <v>98</v>
      </c>
      <c r="K327" s="713">
        <v>1502.5</v>
      </c>
      <c r="L327" s="137">
        <f>M327-K327</f>
        <v>0</v>
      </c>
      <c r="M327" s="137">
        <v>1502.5</v>
      </c>
      <c r="N327" s="137">
        <v>1559.4</v>
      </c>
    </row>
    <row r="328" spans="1:14" s="355" customFormat="1" ht="131.25">
      <c r="A328" s="122"/>
      <c r="B328" s="135" t="s">
        <v>415</v>
      </c>
      <c r="C328" s="136" t="s">
        <v>609</v>
      </c>
      <c r="D328" s="121" t="s">
        <v>246</v>
      </c>
      <c r="E328" s="121" t="s">
        <v>59</v>
      </c>
      <c r="F328" s="734" t="s">
        <v>59</v>
      </c>
      <c r="G328" s="735" t="s">
        <v>65</v>
      </c>
      <c r="H328" s="735" t="s">
        <v>59</v>
      </c>
      <c r="I328" s="736" t="s">
        <v>310</v>
      </c>
      <c r="J328" s="121"/>
      <c r="K328" s="713">
        <f>K329+K330+K331</f>
        <v>404790.7</v>
      </c>
      <c r="L328" s="137">
        <f>L329+L330+L331</f>
        <v>0</v>
      </c>
      <c r="M328" s="137">
        <f>M329+M330+M331</f>
        <v>404790.7</v>
      </c>
      <c r="N328" s="137">
        <f>N329+N330+N331</f>
        <v>404790.7</v>
      </c>
    </row>
    <row r="329" spans="1:14" s="355" customFormat="1" ht="112.5">
      <c r="A329" s="122"/>
      <c r="B329" s="135" t="s">
        <v>69</v>
      </c>
      <c r="C329" s="136" t="s">
        <v>609</v>
      </c>
      <c r="D329" s="121" t="s">
        <v>246</v>
      </c>
      <c r="E329" s="121" t="s">
        <v>59</v>
      </c>
      <c r="F329" s="734" t="s">
        <v>59</v>
      </c>
      <c r="G329" s="735" t="s">
        <v>65</v>
      </c>
      <c r="H329" s="735" t="s">
        <v>59</v>
      </c>
      <c r="I329" s="736" t="s">
        <v>310</v>
      </c>
      <c r="J329" s="121" t="s">
        <v>70</v>
      </c>
      <c r="K329" s="713">
        <v>27962</v>
      </c>
      <c r="L329" s="137">
        <f>M329-K329</f>
        <v>0</v>
      </c>
      <c r="M329" s="137">
        <v>27962</v>
      </c>
      <c r="N329" s="137">
        <v>27962</v>
      </c>
    </row>
    <row r="330" spans="1:14" s="355" customFormat="1" ht="56.25">
      <c r="A330" s="122"/>
      <c r="B330" s="135" t="s">
        <v>75</v>
      </c>
      <c r="C330" s="136" t="s">
        <v>609</v>
      </c>
      <c r="D330" s="121" t="s">
        <v>246</v>
      </c>
      <c r="E330" s="121" t="s">
        <v>59</v>
      </c>
      <c r="F330" s="734" t="s">
        <v>59</v>
      </c>
      <c r="G330" s="735" t="s">
        <v>65</v>
      </c>
      <c r="H330" s="735" t="s">
        <v>59</v>
      </c>
      <c r="I330" s="736" t="s">
        <v>310</v>
      </c>
      <c r="J330" s="121" t="s">
        <v>76</v>
      </c>
      <c r="K330" s="713">
        <v>1898.4</v>
      </c>
      <c r="L330" s="137">
        <f>M330-K330</f>
        <v>0</v>
      </c>
      <c r="M330" s="137">
        <v>1898.4</v>
      </c>
      <c r="N330" s="137">
        <v>1898.4</v>
      </c>
    </row>
    <row r="331" spans="1:14" s="355" customFormat="1" ht="56.25">
      <c r="A331" s="122"/>
      <c r="B331" s="135" t="s">
        <v>97</v>
      </c>
      <c r="C331" s="136" t="s">
        <v>609</v>
      </c>
      <c r="D331" s="121" t="s">
        <v>246</v>
      </c>
      <c r="E331" s="121" t="s">
        <v>59</v>
      </c>
      <c r="F331" s="734" t="s">
        <v>59</v>
      </c>
      <c r="G331" s="735" t="s">
        <v>65</v>
      </c>
      <c r="H331" s="735" t="s">
        <v>59</v>
      </c>
      <c r="I331" s="736" t="s">
        <v>310</v>
      </c>
      <c r="J331" s="121" t="s">
        <v>98</v>
      </c>
      <c r="K331" s="713">
        <v>374930.3</v>
      </c>
      <c r="L331" s="137">
        <f>M331-K331</f>
        <v>0</v>
      </c>
      <c r="M331" s="137">
        <v>374930.3</v>
      </c>
      <c r="N331" s="137">
        <f>M331</f>
        <v>374930.3</v>
      </c>
    </row>
    <row r="332" spans="1:14" s="351" customFormat="1" ht="93.75">
      <c r="A332" s="122"/>
      <c r="B332" s="135" t="s">
        <v>231</v>
      </c>
      <c r="C332" s="136" t="s">
        <v>609</v>
      </c>
      <c r="D332" s="121" t="s">
        <v>246</v>
      </c>
      <c r="E332" s="121" t="s">
        <v>59</v>
      </c>
      <c r="F332" s="734" t="s">
        <v>59</v>
      </c>
      <c r="G332" s="735" t="s">
        <v>65</v>
      </c>
      <c r="H332" s="735" t="s">
        <v>59</v>
      </c>
      <c r="I332" s="736" t="s">
        <v>315</v>
      </c>
      <c r="J332" s="121"/>
      <c r="K332" s="713">
        <f t="shared" ref="K332" si="55">SUM(K333:K334)</f>
        <v>2399</v>
      </c>
      <c r="L332" s="137">
        <f t="shared" ref="L332" si="56">SUM(L333:L334)</f>
        <v>0</v>
      </c>
      <c r="M332" s="137">
        <f t="shared" ref="M332:N332" si="57">SUM(M333:M334)</f>
        <v>2399</v>
      </c>
      <c r="N332" s="137">
        <f t="shared" si="57"/>
        <v>2399</v>
      </c>
    </row>
    <row r="333" spans="1:14" s="351" customFormat="1" ht="56.25">
      <c r="A333" s="122"/>
      <c r="B333" s="135" t="s">
        <v>75</v>
      </c>
      <c r="C333" s="136" t="s">
        <v>609</v>
      </c>
      <c r="D333" s="121" t="s">
        <v>246</v>
      </c>
      <c r="E333" s="121" t="s">
        <v>59</v>
      </c>
      <c r="F333" s="734" t="s">
        <v>59</v>
      </c>
      <c r="G333" s="735" t="s">
        <v>65</v>
      </c>
      <c r="H333" s="735" t="s">
        <v>59</v>
      </c>
      <c r="I333" s="736" t="s">
        <v>315</v>
      </c>
      <c r="J333" s="121" t="s">
        <v>76</v>
      </c>
      <c r="K333" s="713">
        <v>104.8</v>
      </c>
      <c r="L333" s="137">
        <f>M333-K333</f>
        <v>0</v>
      </c>
      <c r="M333" s="137">
        <v>104.8</v>
      </c>
      <c r="N333" s="137">
        <v>104.8</v>
      </c>
    </row>
    <row r="334" spans="1:14" s="351" customFormat="1" ht="56.25">
      <c r="A334" s="122"/>
      <c r="B334" s="135" t="s">
        <v>97</v>
      </c>
      <c r="C334" s="136" t="s">
        <v>609</v>
      </c>
      <c r="D334" s="121" t="s">
        <v>246</v>
      </c>
      <c r="E334" s="121" t="s">
        <v>59</v>
      </c>
      <c r="F334" s="734" t="s">
        <v>59</v>
      </c>
      <c r="G334" s="735" t="s">
        <v>65</v>
      </c>
      <c r="H334" s="735" t="s">
        <v>59</v>
      </c>
      <c r="I334" s="736" t="s">
        <v>315</v>
      </c>
      <c r="J334" s="121" t="s">
        <v>98</v>
      </c>
      <c r="K334" s="713">
        <v>2294.1999999999998</v>
      </c>
      <c r="L334" s="137">
        <f>M334-K334</f>
        <v>0</v>
      </c>
      <c r="M334" s="137">
        <v>2294.1999999999998</v>
      </c>
      <c r="N334" s="137">
        <v>2294.1999999999998</v>
      </c>
    </row>
    <row r="335" spans="1:14" s="351" customFormat="1" ht="72.75" customHeight="1">
      <c r="A335" s="122"/>
      <c r="B335" s="135" t="s">
        <v>765</v>
      </c>
      <c r="C335" s="136" t="s">
        <v>609</v>
      </c>
      <c r="D335" s="121" t="s">
        <v>246</v>
      </c>
      <c r="E335" s="121" t="s">
        <v>59</v>
      </c>
      <c r="F335" s="734" t="s">
        <v>59</v>
      </c>
      <c r="G335" s="735" t="s">
        <v>65</v>
      </c>
      <c r="H335" s="735" t="s">
        <v>59</v>
      </c>
      <c r="I335" s="736" t="s">
        <v>764</v>
      </c>
      <c r="J335" s="121"/>
      <c r="K335" s="713">
        <f>K336+K337</f>
        <v>57904.700000000004</v>
      </c>
      <c r="L335" s="137">
        <f>L336+L337</f>
        <v>0</v>
      </c>
      <c r="M335" s="137">
        <f>M336+M337</f>
        <v>57904.700000000004</v>
      </c>
      <c r="N335" s="137">
        <f>N336+N337</f>
        <v>56500.7</v>
      </c>
    </row>
    <row r="336" spans="1:14" s="351" customFormat="1" ht="56.25">
      <c r="A336" s="122"/>
      <c r="B336" s="135" t="s">
        <v>75</v>
      </c>
      <c r="C336" s="136" t="s">
        <v>609</v>
      </c>
      <c r="D336" s="121" t="s">
        <v>246</v>
      </c>
      <c r="E336" s="121" t="s">
        <v>59</v>
      </c>
      <c r="F336" s="734" t="s">
        <v>59</v>
      </c>
      <c r="G336" s="735" t="s">
        <v>65</v>
      </c>
      <c r="H336" s="735" t="s">
        <v>59</v>
      </c>
      <c r="I336" s="736" t="s">
        <v>764</v>
      </c>
      <c r="J336" s="121" t="s">
        <v>76</v>
      </c>
      <c r="K336" s="713">
        <v>1715.9</v>
      </c>
      <c r="L336" s="137">
        <f>M336-K336</f>
        <v>0</v>
      </c>
      <c r="M336" s="137">
        <v>1715.9</v>
      </c>
      <c r="N336" s="137">
        <v>1674.2</v>
      </c>
    </row>
    <row r="337" spans="1:17" s="351" customFormat="1" ht="56.25">
      <c r="A337" s="122"/>
      <c r="B337" s="135" t="s">
        <v>97</v>
      </c>
      <c r="C337" s="136" t="s">
        <v>609</v>
      </c>
      <c r="D337" s="121" t="s">
        <v>246</v>
      </c>
      <c r="E337" s="121" t="s">
        <v>59</v>
      </c>
      <c r="F337" s="734" t="s">
        <v>59</v>
      </c>
      <c r="G337" s="735" t="s">
        <v>65</v>
      </c>
      <c r="H337" s="735" t="s">
        <v>59</v>
      </c>
      <c r="I337" s="736" t="s">
        <v>764</v>
      </c>
      <c r="J337" s="121" t="s">
        <v>98</v>
      </c>
      <c r="K337" s="713">
        <v>56188.800000000003</v>
      </c>
      <c r="L337" s="137">
        <f>M337-K337</f>
        <v>0</v>
      </c>
      <c r="M337" s="137">
        <v>56188.800000000003</v>
      </c>
      <c r="N337" s="137">
        <v>54826.5</v>
      </c>
      <c r="Q337" s="439"/>
    </row>
    <row r="338" spans="1:17" s="355" customFormat="1" ht="56.25">
      <c r="A338" s="122"/>
      <c r="B338" s="135" t="s">
        <v>234</v>
      </c>
      <c r="C338" s="136" t="s">
        <v>609</v>
      </c>
      <c r="D338" s="121" t="s">
        <v>246</v>
      </c>
      <c r="E338" s="121" t="s">
        <v>59</v>
      </c>
      <c r="F338" s="734" t="s">
        <v>59</v>
      </c>
      <c r="G338" s="735" t="s">
        <v>50</v>
      </c>
      <c r="H338" s="735" t="s">
        <v>63</v>
      </c>
      <c r="I338" s="736" t="s">
        <v>64</v>
      </c>
      <c r="J338" s="121"/>
      <c r="K338" s="713">
        <f t="shared" ref="K338:N339" si="58">K339</f>
        <v>2358</v>
      </c>
      <c r="L338" s="137">
        <f t="shared" si="58"/>
        <v>0</v>
      </c>
      <c r="M338" s="137">
        <f t="shared" si="58"/>
        <v>2358</v>
      </c>
      <c r="N338" s="137">
        <f t="shared" si="58"/>
        <v>2358</v>
      </c>
    </row>
    <row r="339" spans="1:17" s="355" customFormat="1" ht="37.5">
      <c r="A339" s="122"/>
      <c r="B339" s="135" t="s">
        <v>322</v>
      </c>
      <c r="C339" s="136" t="s">
        <v>609</v>
      </c>
      <c r="D339" s="121" t="s">
        <v>246</v>
      </c>
      <c r="E339" s="121" t="s">
        <v>59</v>
      </c>
      <c r="F339" s="734" t="s">
        <v>59</v>
      </c>
      <c r="G339" s="735" t="s">
        <v>50</v>
      </c>
      <c r="H339" s="735" t="s">
        <v>57</v>
      </c>
      <c r="I339" s="736" t="s">
        <v>64</v>
      </c>
      <c r="J339" s="121"/>
      <c r="K339" s="713">
        <f t="shared" si="58"/>
        <v>2358</v>
      </c>
      <c r="L339" s="137">
        <f t="shared" si="58"/>
        <v>0</v>
      </c>
      <c r="M339" s="137">
        <f t="shared" si="58"/>
        <v>2358</v>
      </c>
      <c r="N339" s="137">
        <f t="shared" si="58"/>
        <v>2358</v>
      </c>
    </row>
    <row r="340" spans="1:17" s="355" customFormat="1" ht="213" customHeight="1">
      <c r="A340" s="122"/>
      <c r="B340" s="135" t="s">
        <v>693</v>
      </c>
      <c r="C340" s="136" t="s">
        <v>609</v>
      </c>
      <c r="D340" s="121" t="s">
        <v>246</v>
      </c>
      <c r="E340" s="121" t="s">
        <v>59</v>
      </c>
      <c r="F340" s="734" t="s">
        <v>59</v>
      </c>
      <c r="G340" s="735" t="s">
        <v>50</v>
      </c>
      <c r="H340" s="735" t="s">
        <v>57</v>
      </c>
      <c r="I340" s="736" t="s">
        <v>416</v>
      </c>
      <c r="J340" s="121"/>
      <c r="K340" s="713">
        <f>K342+K341</f>
        <v>2358</v>
      </c>
      <c r="L340" s="137">
        <f>L342+L341</f>
        <v>0</v>
      </c>
      <c r="M340" s="137">
        <f>M342+M341</f>
        <v>2358</v>
      </c>
      <c r="N340" s="137">
        <f>N342+N341</f>
        <v>2358</v>
      </c>
    </row>
    <row r="341" spans="1:17" s="355" customFormat="1" ht="112.5">
      <c r="A341" s="122"/>
      <c r="B341" s="135" t="s">
        <v>69</v>
      </c>
      <c r="C341" s="136" t="s">
        <v>609</v>
      </c>
      <c r="D341" s="121" t="s">
        <v>246</v>
      </c>
      <c r="E341" s="121" t="s">
        <v>59</v>
      </c>
      <c r="F341" s="734" t="s">
        <v>59</v>
      </c>
      <c r="G341" s="735" t="s">
        <v>50</v>
      </c>
      <c r="H341" s="735" t="s">
        <v>57</v>
      </c>
      <c r="I341" s="736" t="s">
        <v>416</v>
      </c>
      <c r="J341" s="121" t="s">
        <v>70</v>
      </c>
      <c r="K341" s="713">
        <v>29.8</v>
      </c>
      <c r="L341" s="137">
        <f>M341-K341</f>
        <v>0</v>
      </c>
      <c r="M341" s="137">
        <v>29.8</v>
      </c>
      <c r="N341" s="137">
        <v>29.8</v>
      </c>
    </row>
    <row r="342" spans="1:17" s="355" customFormat="1" ht="56.25">
      <c r="A342" s="122"/>
      <c r="B342" s="135" t="s">
        <v>97</v>
      </c>
      <c r="C342" s="136" t="s">
        <v>609</v>
      </c>
      <c r="D342" s="121" t="s">
        <v>246</v>
      </c>
      <c r="E342" s="121" t="s">
        <v>59</v>
      </c>
      <c r="F342" s="734" t="s">
        <v>59</v>
      </c>
      <c r="G342" s="735" t="s">
        <v>50</v>
      </c>
      <c r="H342" s="735" t="s">
        <v>57</v>
      </c>
      <c r="I342" s="736" t="s">
        <v>416</v>
      </c>
      <c r="J342" s="121" t="s">
        <v>98</v>
      </c>
      <c r="K342" s="713">
        <v>2328.1999999999998</v>
      </c>
      <c r="L342" s="137">
        <f>M342-K342</f>
        <v>0</v>
      </c>
      <c r="M342" s="137">
        <v>2328.1999999999998</v>
      </c>
      <c r="N342" s="137">
        <v>2328.1999999999998</v>
      </c>
    </row>
    <row r="343" spans="1:17" s="355" customFormat="1" ht="56.25" customHeight="1">
      <c r="A343" s="122"/>
      <c r="B343" s="135" t="s">
        <v>101</v>
      </c>
      <c r="C343" s="136" t="s">
        <v>609</v>
      </c>
      <c r="D343" s="121" t="s">
        <v>246</v>
      </c>
      <c r="E343" s="121" t="s">
        <v>59</v>
      </c>
      <c r="F343" s="734" t="s">
        <v>102</v>
      </c>
      <c r="G343" s="735" t="s">
        <v>62</v>
      </c>
      <c r="H343" s="735" t="s">
        <v>63</v>
      </c>
      <c r="I343" s="736" t="s">
        <v>64</v>
      </c>
      <c r="J343" s="121"/>
      <c r="K343" s="713">
        <f t="shared" ref="K343:N344" si="59">K344</f>
        <v>7254.2</v>
      </c>
      <c r="L343" s="137">
        <f t="shared" si="59"/>
        <v>0</v>
      </c>
      <c r="M343" s="137">
        <f t="shared" si="59"/>
        <v>7254.2</v>
      </c>
      <c r="N343" s="137">
        <f t="shared" si="59"/>
        <v>0</v>
      </c>
    </row>
    <row r="344" spans="1:17" s="355" customFormat="1" ht="37.5">
      <c r="A344" s="122"/>
      <c r="B344" s="135" t="s">
        <v>146</v>
      </c>
      <c r="C344" s="136" t="s">
        <v>609</v>
      </c>
      <c r="D344" s="121" t="s">
        <v>246</v>
      </c>
      <c r="E344" s="121" t="s">
        <v>59</v>
      </c>
      <c r="F344" s="734" t="s">
        <v>102</v>
      </c>
      <c r="G344" s="735" t="s">
        <v>110</v>
      </c>
      <c r="H344" s="735" t="s">
        <v>63</v>
      </c>
      <c r="I344" s="736" t="s">
        <v>64</v>
      </c>
      <c r="J344" s="121"/>
      <c r="K344" s="713">
        <f t="shared" si="59"/>
        <v>7254.2</v>
      </c>
      <c r="L344" s="137">
        <f t="shared" si="59"/>
        <v>0</v>
      </c>
      <c r="M344" s="137">
        <f t="shared" si="59"/>
        <v>7254.2</v>
      </c>
      <c r="N344" s="137">
        <f t="shared" si="59"/>
        <v>0</v>
      </c>
    </row>
    <row r="345" spans="1:17" s="355" customFormat="1" ht="39.75" customHeight="1">
      <c r="A345" s="122"/>
      <c r="B345" s="135" t="s">
        <v>311</v>
      </c>
      <c r="C345" s="136" t="s">
        <v>609</v>
      </c>
      <c r="D345" s="121" t="s">
        <v>246</v>
      </c>
      <c r="E345" s="121" t="s">
        <v>59</v>
      </c>
      <c r="F345" s="734" t="s">
        <v>102</v>
      </c>
      <c r="G345" s="735" t="s">
        <v>110</v>
      </c>
      <c r="H345" s="735" t="s">
        <v>57</v>
      </c>
      <c r="I345" s="736" t="s">
        <v>64</v>
      </c>
      <c r="J345" s="121"/>
      <c r="K345" s="713">
        <f>K346</f>
        <v>7254.2</v>
      </c>
      <c r="L345" s="137">
        <f>L346</f>
        <v>0</v>
      </c>
      <c r="M345" s="137">
        <f>M346</f>
        <v>7254.2</v>
      </c>
      <c r="N345" s="137">
        <f>N346</f>
        <v>0</v>
      </c>
    </row>
    <row r="346" spans="1:17" s="355" customFormat="1" ht="18.75">
      <c r="A346" s="122"/>
      <c r="B346" s="135" t="s">
        <v>684</v>
      </c>
      <c r="C346" s="136" t="s">
        <v>609</v>
      </c>
      <c r="D346" s="121" t="s">
        <v>246</v>
      </c>
      <c r="E346" s="121" t="s">
        <v>59</v>
      </c>
      <c r="F346" s="734" t="s">
        <v>102</v>
      </c>
      <c r="G346" s="735" t="s">
        <v>110</v>
      </c>
      <c r="H346" s="735" t="s">
        <v>57</v>
      </c>
      <c r="I346" s="736" t="s">
        <v>685</v>
      </c>
      <c r="J346" s="121"/>
      <c r="K346" s="713">
        <f>K348+K347</f>
        <v>7254.2</v>
      </c>
      <c r="L346" s="137">
        <f>L348+L347</f>
        <v>0</v>
      </c>
      <c r="M346" s="137">
        <f>M348+M347</f>
        <v>7254.2</v>
      </c>
      <c r="N346" s="137">
        <f>N348+N347</f>
        <v>0</v>
      </c>
    </row>
    <row r="347" spans="1:17" s="355" customFormat="1" ht="56.25">
      <c r="A347" s="122"/>
      <c r="B347" s="135" t="s">
        <v>75</v>
      </c>
      <c r="C347" s="136" t="s">
        <v>609</v>
      </c>
      <c r="D347" s="121" t="s">
        <v>246</v>
      </c>
      <c r="E347" s="121" t="s">
        <v>59</v>
      </c>
      <c r="F347" s="734" t="s">
        <v>102</v>
      </c>
      <c r="G347" s="735" t="s">
        <v>110</v>
      </c>
      <c r="H347" s="735" t="s">
        <v>57</v>
      </c>
      <c r="I347" s="736" t="s">
        <v>685</v>
      </c>
      <c r="J347" s="121" t="s">
        <v>76</v>
      </c>
      <c r="K347" s="713">
        <v>905.2</v>
      </c>
      <c r="L347" s="137">
        <f>M347-K347</f>
        <v>0</v>
      </c>
      <c r="M347" s="137">
        <v>905.2</v>
      </c>
      <c r="N347" s="137">
        <v>0</v>
      </c>
    </row>
    <row r="348" spans="1:17" s="355" customFormat="1" ht="56.25">
      <c r="A348" s="122"/>
      <c r="B348" s="135" t="s">
        <v>97</v>
      </c>
      <c r="C348" s="136" t="s">
        <v>609</v>
      </c>
      <c r="D348" s="121" t="s">
        <v>246</v>
      </c>
      <c r="E348" s="121" t="s">
        <v>59</v>
      </c>
      <c r="F348" s="734" t="s">
        <v>102</v>
      </c>
      <c r="G348" s="735" t="s">
        <v>110</v>
      </c>
      <c r="H348" s="735" t="s">
        <v>57</v>
      </c>
      <c r="I348" s="736" t="s">
        <v>685</v>
      </c>
      <c r="J348" s="121" t="s">
        <v>98</v>
      </c>
      <c r="K348" s="713">
        <v>6349</v>
      </c>
      <c r="L348" s="137">
        <f>M348-K348</f>
        <v>0</v>
      </c>
      <c r="M348" s="137">
        <v>6349</v>
      </c>
      <c r="N348" s="137">
        <v>0</v>
      </c>
    </row>
    <row r="349" spans="1:17" s="355" customFormat="1" ht="18.75">
      <c r="A349" s="122"/>
      <c r="B349" s="135" t="s">
        <v>424</v>
      </c>
      <c r="C349" s="136" t="s">
        <v>609</v>
      </c>
      <c r="D349" s="121" t="s">
        <v>246</v>
      </c>
      <c r="E349" s="121" t="s">
        <v>84</v>
      </c>
      <c r="F349" s="734"/>
      <c r="G349" s="735"/>
      <c r="H349" s="735"/>
      <c r="I349" s="736"/>
      <c r="J349" s="121"/>
      <c r="K349" s="713">
        <f>K350+K364</f>
        <v>55983.000000000007</v>
      </c>
      <c r="L349" s="137">
        <f>L350+L364</f>
        <v>0</v>
      </c>
      <c r="M349" s="137">
        <f>M350+M364</f>
        <v>55983.000000000007</v>
      </c>
      <c r="N349" s="137">
        <f>N350+N364</f>
        <v>56618.600000000006</v>
      </c>
    </row>
    <row r="350" spans="1:17" s="355" customFormat="1" ht="56.25">
      <c r="A350" s="122"/>
      <c r="B350" s="282" t="s">
        <v>227</v>
      </c>
      <c r="C350" s="136" t="s">
        <v>609</v>
      </c>
      <c r="D350" s="121" t="s">
        <v>246</v>
      </c>
      <c r="E350" s="121" t="s">
        <v>84</v>
      </c>
      <c r="F350" s="734" t="s">
        <v>59</v>
      </c>
      <c r="G350" s="735" t="s">
        <v>62</v>
      </c>
      <c r="H350" s="735" t="s">
        <v>63</v>
      </c>
      <c r="I350" s="736" t="s">
        <v>64</v>
      </c>
      <c r="J350" s="121"/>
      <c r="K350" s="713">
        <f t="shared" ref="K350:N350" si="60">K351</f>
        <v>55983.000000000007</v>
      </c>
      <c r="L350" s="137">
        <f t="shared" si="60"/>
        <v>0</v>
      </c>
      <c r="M350" s="137">
        <f t="shared" si="60"/>
        <v>55983.000000000007</v>
      </c>
      <c r="N350" s="137">
        <f t="shared" si="60"/>
        <v>56047.000000000007</v>
      </c>
    </row>
    <row r="351" spans="1:17" s="355" customFormat="1" ht="24.75" customHeight="1">
      <c r="A351" s="122"/>
      <c r="B351" s="135" t="s">
        <v>232</v>
      </c>
      <c r="C351" s="136" t="s">
        <v>609</v>
      </c>
      <c r="D351" s="121" t="s">
        <v>246</v>
      </c>
      <c r="E351" s="121" t="s">
        <v>84</v>
      </c>
      <c r="F351" s="734" t="s">
        <v>59</v>
      </c>
      <c r="G351" s="735" t="s">
        <v>110</v>
      </c>
      <c r="H351" s="735" t="s">
        <v>63</v>
      </c>
      <c r="I351" s="736" t="s">
        <v>64</v>
      </c>
      <c r="J351" s="121"/>
      <c r="K351" s="713">
        <f>K352</f>
        <v>55983.000000000007</v>
      </c>
      <c r="L351" s="137">
        <f>L352</f>
        <v>0</v>
      </c>
      <c r="M351" s="137">
        <f>M352</f>
        <v>55983.000000000007</v>
      </c>
      <c r="N351" s="137">
        <f>N352</f>
        <v>56047.000000000007</v>
      </c>
    </row>
    <row r="352" spans="1:17" s="355" customFormat="1" ht="37.5">
      <c r="A352" s="122"/>
      <c r="B352" s="135" t="s">
        <v>316</v>
      </c>
      <c r="C352" s="136" t="s">
        <v>609</v>
      </c>
      <c r="D352" s="121" t="s">
        <v>246</v>
      </c>
      <c r="E352" s="121" t="s">
        <v>84</v>
      </c>
      <c r="F352" s="734" t="s">
        <v>59</v>
      </c>
      <c r="G352" s="735" t="s">
        <v>110</v>
      </c>
      <c r="H352" s="735" t="s">
        <v>57</v>
      </c>
      <c r="I352" s="736" t="s">
        <v>64</v>
      </c>
      <c r="J352" s="121"/>
      <c r="K352" s="713">
        <f>K353+K358+K360+K362</f>
        <v>55983.000000000007</v>
      </c>
      <c r="L352" s="137">
        <f>L353+L358+L360+L362</f>
        <v>0</v>
      </c>
      <c r="M352" s="137">
        <f>M353+M358+M360+M362</f>
        <v>55983.000000000007</v>
      </c>
      <c r="N352" s="137">
        <f>N353+N358+N360+N362</f>
        <v>56047.000000000007</v>
      </c>
    </row>
    <row r="353" spans="1:14" s="355" customFormat="1" ht="40.5" customHeight="1">
      <c r="A353" s="122"/>
      <c r="B353" s="274" t="s">
        <v>795</v>
      </c>
      <c r="C353" s="136" t="s">
        <v>609</v>
      </c>
      <c r="D353" s="121" t="s">
        <v>246</v>
      </c>
      <c r="E353" s="121" t="s">
        <v>84</v>
      </c>
      <c r="F353" s="734" t="s">
        <v>59</v>
      </c>
      <c r="G353" s="735" t="s">
        <v>110</v>
      </c>
      <c r="H353" s="735" t="s">
        <v>57</v>
      </c>
      <c r="I353" s="736" t="s">
        <v>112</v>
      </c>
      <c r="J353" s="121"/>
      <c r="K353" s="713">
        <f>K356+K354+K355+K357</f>
        <v>47871.700000000004</v>
      </c>
      <c r="L353" s="137">
        <f>L356+L354+L355+L357</f>
        <v>0</v>
      </c>
      <c r="M353" s="137">
        <f>M356+M354+M355+M357</f>
        <v>47871.700000000004</v>
      </c>
      <c r="N353" s="137">
        <f>N356+N354+N355+N357</f>
        <v>47931.8</v>
      </c>
    </row>
    <row r="354" spans="1:14" s="355" customFormat="1" ht="112.5">
      <c r="A354" s="122"/>
      <c r="B354" s="135" t="s">
        <v>69</v>
      </c>
      <c r="C354" s="136" t="s">
        <v>609</v>
      </c>
      <c r="D354" s="121" t="s">
        <v>246</v>
      </c>
      <c r="E354" s="121" t="s">
        <v>84</v>
      </c>
      <c r="F354" s="734" t="s">
        <v>59</v>
      </c>
      <c r="G354" s="735" t="s">
        <v>110</v>
      </c>
      <c r="H354" s="735" t="s">
        <v>57</v>
      </c>
      <c r="I354" s="736" t="s">
        <v>112</v>
      </c>
      <c r="J354" s="121" t="s">
        <v>70</v>
      </c>
      <c r="K354" s="713">
        <f>26463.7-7834.7</f>
        <v>18629</v>
      </c>
      <c r="L354" s="137">
        <f>M354-K354</f>
        <v>0</v>
      </c>
      <c r="M354" s="137">
        <f>26463.7-7834.7</f>
        <v>18629</v>
      </c>
      <c r="N354" s="137">
        <f>26463.7-7834.7</f>
        <v>18629</v>
      </c>
    </row>
    <row r="355" spans="1:14" s="355" customFormat="1" ht="56.25">
      <c r="A355" s="122"/>
      <c r="B355" s="135" t="s">
        <v>75</v>
      </c>
      <c r="C355" s="136" t="s">
        <v>609</v>
      </c>
      <c r="D355" s="121" t="s">
        <v>246</v>
      </c>
      <c r="E355" s="121" t="s">
        <v>84</v>
      </c>
      <c r="F355" s="734" t="s">
        <v>59</v>
      </c>
      <c r="G355" s="735" t="s">
        <v>110</v>
      </c>
      <c r="H355" s="735" t="s">
        <v>57</v>
      </c>
      <c r="I355" s="736" t="s">
        <v>112</v>
      </c>
      <c r="J355" s="121" t="s">
        <v>76</v>
      </c>
      <c r="K355" s="713">
        <f>1345.7-209.71305</f>
        <v>1135.98695</v>
      </c>
      <c r="L355" s="137">
        <f>M355-K355</f>
        <v>0</v>
      </c>
      <c r="M355" s="137">
        <f>1345.7-209.71305</f>
        <v>1135.98695</v>
      </c>
      <c r="N355" s="137">
        <f>1379.7-211.94364</f>
        <v>1167.7563600000001</v>
      </c>
    </row>
    <row r="356" spans="1:14" s="355" customFormat="1" ht="56.25">
      <c r="A356" s="122"/>
      <c r="B356" s="135" t="s">
        <v>97</v>
      </c>
      <c r="C356" s="136" t="s">
        <v>609</v>
      </c>
      <c r="D356" s="121" t="s">
        <v>246</v>
      </c>
      <c r="E356" s="121" t="s">
        <v>84</v>
      </c>
      <c r="F356" s="734" t="s">
        <v>59</v>
      </c>
      <c r="G356" s="735" t="s">
        <v>110</v>
      </c>
      <c r="H356" s="735" t="s">
        <v>57</v>
      </c>
      <c r="I356" s="736" t="s">
        <v>112</v>
      </c>
      <c r="J356" s="121" t="s">
        <v>98</v>
      </c>
      <c r="K356" s="713">
        <f>20006.7+8049.01605</f>
        <v>28055.716050000003</v>
      </c>
      <c r="L356" s="137">
        <f>M356-K356</f>
        <v>0</v>
      </c>
      <c r="M356" s="137">
        <f>20006.7+8049.01605</f>
        <v>28055.716050000003</v>
      </c>
      <c r="N356" s="137">
        <f>20033.4+8050.99364</f>
        <v>28084.393640000002</v>
      </c>
    </row>
    <row r="357" spans="1:14" s="355" customFormat="1" ht="18.75">
      <c r="A357" s="122"/>
      <c r="B357" s="135" t="s">
        <v>77</v>
      </c>
      <c r="C357" s="136" t="s">
        <v>609</v>
      </c>
      <c r="D357" s="121" t="s">
        <v>246</v>
      </c>
      <c r="E357" s="121" t="s">
        <v>84</v>
      </c>
      <c r="F357" s="734" t="s">
        <v>59</v>
      </c>
      <c r="G357" s="735" t="s">
        <v>110</v>
      </c>
      <c r="H357" s="735" t="s">
        <v>57</v>
      </c>
      <c r="I357" s="736" t="s">
        <v>112</v>
      </c>
      <c r="J357" s="121" t="s">
        <v>78</v>
      </c>
      <c r="K357" s="713">
        <f>55.6-4.603</f>
        <v>50.997</v>
      </c>
      <c r="L357" s="137">
        <f>M357-K357</f>
        <v>0</v>
      </c>
      <c r="M357" s="137">
        <f>55.6-4.603</f>
        <v>50.997</v>
      </c>
      <c r="N357" s="137">
        <f>55-4.35</f>
        <v>50.65</v>
      </c>
    </row>
    <row r="358" spans="1:14" s="355" customFormat="1" ht="18.75">
      <c r="A358" s="122"/>
      <c r="B358" s="135" t="s">
        <v>694</v>
      </c>
      <c r="C358" s="136" t="s">
        <v>609</v>
      </c>
      <c r="D358" s="121" t="s">
        <v>246</v>
      </c>
      <c r="E358" s="121" t="s">
        <v>84</v>
      </c>
      <c r="F358" s="734" t="s">
        <v>59</v>
      </c>
      <c r="G358" s="735" t="s">
        <v>110</v>
      </c>
      <c r="H358" s="735" t="s">
        <v>57</v>
      </c>
      <c r="I358" s="736" t="s">
        <v>538</v>
      </c>
      <c r="J358" s="121"/>
      <c r="K358" s="713">
        <f>K359</f>
        <v>125</v>
      </c>
      <c r="L358" s="137">
        <f>L359</f>
        <v>0</v>
      </c>
      <c r="M358" s="137">
        <f>M359</f>
        <v>125</v>
      </c>
      <c r="N358" s="137">
        <f>N359</f>
        <v>125</v>
      </c>
    </row>
    <row r="359" spans="1:14" s="355" customFormat="1" ht="112.5">
      <c r="A359" s="122"/>
      <c r="B359" s="135" t="s">
        <v>69</v>
      </c>
      <c r="C359" s="136" t="s">
        <v>609</v>
      </c>
      <c r="D359" s="121" t="s">
        <v>246</v>
      </c>
      <c r="E359" s="121" t="s">
        <v>84</v>
      </c>
      <c r="F359" s="734" t="s">
        <v>59</v>
      </c>
      <c r="G359" s="735" t="s">
        <v>110</v>
      </c>
      <c r="H359" s="735" t="s">
        <v>57</v>
      </c>
      <c r="I359" s="736" t="s">
        <v>538</v>
      </c>
      <c r="J359" s="121" t="s">
        <v>70</v>
      </c>
      <c r="K359" s="713">
        <v>125</v>
      </c>
      <c r="L359" s="137">
        <f>M359-K359</f>
        <v>0</v>
      </c>
      <c r="M359" s="137">
        <v>125</v>
      </c>
      <c r="N359" s="137">
        <v>125</v>
      </c>
    </row>
    <row r="360" spans="1:14" s="355" customFormat="1" ht="183.75" customHeight="1">
      <c r="A360" s="122"/>
      <c r="B360" s="135" t="s">
        <v>308</v>
      </c>
      <c r="C360" s="136" t="s">
        <v>609</v>
      </c>
      <c r="D360" s="121" t="s">
        <v>246</v>
      </c>
      <c r="E360" s="121" t="s">
        <v>84</v>
      </c>
      <c r="F360" s="734" t="s">
        <v>59</v>
      </c>
      <c r="G360" s="735" t="s">
        <v>110</v>
      </c>
      <c r="H360" s="735" t="s">
        <v>57</v>
      </c>
      <c r="I360" s="736" t="s">
        <v>309</v>
      </c>
      <c r="J360" s="121"/>
      <c r="K360" s="713">
        <f>K361</f>
        <v>110.9</v>
      </c>
      <c r="L360" s="137">
        <f>L361</f>
        <v>0</v>
      </c>
      <c r="M360" s="137">
        <f>M361</f>
        <v>110.9</v>
      </c>
      <c r="N360" s="137">
        <f>N361</f>
        <v>114.8</v>
      </c>
    </row>
    <row r="361" spans="1:14" s="355" customFormat="1" ht="56.25">
      <c r="A361" s="122"/>
      <c r="B361" s="135" t="s">
        <v>97</v>
      </c>
      <c r="C361" s="136" t="s">
        <v>609</v>
      </c>
      <c r="D361" s="121" t="s">
        <v>246</v>
      </c>
      <c r="E361" s="121" t="s">
        <v>84</v>
      </c>
      <c r="F361" s="734" t="s">
        <v>59</v>
      </c>
      <c r="G361" s="735" t="s">
        <v>110</v>
      </c>
      <c r="H361" s="735" t="s">
        <v>57</v>
      </c>
      <c r="I361" s="736" t="s">
        <v>309</v>
      </c>
      <c r="J361" s="121" t="s">
        <v>98</v>
      </c>
      <c r="K361" s="713">
        <v>110.9</v>
      </c>
      <c r="L361" s="137">
        <f>M361-K361</f>
        <v>0</v>
      </c>
      <c r="M361" s="137">
        <v>110.9</v>
      </c>
      <c r="N361" s="137">
        <v>114.8</v>
      </c>
    </row>
    <row r="362" spans="1:14" s="355" customFormat="1" ht="115.5" customHeight="1">
      <c r="A362" s="122"/>
      <c r="B362" s="135" t="s">
        <v>415</v>
      </c>
      <c r="C362" s="136" t="s">
        <v>609</v>
      </c>
      <c r="D362" s="121" t="s">
        <v>246</v>
      </c>
      <c r="E362" s="121" t="s">
        <v>84</v>
      </c>
      <c r="F362" s="734" t="s">
        <v>59</v>
      </c>
      <c r="G362" s="735" t="s">
        <v>110</v>
      </c>
      <c r="H362" s="735" t="s">
        <v>57</v>
      </c>
      <c r="I362" s="736" t="s">
        <v>310</v>
      </c>
      <c r="J362" s="121"/>
      <c r="K362" s="713">
        <f>K363</f>
        <v>7875.4</v>
      </c>
      <c r="L362" s="137">
        <f>L363</f>
        <v>0</v>
      </c>
      <c r="M362" s="137">
        <f>M363</f>
        <v>7875.4</v>
      </c>
      <c r="N362" s="137">
        <f>N363</f>
        <v>7875.4</v>
      </c>
    </row>
    <row r="363" spans="1:14" s="355" customFormat="1" ht="56.25">
      <c r="A363" s="122"/>
      <c r="B363" s="135" t="s">
        <v>97</v>
      </c>
      <c r="C363" s="136" t="s">
        <v>609</v>
      </c>
      <c r="D363" s="121" t="s">
        <v>246</v>
      </c>
      <c r="E363" s="121" t="s">
        <v>84</v>
      </c>
      <c r="F363" s="734" t="s">
        <v>59</v>
      </c>
      <c r="G363" s="735" t="s">
        <v>110</v>
      </c>
      <c r="H363" s="735" t="s">
        <v>57</v>
      </c>
      <c r="I363" s="736" t="s">
        <v>310</v>
      </c>
      <c r="J363" s="121" t="s">
        <v>98</v>
      </c>
      <c r="K363" s="713">
        <v>7875.4</v>
      </c>
      <c r="L363" s="137">
        <f>M363-K363</f>
        <v>0</v>
      </c>
      <c r="M363" s="137">
        <v>7875.4</v>
      </c>
      <c r="N363" s="137">
        <v>7875.4</v>
      </c>
    </row>
    <row r="364" spans="1:14" s="355" customFormat="1" ht="55.5" customHeight="1">
      <c r="A364" s="122"/>
      <c r="B364" s="135" t="s">
        <v>101</v>
      </c>
      <c r="C364" s="136" t="s">
        <v>609</v>
      </c>
      <c r="D364" s="121" t="s">
        <v>246</v>
      </c>
      <c r="E364" s="121" t="s">
        <v>84</v>
      </c>
      <c r="F364" s="734" t="s">
        <v>102</v>
      </c>
      <c r="G364" s="735" t="s">
        <v>62</v>
      </c>
      <c r="H364" s="735" t="s">
        <v>63</v>
      </c>
      <c r="I364" s="736" t="s">
        <v>64</v>
      </c>
      <c r="J364" s="121"/>
      <c r="K364" s="713">
        <f t="shared" ref="K364:M366" si="61">K365</f>
        <v>0</v>
      </c>
      <c r="L364" s="137">
        <f t="shared" si="61"/>
        <v>0</v>
      </c>
      <c r="M364" s="137">
        <f t="shared" si="61"/>
        <v>0</v>
      </c>
      <c r="N364" s="137">
        <f t="shared" ref="N364:N366" si="62">N365</f>
        <v>571.6</v>
      </c>
    </row>
    <row r="365" spans="1:14" s="355" customFormat="1" ht="37.5">
      <c r="A365" s="122"/>
      <c r="B365" s="135" t="s">
        <v>146</v>
      </c>
      <c r="C365" s="136" t="s">
        <v>609</v>
      </c>
      <c r="D365" s="121" t="s">
        <v>246</v>
      </c>
      <c r="E365" s="121" t="s">
        <v>84</v>
      </c>
      <c r="F365" s="734" t="s">
        <v>102</v>
      </c>
      <c r="G365" s="735" t="s">
        <v>110</v>
      </c>
      <c r="H365" s="735" t="s">
        <v>63</v>
      </c>
      <c r="I365" s="736" t="s">
        <v>64</v>
      </c>
      <c r="J365" s="121"/>
      <c r="K365" s="713">
        <f t="shared" si="61"/>
        <v>0</v>
      </c>
      <c r="L365" s="137">
        <f t="shared" si="61"/>
        <v>0</v>
      </c>
      <c r="M365" s="137">
        <f t="shared" si="61"/>
        <v>0</v>
      </c>
      <c r="N365" s="137">
        <f t="shared" si="62"/>
        <v>571.6</v>
      </c>
    </row>
    <row r="366" spans="1:14" s="355" customFormat="1" ht="38.25" customHeight="1">
      <c r="A366" s="122"/>
      <c r="B366" s="135" t="s">
        <v>311</v>
      </c>
      <c r="C366" s="136" t="s">
        <v>609</v>
      </c>
      <c r="D366" s="121" t="s">
        <v>246</v>
      </c>
      <c r="E366" s="121" t="s">
        <v>84</v>
      </c>
      <c r="F366" s="734" t="s">
        <v>102</v>
      </c>
      <c r="G366" s="735" t="s">
        <v>110</v>
      </c>
      <c r="H366" s="735" t="s">
        <v>57</v>
      </c>
      <c r="I366" s="736" t="s">
        <v>64</v>
      </c>
      <c r="J366" s="121"/>
      <c r="K366" s="713">
        <f t="shared" si="61"/>
        <v>0</v>
      </c>
      <c r="L366" s="137">
        <f t="shared" si="61"/>
        <v>0</v>
      </c>
      <c r="M366" s="137">
        <f t="shared" si="61"/>
        <v>0</v>
      </c>
      <c r="N366" s="137">
        <f t="shared" si="62"/>
        <v>571.6</v>
      </c>
    </row>
    <row r="367" spans="1:14" s="355" customFormat="1" ht="18.75">
      <c r="A367" s="122"/>
      <c r="B367" s="135" t="s">
        <v>684</v>
      </c>
      <c r="C367" s="136" t="s">
        <v>609</v>
      </c>
      <c r="D367" s="121" t="s">
        <v>246</v>
      </c>
      <c r="E367" s="121" t="s">
        <v>84</v>
      </c>
      <c r="F367" s="734" t="s">
        <v>102</v>
      </c>
      <c r="G367" s="735" t="s">
        <v>110</v>
      </c>
      <c r="H367" s="735" t="s">
        <v>57</v>
      </c>
      <c r="I367" s="736" t="s">
        <v>685</v>
      </c>
      <c r="J367" s="121"/>
      <c r="K367" s="713">
        <f>K368</f>
        <v>0</v>
      </c>
      <c r="L367" s="137">
        <f>L368</f>
        <v>0</v>
      </c>
      <c r="M367" s="137">
        <f>M368</f>
        <v>0</v>
      </c>
      <c r="N367" s="137">
        <f>N368</f>
        <v>571.6</v>
      </c>
    </row>
    <row r="368" spans="1:14" s="355" customFormat="1" ht="56.25">
      <c r="A368" s="122"/>
      <c r="B368" s="135" t="s">
        <v>75</v>
      </c>
      <c r="C368" s="136" t="s">
        <v>609</v>
      </c>
      <c r="D368" s="121" t="s">
        <v>246</v>
      </c>
      <c r="E368" s="121" t="s">
        <v>84</v>
      </c>
      <c r="F368" s="734" t="s">
        <v>102</v>
      </c>
      <c r="G368" s="735" t="s">
        <v>110</v>
      </c>
      <c r="H368" s="735" t="s">
        <v>57</v>
      </c>
      <c r="I368" s="736" t="s">
        <v>685</v>
      </c>
      <c r="J368" s="121" t="s">
        <v>76</v>
      </c>
      <c r="K368" s="713">
        <v>0</v>
      </c>
      <c r="L368" s="137">
        <f>M368-K368</f>
        <v>0</v>
      </c>
      <c r="M368" s="137">
        <v>0</v>
      </c>
      <c r="N368" s="137">
        <v>571.6</v>
      </c>
    </row>
    <row r="369" spans="1:14" s="485" customFormat="1" ht="18.75">
      <c r="A369" s="484"/>
      <c r="B369" s="135" t="s">
        <v>425</v>
      </c>
      <c r="C369" s="136" t="s">
        <v>609</v>
      </c>
      <c r="D369" s="121" t="s">
        <v>246</v>
      </c>
      <c r="E369" s="121" t="s">
        <v>246</v>
      </c>
      <c r="F369" s="734"/>
      <c r="G369" s="735"/>
      <c r="H369" s="735"/>
      <c r="I369" s="736"/>
      <c r="J369" s="121"/>
      <c r="K369" s="713">
        <f t="shared" ref="K369:N369" si="63">K370</f>
        <v>6749.9</v>
      </c>
      <c r="L369" s="137">
        <f t="shared" si="63"/>
        <v>0</v>
      </c>
      <c r="M369" s="137">
        <f t="shared" si="63"/>
        <v>6749.9</v>
      </c>
      <c r="N369" s="137">
        <f t="shared" si="63"/>
        <v>6749.9</v>
      </c>
    </row>
    <row r="370" spans="1:14" s="485" customFormat="1" ht="56.25">
      <c r="A370" s="484"/>
      <c r="B370" s="135" t="s">
        <v>227</v>
      </c>
      <c r="C370" s="136" t="s">
        <v>609</v>
      </c>
      <c r="D370" s="121" t="s">
        <v>246</v>
      </c>
      <c r="E370" s="121" t="s">
        <v>246</v>
      </c>
      <c r="F370" s="734" t="s">
        <v>59</v>
      </c>
      <c r="G370" s="735" t="s">
        <v>62</v>
      </c>
      <c r="H370" s="735" t="s">
        <v>63</v>
      </c>
      <c r="I370" s="736" t="s">
        <v>64</v>
      </c>
      <c r="J370" s="121"/>
      <c r="K370" s="713">
        <f t="shared" ref="K370:N371" si="64">K371</f>
        <v>6749.9</v>
      </c>
      <c r="L370" s="137">
        <f t="shared" si="64"/>
        <v>0</v>
      </c>
      <c r="M370" s="137">
        <f t="shared" si="64"/>
        <v>6749.9</v>
      </c>
      <c r="N370" s="137">
        <f t="shared" si="64"/>
        <v>6749.9</v>
      </c>
    </row>
    <row r="371" spans="1:14" s="485" customFormat="1" ht="56.25">
      <c r="A371" s="484"/>
      <c r="B371" s="135" t="s">
        <v>234</v>
      </c>
      <c r="C371" s="136" t="s">
        <v>609</v>
      </c>
      <c r="D371" s="121" t="s">
        <v>246</v>
      </c>
      <c r="E371" s="121" t="s">
        <v>246</v>
      </c>
      <c r="F371" s="734" t="s">
        <v>59</v>
      </c>
      <c r="G371" s="735" t="s">
        <v>50</v>
      </c>
      <c r="H371" s="735" t="s">
        <v>63</v>
      </c>
      <c r="I371" s="736" t="s">
        <v>64</v>
      </c>
      <c r="J371" s="121"/>
      <c r="K371" s="713">
        <f t="shared" si="64"/>
        <v>6749.9</v>
      </c>
      <c r="L371" s="137">
        <f t="shared" si="64"/>
        <v>0</v>
      </c>
      <c r="M371" s="137">
        <f t="shared" si="64"/>
        <v>6749.9</v>
      </c>
      <c r="N371" s="137">
        <f t="shared" si="64"/>
        <v>6749.9</v>
      </c>
    </row>
    <row r="372" spans="1:14" s="485" customFormat="1" ht="56.25">
      <c r="A372" s="484"/>
      <c r="B372" s="135" t="s">
        <v>321</v>
      </c>
      <c r="C372" s="136" t="s">
        <v>609</v>
      </c>
      <c r="D372" s="121" t="s">
        <v>246</v>
      </c>
      <c r="E372" s="121" t="s">
        <v>246</v>
      </c>
      <c r="F372" s="734" t="s">
        <v>59</v>
      </c>
      <c r="G372" s="735" t="s">
        <v>50</v>
      </c>
      <c r="H372" s="735" t="s">
        <v>59</v>
      </c>
      <c r="I372" s="736" t="s">
        <v>64</v>
      </c>
      <c r="J372" s="121"/>
      <c r="K372" s="713">
        <f t="shared" ref="K372:N372" si="65">K373</f>
        <v>6749.9</v>
      </c>
      <c r="L372" s="137">
        <f t="shared" si="65"/>
        <v>0</v>
      </c>
      <c r="M372" s="137">
        <f t="shared" si="65"/>
        <v>6749.9</v>
      </c>
      <c r="N372" s="137">
        <f t="shared" si="65"/>
        <v>6749.9</v>
      </c>
    </row>
    <row r="373" spans="1:14" s="485" customFormat="1" ht="110.25" customHeight="1">
      <c r="A373" s="484"/>
      <c r="B373" s="135" t="s">
        <v>734</v>
      </c>
      <c r="C373" s="136" t="s">
        <v>609</v>
      </c>
      <c r="D373" s="121" t="s">
        <v>246</v>
      </c>
      <c r="E373" s="121" t="s">
        <v>246</v>
      </c>
      <c r="F373" s="734" t="s">
        <v>59</v>
      </c>
      <c r="G373" s="735" t="s">
        <v>50</v>
      </c>
      <c r="H373" s="735" t="s">
        <v>59</v>
      </c>
      <c r="I373" s="736" t="s">
        <v>733</v>
      </c>
      <c r="J373" s="121"/>
      <c r="K373" s="713">
        <f t="shared" ref="K373:M373" si="66">K374</f>
        <v>6749.9</v>
      </c>
      <c r="L373" s="137">
        <f t="shared" si="66"/>
        <v>0</v>
      </c>
      <c r="M373" s="137">
        <f t="shared" si="66"/>
        <v>6749.9</v>
      </c>
      <c r="N373" s="137">
        <f>N374</f>
        <v>6749.9</v>
      </c>
    </row>
    <row r="374" spans="1:14" s="485" customFormat="1" ht="56.25">
      <c r="A374" s="484"/>
      <c r="B374" s="135" t="s">
        <v>97</v>
      </c>
      <c r="C374" s="136" t="s">
        <v>609</v>
      </c>
      <c r="D374" s="121" t="s">
        <v>246</v>
      </c>
      <c r="E374" s="121" t="s">
        <v>246</v>
      </c>
      <c r="F374" s="734" t="s">
        <v>59</v>
      </c>
      <c r="G374" s="735" t="s">
        <v>50</v>
      </c>
      <c r="H374" s="735" t="s">
        <v>59</v>
      </c>
      <c r="I374" s="736" t="s">
        <v>733</v>
      </c>
      <c r="J374" s="121" t="s">
        <v>98</v>
      </c>
      <c r="K374" s="713">
        <v>6749.9</v>
      </c>
      <c r="L374" s="137">
        <f>M374-K374</f>
        <v>0</v>
      </c>
      <c r="M374" s="137">
        <v>6749.9</v>
      </c>
      <c r="N374" s="137">
        <v>6749.9</v>
      </c>
    </row>
    <row r="375" spans="1:14" s="355" customFormat="1" ht="18.75">
      <c r="A375" s="122"/>
      <c r="B375" s="135" t="s">
        <v>208</v>
      </c>
      <c r="C375" s="136" t="s">
        <v>609</v>
      </c>
      <c r="D375" s="121" t="s">
        <v>246</v>
      </c>
      <c r="E375" s="121" t="s">
        <v>100</v>
      </c>
      <c r="F375" s="734"/>
      <c r="G375" s="735"/>
      <c r="H375" s="735"/>
      <c r="I375" s="736"/>
      <c r="J375" s="121"/>
      <c r="K375" s="713">
        <f>K376</f>
        <v>62050.2</v>
      </c>
      <c r="L375" s="137">
        <f>L376</f>
        <v>0</v>
      </c>
      <c r="M375" s="137">
        <f>M376</f>
        <v>62050.2</v>
      </c>
      <c r="N375" s="137">
        <f>N376</f>
        <v>62084.200000000004</v>
      </c>
    </row>
    <row r="376" spans="1:14" s="355" customFormat="1" ht="56.25">
      <c r="A376" s="122"/>
      <c r="B376" s="135" t="s">
        <v>227</v>
      </c>
      <c r="C376" s="136" t="s">
        <v>609</v>
      </c>
      <c r="D376" s="121" t="s">
        <v>246</v>
      </c>
      <c r="E376" s="121" t="s">
        <v>100</v>
      </c>
      <c r="F376" s="734" t="s">
        <v>59</v>
      </c>
      <c r="G376" s="735" t="s">
        <v>62</v>
      </c>
      <c r="H376" s="735" t="s">
        <v>63</v>
      </c>
      <c r="I376" s="736" t="s">
        <v>64</v>
      </c>
      <c r="J376" s="121"/>
      <c r="K376" s="713">
        <f t="shared" ref="K376:N377" si="67">K377</f>
        <v>62050.2</v>
      </c>
      <c r="L376" s="137">
        <f t="shared" si="67"/>
        <v>0</v>
      </c>
      <c r="M376" s="137">
        <f t="shared" si="67"/>
        <v>62050.2</v>
      </c>
      <c r="N376" s="137">
        <f t="shared" si="67"/>
        <v>62084.200000000004</v>
      </c>
    </row>
    <row r="377" spans="1:14" s="355" customFormat="1" ht="56.25">
      <c r="A377" s="122"/>
      <c r="B377" s="135" t="s">
        <v>234</v>
      </c>
      <c r="C377" s="136" t="s">
        <v>609</v>
      </c>
      <c r="D377" s="121" t="s">
        <v>246</v>
      </c>
      <c r="E377" s="121" t="s">
        <v>100</v>
      </c>
      <c r="F377" s="734" t="s">
        <v>59</v>
      </c>
      <c r="G377" s="735" t="s">
        <v>50</v>
      </c>
      <c r="H377" s="735" t="s">
        <v>63</v>
      </c>
      <c r="I377" s="736" t="s">
        <v>64</v>
      </c>
      <c r="J377" s="121"/>
      <c r="K377" s="713">
        <f t="shared" si="67"/>
        <v>62050.2</v>
      </c>
      <c r="L377" s="137">
        <f t="shared" si="67"/>
        <v>0</v>
      </c>
      <c r="M377" s="137">
        <f t="shared" si="67"/>
        <v>62050.2</v>
      </c>
      <c r="N377" s="137">
        <f t="shared" si="67"/>
        <v>62084.200000000004</v>
      </c>
    </row>
    <row r="378" spans="1:14" s="355" customFormat="1" ht="37.5">
      <c r="A378" s="122"/>
      <c r="B378" s="135" t="s">
        <v>322</v>
      </c>
      <c r="C378" s="136" t="s">
        <v>609</v>
      </c>
      <c r="D378" s="121" t="s">
        <v>246</v>
      </c>
      <c r="E378" s="121" t="s">
        <v>100</v>
      </c>
      <c r="F378" s="734" t="s">
        <v>59</v>
      </c>
      <c r="G378" s="735" t="s">
        <v>50</v>
      </c>
      <c r="H378" s="735" t="s">
        <v>57</v>
      </c>
      <c r="I378" s="736" t="s">
        <v>64</v>
      </c>
      <c r="J378" s="121"/>
      <c r="K378" s="713">
        <f>K379+K383+K388</f>
        <v>62050.2</v>
      </c>
      <c r="L378" s="137">
        <f>L379+L383+L388</f>
        <v>0</v>
      </c>
      <c r="M378" s="137">
        <f>M379+M383+M388</f>
        <v>62050.2</v>
      </c>
      <c r="N378" s="137">
        <f>N379+N383+N388</f>
        <v>62084.200000000004</v>
      </c>
    </row>
    <row r="379" spans="1:14" s="355" customFormat="1" ht="37.5">
      <c r="A379" s="122"/>
      <c r="B379" s="135" t="s">
        <v>67</v>
      </c>
      <c r="C379" s="136" t="s">
        <v>609</v>
      </c>
      <c r="D379" s="121" t="s">
        <v>246</v>
      </c>
      <c r="E379" s="121" t="s">
        <v>100</v>
      </c>
      <c r="F379" s="734" t="s">
        <v>59</v>
      </c>
      <c r="G379" s="735" t="s">
        <v>50</v>
      </c>
      <c r="H379" s="735" t="s">
        <v>57</v>
      </c>
      <c r="I379" s="736" t="s">
        <v>68</v>
      </c>
      <c r="J379" s="121"/>
      <c r="K379" s="713">
        <f>K380+K381+K382</f>
        <v>10391.199999999999</v>
      </c>
      <c r="L379" s="137">
        <f>L380+L381+L382</f>
        <v>0</v>
      </c>
      <c r="M379" s="137">
        <f>M380+M381+M382</f>
        <v>10391.199999999999</v>
      </c>
      <c r="N379" s="137">
        <f>N380+N381+N382</f>
        <v>10396.800000000001</v>
      </c>
    </row>
    <row r="380" spans="1:14" s="355" customFormat="1" ht="112.5">
      <c r="A380" s="122"/>
      <c r="B380" s="135" t="s">
        <v>69</v>
      </c>
      <c r="C380" s="136" t="s">
        <v>609</v>
      </c>
      <c r="D380" s="121" t="s">
        <v>246</v>
      </c>
      <c r="E380" s="121" t="s">
        <v>100</v>
      </c>
      <c r="F380" s="734" t="s">
        <v>59</v>
      </c>
      <c r="G380" s="735" t="s">
        <v>50</v>
      </c>
      <c r="H380" s="735" t="s">
        <v>57</v>
      </c>
      <c r="I380" s="736" t="s">
        <v>68</v>
      </c>
      <c r="J380" s="121" t="s">
        <v>70</v>
      </c>
      <c r="K380" s="713">
        <v>9265.9</v>
      </c>
      <c r="L380" s="137">
        <f>M380-K380</f>
        <v>0</v>
      </c>
      <c r="M380" s="137">
        <v>9265.9</v>
      </c>
      <c r="N380" s="137">
        <v>9265.9</v>
      </c>
    </row>
    <row r="381" spans="1:14" s="355" customFormat="1" ht="56.25">
      <c r="A381" s="122"/>
      <c r="B381" s="135" t="s">
        <v>75</v>
      </c>
      <c r="C381" s="136" t="s">
        <v>609</v>
      </c>
      <c r="D381" s="121" t="s">
        <v>246</v>
      </c>
      <c r="E381" s="121" t="s">
        <v>100</v>
      </c>
      <c r="F381" s="734" t="s">
        <v>59</v>
      </c>
      <c r="G381" s="735" t="s">
        <v>50</v>
      </c>
      <c r="H381" s="735" t="s">
        <v>57</v>
      </c>
      <c r="I381" s="736" t="s">
        <v>68</v>
      </c>
      <c r="J381" s="121" t="s">
        <v>76</v>
      </c>
      <c r="K381" s="713">
        <v>1110.5</v>
      </c>
      <c r="L381" s="137">
        <f>M381-K381</f>
        <v>0</v>
      </c>
      <c r="M381" s="137">
        <v>1110.5</v>
      </c>
      <c r="N381" s="137">
        <v>1116.2</v>
      </c>
    </row>
    <row r="382" spans="1:14" s="355" customFormat="1" ht="18.75">
      <c r="A382" s="122"/>
      <c r="B382" s="135" t="s">
        <v>77</v>
      </c>
      <c r="C382" s="136" t="s">
        <v>609</v>
      </c>
      <c r="D382" s="121" t="s">
        <v>246</v>
      </c>
      <c r="E382" s="121" t="s">
        <v>100</v>
      </c>
      <c r="F382" s="734" t="s">
        <v>59</v>
      </c>
      <c r="G382" s="735" t="s">
        <v>50</v>
      </c>
      <c r="H382" s="735" t="s">
        <v>57</v>
      </c>
      <c r="I382" s="736" t="s">
        <v>68</v>
      </c>
      <c r="J382" s="121" t="s">
        <v>78</v>
      </c>
      <c r="K382" s="713">
        <v>14.8</v>
      </c>
      <c r="L382" s="137">
        <f>M382-K382</f>
        <v>0</v>
      </c>
      <c r="M382" s="137">
        <v>14.8</v>
      </c>
      <c r="N382" s="137">
        <v>14.7</v>
      </c>
    </row>
    <row r="383" spans="1:14" s="355" customFormat="1" ht="56.25">
      <c r="A383" s="122"/>
      <c r="B383" s="274" t="s">
        <v>795</v>
      </c>
      <c r="C383" s="136" t="s">
        <v>609</v>
      </c>
      <c r="D383" s="121" t="s">
        <v>246</v>
      </c>
      <c r="E383" s="121" t="s">
        <v>100</v>
      </c>
      <c r="F383" s="734" t="s">
        <v>59</v>
      </c>
      <c r="G383" s="735" t="s">
        <v>50</v>
      </c>
      <c r="H383" s="735" t="s">
        <v>57</v>
      </c>
      <c r="I383" s="736" t="s">
        <v>112</v>
      </c>
      <c r="J383" s="121"/>
      <c r="K383" s="713">
        <f>K384+K385+K387+K386</f>
        <v>45469.1</v>
      </c>
      <c r="L383" s="137">
        <f>L384+L385+L387+L386</f>
        <v>0</v>
      </c>
      <c r="M383" s="137">
        <f>M384+M385+M387+M386</f>
        <v>45469.1</v>
      </c>
      <c r="N383" s="137">
        <f>N384+N385+N387+N386</f>
        <v>45497.5</v>
      </c>
    </row>
    <row r="384" spans="1:14" s="355" customFormat="1" ht="112.5">
      <c r="A384" s="122"/>
      <c r="B384" s="135" t="s">
        <v>69</v>
      </c>
      <c r="C384" s="136" t="s">
        <v>609</v>
      </c>
      <c r="D384" s="121" t="s">
        <v>246</v>
      </c>
      <c r="E384" s="121" t="s">
        <v>100</v>
      </c>
      <c r="F384" s="734" t="s">
        <v>59</v>
      </c>
      <c r="G384" s="735" t="s">
        <v>50</v>
      </c>
      <c r="H384" s="735" t="s">
        <v>57</v>
      </c>
      <c r="I384" s="736" t="s">
        <v>112</v>
      </c>
      <c r="J384" s="121" t="s">
        <v>70</v>
      </c>
      <c r="K384" s="713">
        <v>26953.7</v>
      </c>
      <c r="L384" s="137">
        <f>M384-K384</f>
        <v>0</v>
      </c>
      <c r="M384" s="137">
        <v>26953.7</v>
      </c>
      <c r="N384" s="137">
        <f>M384</f>
        <v>26953.7</v>
      </c>
    </row>
    <row r="385" spans="1:14" s="355" customFormat="1" ht="56.25">
      <c r="A385" s="122"/>
      <c r="B385" s="135" t="s">
        <v>75</v>
      </c>
      <c r="C385" s="136" t="s">
        <v>609</v>
      </c>
      <c r="D385" s="121" t="s">
        <v>246</v>
      </c>
      <c r="E385" s="121" t="s">
        <v>100</v>
      </c>
      <c r="F385" s="734" t="s">
        <v>59</v>
      </c>
      <c r="G385" s="735" t="s">
        <v>50</v>
      </c>
      <c r="H385" s="735" t="s">
        <v>57</v>
      </c>
      <c r="I385" s="736" t="s">
        <v>112</v>
      </c>
      <c r="J385" s="121" t="s">
        <v>76</v>
      </c>
      <c r="K385" s="713">
        <v>2453.8000000000002</v>
      </c>
      <c r="L385" s="137">
        <f>M385-K385</f>
        <v>0</v>
      </c>
      <c r="M385" s="137">
        <v>2453.8000000000002</v>
      </c>
      <c r="N385" s="137">
        <v>2482.5</v>
      </c>
    </row>
    <row r="386" spans="1:14" s="355" customFormat="1" ht="56.25">
      <c r="A386" s="122"/>
      <c r="B386" s="135" t="s">
        <v>97</v>
      </c>
      <c r="C386" s="136" t="s">
        <v>609</v>
      </c>
      <c r="D386" s="121" t="s">
        <v>246</v>
      </c>
      <c r="E386" s="121" t="s">
        <v>100</v>
      </c>
      <c r="F386" s="734" t="s">
        <v>59</v>
      </c>
      <c r="G386" s="735" t="s">
        <v>50</v>
      </c>
      <c r="H386" s="735" t="s">
        <v>57</v>
      </c>
      <c r="I386" s="736" t="s">
        <v>112</v>
      </c>
      <c r="J386" s="121" t="s">
        <v>98</v>
      </c>
      <c r="K386" s="713">
        <v>16053.8</v>
      </c>
      <c r="L386" s="137">
        <f>M386-K386</f>
        <v>0</v>
      </c>
      <c r="M386" s="137">
        <v>16053.8</v>
      </c>
      <c r="N386" s="137">
        <v>16053.8</v>
      </c>
    </row>
    <row r="387" spans="1:14" s="355" customFormat="1" ht="18.75">
      <c r="A387" s="122"/>
      <c r="B387" s="135" t="s">
        <v>77</v>
      </c>
      <c r="C387" s="136" t="s">
        <v>609</v>
      </c>
      <c r="D387" s="121" t="s">
        <v>246</v>
      </c>
      <c r="E387" s="121" t="s">
        <v>100</v>
      </c>
      <c r="F387" s="734" t="s">
        <v>59</v>
      </c>
      <c r="G387" s="735" t="s">
        <v>50</v>
      </c>
      <c r="H387" s="735" t="s">
        <v>57</v>
      </c>
      <c r="I387" s="736" t="s">
        <v>112</v>
      </c>
      <c r="J387" s="121" t="s">
        <v>78</v>
      </c>
      <c r="K387" s="713">
        <v>7.8</v>
      </c>
      <c r="L387" s="137">
        <f>M387-K387</f>
        <v>0</v>
      </c>
      <c r="M387" s="137">
        <v>7.8</v>
      </c>
      <c r="N387" s="137">
        <v>7.5</v>
      </c>
    </row>
    <row r="388" spans="1:14" s="355" customFormat="1" ht="131.25">
      <c r="A388" s="122"/>
      <c r="B388" s="135" t="s">
        <v>415</v>
      </c>
      <c r="C388" s="136" t="s">
        <v>609</v>
      </c>
      <c r="D388" s="121" t="s">
        <v>246</v>
      </c>
      <c r="E388" s="121" t="s">
        <v>100</v>
      </c>
      <c r="F388" s="734" t="s">
        <v>59</v>
      </c>
      <c r="G388" s="735" t="s">
        <v>50</v>
      </c>
      <c r="H388" s="735" t="s">
        <v>57</v>
      </c>
      <c r="I388" s="736" t="s">
        <v>310</v>
      </c>
      <c r="J388" s="121"/>
      <c r="K388" s="713">
        <f>K389+K390</f>
        <v>6189.9</v>
      </c>
      <c r="L388" s="137">
        <f>L389+L390</f>
        <v>0</v>
      </c>
      <c r="M388" s="137">
        <f>M389+M390</f>
        <v>6189.9</v>
      </c>
      <c r="N388" s="137">
        <f>N389+N390</f>
        <v>6189.9</v>
      </c>
    </row>
    <row r="389" spans="1:14" s="355" customFormat="1" ht="112.5">
      <c r="A389" s="122"/>
      <c r="B389" s="135" t="s">
        <v>69</v>
      </c>
      <c r="C389" s="136" t="s">
        <v>609</v>
      </c>
      <c r="D389" s="121" t="s">
        <v>246</v>
      </c>
      <c r="E389" s="121" t="s">
        <v>100</v>
      </c>
      <c r="F389" s="734" t="s">
        <v>59</v>
      </c>
      <c r="G389" s="735" t="s">
        <v>50</v>
      </c>
      <c r="H389" s="735" t="s">
        <v>57</v>
      </c>
      <c r="I389" s="736" t="s">
        <v>310</v>
      </c>
      <c r="J389" s="121" t="s">
        <v>70</v>
      </c>
      <c r="K389" s="713">
        <v>5863.4</v>
      </c>
      <c r="L389" s="137">
        <f>M389-K389</f>
        <v>0</v>
      </c>
      <c r="M389" s="137">
        <v>5863.4</v>
      </c>
      <c r="N389" s="137">
        <v>5863.4</v>
      </c>
    </row>
    <row r="390" spans="1:14" s="355" customFormat="1" ht="56.25">
      <c r="A390" s="122"/>
      <c r="B390" s="135" t="s">
        <v>75</v>
      </c>
      <c r="C390" s="136" t="s">
        <v>609</v>
      </c>
      <c r="D390" s="121" t="s">
        <v>246</v>
      </c>
      <c r="E390" s="121" t="s">
        <v>100</v>
      </c>
      <c r="F390" s="734" t="s">
        <v>59</v>
      </c>
      <c r="G390" s="735" t="s">
        <v>50</v>
      </c>
      <c r="H390" s="735" t="s">
        <v>57</v>
      </c>
      <c r="I390" s="736" t="s">
        <v>310</v>
      </c>
      <c r="J390" s="121" t="s">
        <v>76</v>
      </c>
      <c r="K390" s="713">
        <v>326.5</v>
      </c>
      <c r="L390" s="137">
        <f>M390-K390</f>
        <v>0</v>
      </c>
      <c r="M390" s="137">
        <v>326.5</v>
      </c>
      <c r="N390" s="137">
        <v>326.5</v>
      </c>
    </row>
    <row r="391" spans="1:14" s="355" customFormat="1" ht="18.75">
      <c r="A391" s="122"/>
      <c r="B391" s="140" t="s">
        <v>140</v>
      </c>
      <c r="C391" s="136" t="s">
        <v>609</v>
      </c>
      <c r="D391" s="121" t="s">
        <v>125</v>
      </c>
      <c r="E391" s="121"/>
      <c r="F391" s="734"/>
      <c r="G391" s="735"/>
      <c r="H391" s="735"/>
      <c r="I391" s="736"/>
      <c r="J391" s="121"/>
      <c r="K391" s="713">
        <f t="shared" ref="K391:N392" si="68">K392</f>
        <v>8034.2</v>
      </c>
      <c r="L391" s="137">
        <f t="shared" si="68"/>
        <v>0</v>
      </c>
      <c r="M391" s="137">
        <f t="shared" si="68"/>
        <v>8034.2</v>
      </c>
      <c r="N391" s="137">
        <f t="shared" si="68"/>
        <v>8034.2</v>
      </c>
    </row>
    <row r="392" spans="1:14" s="355" customFormat="1" ht="18.75">
      <c r="A392" s="122"/>
      <c r="B392" s="140" t="s">
        <v>215</v>
      </c>
      <c r="C392" s="136" t="s">
        <v>609</v>
      </c>
      <c r="D392" s="121" t="s">
        <v>125</v>
      </c>
      <c r="E392" s="121" t="s">
        <v>72</v>
      </c>
      <c r="F392" s="734"/>
      <c r="G392" s="735"/>
      <c r="H392" s="735"/>
      <c r="I392" s="736"/>
      <c r="J392" s="121"/>
      <c r="K392" s="713">
        <f t="shared" si="68"/>
        <v>8034.2</v>
      </c>
      <c r="L392" s="137">
        <f t="shared" si="68"/>
        <v>0</v>
      </c>
      <c r="M392" s="137">
        <f t="shared" si="68"/>
        <v>8034.2</v>
      </c>
      <c r="N392" s="137">
        <f t="shared" si="68"/>
        <v>8034.2</v>
      </c>
    </row>
    <row r="393" spans="1:14" s="355" customFormat="1" ht="56.25">
      <c r="A393" s="122"/>
      <c r="B393" s="135" t="s">
        <v>227</v>
      </c>
      <c r="C393" s="136" t="s">
        <v>609</v>
      </c>
      <c r="D393" s="121" t="s">
        <v>125</v>
      </c>
      <c r="E393" s="121" t="s">
        <v>72</v>
      </c>
      <c r="F393" s="734" t="s">
        <v>59</v>
      </c>
      <c r="G393" s="735" t="s">
        <v>62</v>
      </c>
      <c r="H393" s="735" t="s">
        <v>63</v>
      </c>
      <c r="I393" s="736" t="s">
        <v>64</v>
      </c>
      <c r="J393" s="121"/>
      <c r="K393" s="713">
        <f t="shared" ref="K393:N395" si="69">K394</f>
        <v>8034.2</v>
      </c>
      <c r="L393" s="137">
        <f t="shared" si="69"/>
        <v>0</v>
      </c>
      <c r="M393" s="137">
        <f t="shared" si="69"/>
        <v>8034.2</v>
      </c>
      <c r="N393" s="137">
        <f t="shared" si="69"/>
        <v>8034.2</v>
      </c>
    </row>
    <row r="394" spans="1:14" s="355" customFormat="1" ht="37.5">
      <c r="A394" s="122"/>
      <c r="B394" s="135" t="s">
        <v>228</v>
      </c>
      <c r="C394" s="136" t="s">
        <v>609</v>
      </c>
      <c r="D394" s="121" t="s">
        <v>125</v>
      </c>
      <c r="E394" s="121" t="s">
        <v>72</v>
      </c>
      <c r="F394" s="734" t="s">
        <v>59</v>
      </c>
      <c r="G394" s="735" t="s">
        <v>65</v>
      </c>
      <c r="H394" s="735" t="s">
        <v>63</v>
      </c>
      <c r="I394" s="736" t="s">
        <v>64</v>
      </c>
      <c r="J394" s="121"/>
      <c r="K394" s="713">
        <f t="shared" si="69"/>
        <v>8034.2</v>
      </c>
      <c r="L394" s="137">
        <f t="shared" si="69"/>
        <v>0</v>
      </c>
      <c r="M394" s="137">
        <f t="shared" si="69"/>
        <v>8034.2</v>
      </c>
      <c r="N394" s="137">
        <f t="shared" si="69"/>
        <v>8034.2</v>
      </c>
    </row>
    <row r="395" spans="1:14" s="355" customFormat="1" ht="37.5">
      <c r="A395" s="122"/>
      <c r="B395" s="135" t="s">
        <v>307</v>
      </c>
      <c r="C395" s="136" t="s">
        <v>609</v>
      </c>
      <c r="D395" s="121" t="s">
        <v>125</v>
      </c>
      <c r="E395" s="121" t="s">
        <v>72</v>
      </c>
      <c r="F395" s="734" t="s">
        <v>59</v>
      </c>
      <c r="G395" s="735" t="s">
        <v>65</v>
      </c>
      <c r="H395" s="735" t="s">
        <v>57</v>
      </c>
      <c r="I395" s="736" t="s">
        <v>64</v>
      </c>
      <c r="J395" s="121"/>
      <c r="K395" s="713">
        <f t="shared" si="69"/>
        <v>8034.2</v>
      </c>
      <c r="L395" s="137">
        <f t="shared" si="69"/>
        <v>0</v>
      </c>
      <c r="M395" s="137">
        <f t="shared" si="69"/>
        <v>8034.2</v>
      </c>
      <c r="N395" s="137">
        <f t="shared" si="69"/>
        <v>8034.2</v>
      </c>
    </row>
    <row r="396" spans="1:14" s="355" customFormat="1" ht="133.5" customHeight="1">
      <c r="A396" s="122"/>
      <c r="B396" s="135" t="s">
        <v>323</v>
      </c>
      <c r="C396" s="136" t="s">
        <v>609</v>
      </c>
      <c r="D396" s="121" t="s">
        <v>125</v>
      </c>
      <c r="E396" s="121" t="s">
        <v>72</v>
      </c>
      <c r="F396" s="734" t="s">
        <v>59</v>
      </c>
      <c r="G396" s="735" t="s">
        <v>65</v>
      </c>
      <c r="H396" s="735" t="s">
        <v>57</v>
      </c>
      <c r="I396" s="736" t="s">
        <v>324</v>
      </c>
      <c r="J396" s="121"/>
      <c r="K396" s="713">
        <f>K397+K398</f>
        <v>8034.2</v>
      </c>
      <c r="L396" s="137">
        <f>L397+L398</f>
        <v>0</v>
      </c>
      <c r="M396" s="137">
        <f>M397+M398</f>
        <v>8034.2</v>
      </c>
      <c r="N396" s="137">
        <f>N397+N398</f>
        <v>8034.2</v>
      </c>
    </row>
    <row r="397" spans="1:14" s="355" customFormat="1" ht="56.25">
      <c r="A397" s="122"/>
      <c r="B397" s="135" t="s">
        <v>75</v>
      </c>
      <c r="C397" s="136" t="s">
        <v>609</v>
      </c>
      <c r="D397" s="121" t="s">
        <v>125</v>
      </c>
      <c r="E397" s="121" t="s">
        <v>72</v>
      </c>
      <c r="F397" s="734" t="s">
        <v>59</v>
      </c>
      <c r="G397" s="735" t="s">
        <v>65</v>
      </c>
      <c r="H397" s="735" t="s">
        <v>57</v>
      </c>
      <c r="I397" s="736" t="s">
        <v>324</v>
      </c>
      <c r="J397" s="121" t="s">
        <v>76</v>
      </c>
      <c r="K397" s="713">
        <v>118.7</v>
      </c>
      <c r="L397" s="137">
        <f>M397-K397</f>
        <v>0</v>
      </c>
      <c r="M397" s="137">
        <v>118.7</v>
      </c>
      <c r="N397" s="137">
        <v>118.7</v>
      </c>
    </row>
    <row r="398" spans="1:14" s="355" customFormat="1" ht="37.5">
      <c r="A398" s="122"/>
      <c r="B398" s="139" t="s">
        <v>141</v>
      </c>
      <c r="C398" s="136" t="s">
        <v>609</v>
      </c>
      <c r="D398" s="121" t="s">
        <v>125</v>
      </c>
      <c r="E398" s="121" t="s">
        <v>72</v>
      </c>
      <c r="F398" s="734" t="s">
        <v>59</v>
      </c>
      <c r="G398" s="735" t="s">
        <v>65</v>
      </c>
      <c r="H398" s="735" t="s">
        <v>57</v>
      </c>
      <c r="I398" s="736" t="s">
        <v>324</v>
      </c>
      <c r="J398" s="121" t="s">
        <v>142</v>
      </c>
      <c r="K398" s="713">
        <v>7915.5</v>
      </c>
      <c r="L398" s="137">
        <f>M398-K398</f>
        <v>0</v>
      </c>
      <c r="M398" s="137">
        <v>7915.5</v>
      </c>
      <c r="N398" s="137">
        <v>7915.5</v>
      </c>
    </row>
    <row r="399" spans="1:14" s="357" customFormat="1" ht="18.75">
      <c r="A399" s="122"/>
      <c r="B399" s="135"/>
      <c r="C399" s="136"/>
      <c r="D399" s="121"/>
      <c r="E399" s="121"/>
      <c r="F399" s="734"/>
      <c r="G399" s="735"/>
      <c r="H399" s="735"/>
      <c r="I399" s="736"/>
      <c r="J399" s="121"/>
      <c r="K399" s="713"/>
      <c r="L399" s="137"/>
      <c r="M399" s="137"/>
      <c r="N399" s="137"/>
    </row>
    <row r="400" spans="1:14" s="351" customFormat="1" ht="56.25">
      <c r="A400" s="350">
        <v>6</v>
      </c>
      <c r="B400" s="388" t="s">
        <v>25</v>
      </c>
      <c r="C400" s="130" t="s">
        <v>377</v>
      </c>
      <c r="D400" s="131"/>
      <c r="E400" s="131"/>
      <c r="F400" s="132"/>
      <c r="G400" s="133"/>
      <c r="H400" s="133"/>
      <c r="I400" s="134"/>
      <c r="J400" s="131"/>
      <c r="K400" s="712">
        <f>K407+K422+K401</f>
        <v>91914</v>
      </c>
      <c r="L400" s="160">
        <f>L407+L422+L401</f>
        <v>0</v>
      </c>
      <c r="M400" s="160">
        <f>M407+M422+M401</f>
        <v>91914</v>
      </c>
      <c r="N400" s="160">
        <f>N407+N422+N401</f>
        <v>92030.5</v>
      </c>
    </row>
    <row r="401" spans="1:14" s="351" customFormat="1" ht="18.75">
      <c r="A401" s="350"/>
      <c r="B401" s="135" t="s">
        <v>56</v>
      </c>
      <c r="C401" s="136" t="s">
        <v>377</v>
      </c>
      <c r="D401" s="152" t="s">
        <v>57</v>
      </c>
      <c r="E401" s="131"/>
      <c r="F401" s="132"/>
      <c r="G401" s="133"/>
      <c r="H401" s="133"/>
      <c r="I401" s="134"/>
      <c r="J401" s="131"/>
      <c r="K401" s="713">
        <f t="shared" ref="K401:M404" si="70">K402</f>
        <v>28</v>
      </c>
      <c r="L401" s="538">
        <f t="shared" si="70"/>
        <v>0</v>
      </c>
      <c r="M401" s="538">
        <f t="shared" si="70"/>
        <v>28</v>
      </c>
      <c r="N401" s="538">
        <f t="shared" ref="N401:N404" si="71">N402</f>
        <v>28</v>
      </c>
    </row>
    <row r="402" spans="1:14" s="351" customFormat="1" ht="18.75">
      <c r="A402" s="350"/>
      <c r="B402" s="135" t="s">
        <v>91</v>
      </c>
      <c r="C402" s="136" t="s">
        <v>377</v>
      </c>
      <c r="D402" s="152" t="s">
        <v>57</v>
      </c>
      <c r="E402" s="152" t="s">
        <v>92</v>
      </c>
      <c r="F402" s="132"/>
      <c r="G402" s="133"/>
      <c r="H402" s="133"/>
      <c r="I402" s="134"/>
      <c r="J402" s="131"/>
      <c r="K402" s="713">
        <f t="shared" si="70"/>
        <v>28</v>
      </c>
      <c r="L402" s="538">
        <f t="shared" si="70"/>
        <v>0</v>
      </c>
      <c r="M402" s="538">
        <f t="shared" si="70"/>
        <v>28</v>
      </c>
      <c r="N402" s="538">
        <f t="shared" si="71"/>
        <v>28</v>
      </c>
    </row>
    <row r="403" spans="1:14" s="351" customFormat="1" ht="56.25">
      <c r="A403" s="350"/>
      <c r="B403" s="135" t="s">
        <v>238</v>
      </c>
      <c r="C403" s="136" t="s">
        <v>377</v>
      </c>
      <c r="D403" s="152" t="s">
        <v>57</v>
      </c>
      <c r="E403" s="152" t="s">
        <v>92</v>
      </c>
      <c r="F403" s="535" t="s">
        <v>84</v>
      </c>
      <c r="G403" s="536" t="s">
        <v>50</v>
      </c>
      <c r="H403" s="536" t="s">
        <v>63</v>
      </c>
      <c r="I403" s="537" t="s">
        <v>64</v>
      </c>
      <c r="J403" s="131"/>
      <c r="K403" s="713">
        <f t="shared" si="70"/>
        <v>28</v>
      </c>
      <c r="L403" s="538">
        <f t="shared" si="70"/>
        <v>0</v>
      </c>
      <c r="M403" s="538">
        <f t="shared" si="70"/>
        <v>28</v>
      </c>
      <c r="N403" s="538">
        <f t="shared" si="71"/>
        <v>28</v>
      </c>
    </row>
    <row r="404" spans="1:14" s="351" customFormat="1" ht="37.5">
      <c r="A404" s="350"/>
      <c r="B404" s="135" t="s">
        <v>428</v>
      </c>
      <c r="C404" s="136" t="s">
        <v>377</v>
      </c>
      <c r="D404" s="152" t="s">
        <v>57</v>
      </c>
      <c r="E404" s="152" t="s">
        <v>92</v>
      </c>
      <c r="F404" s="535" t="s">
        <v>84</v>
      </c>
      <c r="G404" s="536" t="s">
        <v>50</v>
      </c>
      <c r="H404" s="536" t="s">
        <v>59</v>
      </c>
      <c r="I404" s="537" t="s">
        <v>64</v>
      </c>
      <c r="J404" s="131"/>
      <c r="K404" s="713">
        <f t="shared" si="70"/>
        <v>28</v>
      </c>
      <c r="L404" s="538">
        <f t="shared" si="70"/>
        <v>0</v>
      </c>
      <c r="M404" s="538">
        <f t="shared" si="70"/>
        <v>28</v>
      </c>
      <c r="N404" s="538">
        <f t="shared" si="71"/>
        <v>28</v>
      </c>
    </row>
    <row r="405" spans="1:14" s="351" customFormat="1" ht="75">
      <c r="A405" s="350"/>
      <c r="B405" s="135" t="s">
        <v>429</v>
      </c>
      <c r="C405" s="136" t="s">
        <v>377</v>
      </c>
      <c r="D405" s="152" t="s">
        <v>57</v>
      </c>
      <c r="E405" s="152" t="s">
        <v>92</v>
      </c>
      <c r="F405" s="535" t="s">
        <v>84</v>
      </c>
      <c r="G405" s="536" t="s">
        <v>50</v>
      </c>
      <c r="H405" s="536" t="s">
        <v>59</v>
      </c>
      <c r="I405" s="537" t="s">
        <v>126</v>
      </c>
      <c r="J405" s="131"/>
      <c r="K405" s="713">
        <f>K406</f>
        <v>28</v>
      </c>
      <c r="L405" s="538">
        <f>L406</f>
        <v>0</v>
      </c>
      <c r="M405" s="538">
        <f>M406</f>
        <v>28</v>
      </c>
      <c r="N405" s="538">
        <f>N406</f>
        <v>28</v>
      </c>
    </row>
    <row r="406" spans="1:14" s="351" customFormat="1" ht="56.25">
      <c r="A406" s="350"/>
      <c r="B406" s="135" t="s">
        <v>75</v>
      </c>
      <c r="C406" s="136" t="s">
        <v>377</v>
      </c>
      <c r="D406" s="152" t="s">
        <v>57</v>
      </c>
      <c r="E406" s="152" t="s">
        <v>92</v>
      </c>
      <c r="F406" s="535" t="s">
        <v>84</v>
      </c>
      <c r="G406" s="536" t="s">
        <v>50</v>
      </c>
      <c r="H406" s="536" t="s">
        <v>59</v>
      </c>
      <c r="I406" s="537" t="s">
        <v>126</v>
      </c>
      <c r="J406" s="152" t="s">
        <v>76</v>
      </c>
      <c r="K406" s="713">
        <v>28</v>
      </c>
      <c r="L406" s="137">
        <f>M406-K406</f>
        <v>0</v>
      </c>
      <c r="M406" s="538">
        <v>28</v>
      </c>
      <c r="N406" s="538">
        <v>28</v>
      </c>
    </row>
    <row r="407" spans="1:14" s="118" customFormat="1" ht="18.75">
      <c r="A407" s="122"/>
      <c r="B407" s="141" t="s">
        <v>201</v>
      </c>
      <c r="C407" s="136" t="s">
        <v>377</v>
      </c>
      <c r="D407" s="121" t="s">
        <v>246</v>
      </c>
      <c r="E407" s="121"/>
      <c r="F407" s="734"/>
      <c r="G407" s="735"/>
      <c r="H407" s="735"/>
      <c r="I407" s="736"/>
      <c r="J407" s="121"/>
      <c r="K407" s="713">
        <f>K408+K416</f>
        <v>57999.199999999997</v>
      </c>
      <c r="L407" s="137">
        <f>L408+L416</f>
        <v>0</v>
      </c>
      <c r="M407" s="137">
        <f>M408+M416</f>
        <v>57999.199999999997</v>
      </c>
      <c r="N407" s="137">
        <f>N408+N416</f>
        <v>58023.9</v>
      </c>
    </row>
    <row r="408" spans="1:14" s="351" customFormat="1" ht="18.75">
      <c r="A408" s="122"/>
      <c r="B408" s="141" t="s">
        <v>424</v>
      </c>
      <c r="C408" s="136" t="s">
        <v>377</v>
      </c>
      <c r="D408" s="121" t="s">
        <v>246</v>
      </c>
      <c r="E408" s="121" t="s">
        <v>84</v>
      </c>
      <c r="F408" s="734"/>
      <c r="G408" s="735"/>
      <c r="H408" s="735"/>
      <c r="I408" s="736"/>
      <c r="J408" s="121"/>
      <c r="K408" s="713">
        <f t="shared" ref="K408:N408" si="72">K409</f>
        <v>57721.299999999996</v>
      </c>
      <c r="L408" s="137">
        <f t="shared" si="72"/>
        <v>0</v>
      </c>
      <c r="M408" s="137">
        <f t="shared" si="72"/>
        <v>57721.299999999996</v>
      </c>
      <c r="N408" s="137">
        <f t="shared" si="72"/>
        <v>57746</v>
      </c>
    </row>
    <row r="409" spans="1:14" s="351" customFormat="1" ht="56.25">
      <c r="A409" s="122"/>
      <c r="B409" s="141" t="s">
        <v>235</v>
      </c>
      <c r="C409" s="136" t="s">
        <v>377</v>
      </c>
      <c r="D409" s="121" t="s">
        <v>246</v>
      </c>
      <c r="E409" s="121" t="s">
        <v>84</v>
      </c>
      <c r="F409" s="734" t="s">
        <v>84</v>
      </c>
      <c r="G409" s="735" t="s">
        <v>62</v>
      </c>
      <c r="H409" s="735" t="s">
        <v>63</v>
      </c>
      <c r="I409" s="736" t="s">
        <v>64</v>
      </c>
      <c r="J409" s="121"/>
      <c r="K409" s="713">
        <f>K410+K436</f>
        <v>57721.299999999996</v>
      </c>
      <c r="L409" s="137">
        <f>L410+L436</f>
        <v>0</v>
      </c>
      <c r="M409" s="137">
        <f>M410+M436</f>
        <v>57721.299999999996</v>
      </c>
      <c r="N409" s="137">
        <f>N410+N436</f>
        <v>57746</v>
      </c>
    </row>
    <row r="410" spans="1:14" s="351" customFormat="1" ht="75">
      <c r="A410" s="122"/>
      <c r="B410" s="141" t="s">
        <v>236</v>
      </c>
      <c r="C410" s="136" t="s">
        <v>377</v>
      </c>
      <c r="D410" s="121" t="s">
        <v>246</v>
      </c>
      <c r="E410" s="121" t="s">
        <v>84</v>
      </c>
      <c r="F410" s="734" t="s">
        <v>84</v>
      </c>
      <c r="G410" s="735" t="s">
        <v>65</v>
      </c>
      <c r="H410" s="735" t="s">
        <v>63</v>
      </c>
      <c r="I410" s="736" t="s">
        <v>64</v>
      </c>
      <c r="J410" s="121"/>
      <c r="K410" s="713">
        <f t="shared" ref="K410:N412" si="73">K411</f>
        <v>57661.299999999996</v>
      </c>
      <c r="L410" s="137">
        <f t="shared" si="73"/>
        <v>0</v>
      </c>
      <c r="M410" s="137">
        <f t="shared" si="73"/>
        <v>57661.299999999996</v>
      </c>
      <c r="N410" s="137">
        <f t="shared" si="73"/>
        <v>57688.1</v>
      </c>
    </row>
    <row r="411" spans="1:14" s="351" customFormat="1" ht="37.5">
      <c r="A411" s="122"/>
      <c r="B411" s="141" t="s">
        <v>316</v>
      </c>
      <c r="C411" s="136" t="s">
        <v>377</v>
      </c>
      <c r="D411" s="121" t="s">
        <v>246</v>
      </c>
      <c r="E411" s="121" t="s">
        <v>84</v>
      </c>
      <c r="F411" s="734" t="s">
        <v>84</v>
      </c>
      <c r="G411" s="735" t="s">
        <v>65</v>
      </c>
      <c r="H411" s="735" t="s">
        <v>57</v>
      </c>
      <c r="I411" s="736" t="s">
        <v>64</v>
      </c>
      <c r="J411" s="121"/>
      <c r="K411" s="713">
        <f>K412+K414</f>
        <v>57661.299999999996</v>
      </c>
      <c r="L411" s="137">
        <f>L412+L414</f>
        <v>0</v>
      </c>
      <c r="M411" s="137">
        <f>M412+M414</f>
        <v>57661.299999999996</v>
      </c>
      <c r="N411" s="137">
        <f>N412+N414</f>
        <v>57688.1</v>
      </c>
    </row>
    <row r="412" spans="1:14" s="351" customFormat="1" ht="56.25">
      <c r="A412" s="122"/>
      <c r="B412" s="274" t="s">
        <v>795</v>
      </c>
      <c r="C412" s="136" t="s">
        <v>377</v>
      </c>
      <c r="D412" s="121" t="s">
        <v>246</v>
      </c>
      <c r="E412" s="121" t="s">
        <v>84</v>
      </c>
      <c r="F412" s="734" t="s">
        <v>84</v>
      </c>
      <c r="G412" s="735" t="s">
        <v>65</v>
      </c>
      <c r="H412" s="735" t="s">
        <v>57</v>
      </c>
      <c r="I412" s="736" t="s">
        <v>112</v>
      </c>
      <c r="J412" s="121"/>
      <c r="K412" s="713">
        <f t="shared" si="73"/>
        <v>56386.6</v>
      </c>
      <c r="L412" s="137">
        <f t="shared" si="73"/>
        <v>0</v>
      </c>
      <c r="M412" s="137">
        <f t="shared" si="73"/>
        <v>56386.6</v>
      </c>
      <c r="N412" s="137">
        <f t="shared" si="73"/>
        <v>56413.4</v>
      </c>
    </row>
    <row r="413" spans="1:14" s="118" customFormat="1" ht="56.25">
      <c r="A413" s="122"/>
      <c r="B413" s="139" t="s">
        <v>97</v>
      </c>
      <c r="C413" s="136" t="s">
        <v>377</v>
      </c>
      <c r="D413" s="121" t="s">
        <v>246</v>
      </c>
      <c r="E413" s="121" t="s">
        <v>84</v>
      </c>
      <c r="F413" s="734" t="s">
        <v>84</v>
      </c>
      <c r="G413" s="735" t="s">
        <v>65</v>
      </c>
      <c r="H413" s="735" t="s">
        <v>57</v>
      </c>
      <c r="I413" s="736" t="s">
        <v>112</v>
      </c>
      <c r="J413" s="121" t="s">
        <v>98</v>
      </c>
      <c r="K413" s="713">
        <v>56386.6</v>
      </c>
      <c r="L413" s="137">
        <f>M413-K413</f>
        <v>0</v>
      </c>
      <c r="M413" s="137">
        <v>56386.6</v>
      </c>
      <c r="N413" s="137">
        <v>56413.4</v>
      </c>
    </row>
    <row r="414" spans="1:14" s="118" customFormat="1" ht="37.5">
      <c r="A414" s="122"/>
      <c r="B414" s="139" t="s">
        <v>378</v>
      </c>
      <c r="C414" s="136" t="s">
        <v>377</v>
      </c>
      <c r="D414" s="121" t="s">
        <v>246</v>
      </c>
      <c r="E414" s="121" t="s">
        <v>84</v>
      </c>
      <c r="F414" s="734" t="s">
        <v>84</v>
      </c>
      <c r="G414" s="735" t="s">
        <v>65</v>
      </c>
      <c r="H414" s="735" t="s">
        <v>57</v>
      </c>
      <c r="I414" s="736" t="s">
        <v>379</v>
      </c>
      <c r="J414" s="121"/>
      <c r="K414" s="713">
        <f>K415</f>
        <v>1274.7</v>
      </c>
      <c r="L414" s="137">
        <f>L415</f>
        <v>0</v>
      </c>
      <c r="M414" s="137">
        <f>M415</f>
        <v>1274.7</v>
      </c>
      <c r="N414" s="137">
        <f>N415</f>
        <v>1274.7</v>
      </c>
    </row>
    <row r="415" spans="1:14" s="118" customFormat="1" ht="56.25">
      <c r="A415" s="122"/>
      <c r="B415" s="139" t="s">
        <v>97</v>
      </c>
      <c r="C415" s="136" t="s">
        <v>377</v>
      </c>
      <c r="D415" s="121" t="s">
        <v>246</v>
      </c>
      <c r="E415" s="121" t="s">
        <v>84</v>
      </c>
      <c r="F415" s="734" t="s">
        <v>84</v>
      </c>
      <c r="G415" s="735" t="s">
        <v>65</v>
      </c>
      <c r="H415" s="735" t="s">
        <v>57</v>
      </c>
      <c r="I415" s="736" t="s">
        <v>379</v>
      </c>
      <c r="J415" s="121" t="s">
        <v>98</v>
      </c>
      <c r="K415" s="713">
        <v>1274.7</v>
      </c>
      <c r="L415" s="137">
        <f>M415-K415</f>
        <v>0</v>
      </c>
      <c r="M415" s="137">
        <v>1274.7</v>
      </c>
      <c r="N415" s="137">
        <v>1274.7</v>
      </c>
    </row>
    <row r="416" spans="1:14" s="118" customFormat="1" ht="18.75">
      <c r="A416" s="122"/>
      <c r="B416" s="139" t="s">
        <v>808</v>
      </c>
      <c r="C416" s="136" t="s">
        <v>377</v>
      </c>
      <c r="D416" s="121" t="s">
        <v>246</v>
      </c>
      <c r="E416" s="121" t="s">
        <v>246</v>
      </c>
      <c r="F416" s="734"/>
      <c r="G416" s="735"/>
      <c r="H416" s="735"/>
      <c r="I416" s="736"/>
      <c r="J416" s="121"/>
      <c r="K416" s="713">
        <f t="shared" ref="K416:M419" si="74">K417</f>
        <v>277.89999999999998</v>
      </c>
      <c r="L416" s="137">
        <f t="shared" si="74"/>
        <v>0</v>
      </c>
      <c r="M416" s="137">
        <f t="shared" si="74"/>
        <v>277.89999999999998</v>
      </c>
      <c r="N416" s="137">
        <f t="shared" ref="N416:N419" si="75">N417</f>
        <v>277.89999999999998</v>
      </c>
    </row>
    <row r="417" spans="1:14" s="118" customFormat="1" ht="56.25">
      <c r="A417" s="122"/>
      <c r="B417" s="141" t="s">
        <v>235</v>
      </c>
      <c r="C417" s="136" t="s">
        <v>377</v>
      </c>
      <c r="D417" s="121" t="s">
        <v>246</v>
      </c>
      <c r="E417" s="121" t="s">
        <v>246</v>
      </c>
      <c r="F417" s="734" t="s">
        <v>84</v>
      </c>
      <c r="G417" s="735" t="s">
        <v>62</v>
      </c>
      <c r="H417" s="735" t="s">
        <v>63</v>
      </c>
      <c r="I417" s="736" t="s">
        <v>64</v>
      </c>
      <c r="J417" s="121"/>
      <c r="K417" s="713">
        <f t="shared" si="74"/>
        <v>277.89999999999998</v>
      </c>
      <c r="L417" s="137">
        <f t="shared" si="74"/>
        <v>0</v>
      </c>
      <c r="M417" s="137">
        <f t="shared" si="74"/>
        <v>277.89999999999998</v>
      </c>
      <c r="N417" s="137">
        <f t="shared" si="75"/>
        <v>277.89999999999998</v>
      </c>
    </row>
    <row r="418" spans="1:14" s="118" customFormat="1" ht="75">
      <c r="A418" s="122"/>
      <c r="B418" s="141" t="s">
        <v>236</v>
      </c>
      <c r="C418" s="136" t="s">
        <v>377</v>
      </c>
      <c r="D418" s="121" t="s">
        <v>246</v>
      </c>
      <c r="E418" s="121" t="s">
        <v>246</v>
      </c>
      <c r="F418" s="734" t="s">
        <v>84</v>
      </c>
      <c r="G418" s="735" t="s">
        <v>65</v>
      </c>
      <c r="H418" s="735" t="s">
        <v>63</v>
      </c>
      <c r="I418" s="736" t="s">
        <v>64</v>
      </c>
      <c r="J418" s="121"/>
      <c r="K418" s="713">
        <f t="shared" si="74"/>
        <v>277.89999999999998</v>
      </c>
      <c r="L418" s="137">
        <f t="shared" si="74"/>
        <v>0</v>
      </c>
      <c r="M418" s="137">
        <f t="shared" si="74"/>
        <v>277.89999999999998</v>
      </c>
      <c r="N418" s="137">
        <f t="shared" si="75"/>
        <v>277.89999999999998</v>
      </c>
    </row>
    <row r="419" spans="1:14" s="118" customFormat="1" ht="58.5" customHeight="1">
      <c r="A419" s="122"/>
      <c r="B419" s="139" t="s">
        <v>321</v>
      </c>
      <c r="C419" s="136" t="s">
        <v>377</v>
      </c>
      <c r="D419" s="121" t="s">
        <v>246</v>
      </c>
      <c r="E419" s="121" t="s">
        <v>246</v>
      </c>
      <c r="F419" s="734" t="s">
        <v>84</v>
      </c>
      <c r="G419" s="735" t="s">
        <v>65</v>
      </c>
      <c r="H419" s="735" t="s">
        <v>86</v>
      </c>
      <c r="I419" s="736" t="s">
        <v>64</v>
      </c>
      <c r="J419" s="121"/>
      <c r="K419" s="713">
        <f t="shared" si="74"/>
        <v>277.89999999999998</v>
      </c>
      <c r="L419" s="137">
        <f t="shared" si="74"/>
        <v>0</v>
      </c>
      <c r="M419" s="137">
        <f t="shared" si="74"/>
        <v>277.89999999999998</v>
      </c>
      <c r="N419" s="137">
        <f t="shared" si="75"/>
        <v>277.89999999999998</v>
      </c>
    </row>
    <row r="420" spans="1:14" s="118" customFormat="1" ht="37.5">
      <c r="A420" s="122"/>
      <c r="B420" s="139" t="s">
        <v>810</v>
      </c>
      <c r="C420" s="136" t="s">
        <v>377</v>
      </c>
      <c r="D420" s="121" t="s">
        <v>246</v>
      </c>
      <c r="E420" s="121" t="s">
        <v>246</v>
      </c>
      <c r="F420" s="734" t="s">
        <v>84</v>
      </c>
      <c r="G420" s="735" t="s">
        <v>65</v>
      </c>
      <c r="H420" s="735" t="s">
        <v>86</v>
      </c>
      <c r="I420" s="736" t="s">
        <v>809</v>
      </c>
      <c r="J420" s="121"/>
      <c r="K420" s="713">
        <f>K421</f>
        <v>277.89999999999998</v>
      </c>
      <c r="L420" s="137">
        <f>L421</f>
        <v>0</v>
      </c>
      <c r="M420" s="137">
        <f>M421</f>
        <v>277.89999999999998</v>
      </c>
      <c r="N420" s="137">
        <f>N421</f>
        <v>277.89999999999998</v>
      </c>
    </row>
    <row r="421" spans="1:14" s="118" customFormat="1" ht="56.25">
      <c r="A421" s="122"/>
      <c r="B421" s="139" t="s">
        <v>97</v>
      </c>
      <c r="C421" s="136" t="s">
        <v>377</v>
      </c>
      <c r="D421" s="121" t="s">
        <v>246</v>
      </c>
      <c r="E421" s="121" t="s">
        <v>246</v>
      </c>
      <c r="F421" s="734" t="s">
        <v>84</v>
      </c>
      <c r="G421" s="735" t="s">
        <v>65</v>
      </c>
      <c r="H421" s="735" t="s">
        <v>86</v>
      </c>
      <c r="I421" s="736" t="s">
        <v>809</v>
      </c>
      <c r="J421" s="121" t="s">
        <v>98</v>
      </c>
      <c r="K421" s="713">
        <f>277.9</f>
        <v>277.89999999999998</v>
      </c>
      <c r="L421" s="137">
        <f>M421-K421</f>
        <v>0</v>
      </c>
      <c r="M421" s="137">
        <f>277.9</f>
        <v>277.89999999999998</v>
      </c>
      <c r="N421" s="137">
        <v>277.89999999999998</v>
      </c>
    </row>
    <row r="422" spans="1:14" s="118" customFormat="1" ht="18.75">
      <c r="A422" s="122"/>
      <c r="B422" s="135" t="s">
        <v>210</v>
      </c>
      <c r="C422" s="136" t="s">
        <v>377</v>
      </c>
      <c r="D422" s="121" t="s">
        <v>248</v>
      </c>
      <c r="E422" s="121"/>
      <c r="F422" s="734"/>
      <c r="G422" s="735"/>
      <c r="H422" s="735"/>
      <c r="I422" s="736"/>
      <c r="J422" s="121"/>
      <c r="K422" s="713">
        <f>K423+K442</f>
        <v>33886.800000000003</v>
      </c>
      <c r="L422" s="137">
        <f>L423+L442</f>
        <v>0</v>
      </c>
      <c r="M422" s="137">
        <f>M423+M442</f>
        <v>33886.800000000003</v>
      </c>
      <c r="N422" s="137">
        <f>N423+N442</f>
        <v>33978.600000000006</v>
      </c>
    </row>
    <row r="423" spans="1:14" s="118" customFormat="1" ht="18.75">
      <c r="A423" s="122"/>
      <c r="B423" s="135" t="s">
        <v>212</v>
      </c>
      <c r="C423" s="136" t="s">
        <v>377</v>
      </c>
      <c r="D423" s="121" t="s">
        <v>248</v>
      </c>
      <c r="E423" s="121" t="s">
        <v>57</v>
      </c>
      <c r="F423" s="734"/>
      <c r="G423" s="735"/>
      <c r="H423" s="735"/>
      <c r="I423" s="736"/>
      <c r="J423" s="121"/>
      <c r="K423" s="713">
        <f t="shared" ref="K423:N424" si="76">K424</f>
        <v>24640.7</v>
      </c>
      <c r="L423" s="137">
        <f t="shared" si="76"/>
        <v>0</v>
      </c>
      <c r="M423" s="137">
        <f t="shared" si="76"/>
        <v>24640.7</v>
      </c>
      <c r="N423" s="137">
        <f t="shared" si="76"/>
        <v>24674.7</v>
      </c>
    </row>
    <row r="424" spans="1:14" s="118" customFormat="1" ht="56.25">
      <c r="A424" s="122"/>
      <c r="B424" s="141" t="s">
        <v>235</v>
      </c>
      <c r="C424" s="136" t="s">
        <v>377</v>
      </c>
      <c r="D424" s="121" t="s">
        <v>248</v>
      </c>
      <c r="E424" s="121" t="s">
        <v>57</v>
      </c>
      <c r="F424" s="734" t="s">
        <v>84</v>
      </c>
      <c r="G424" s="735" t="s">
        <v>62</v>
      </c>
      <c r="H424" s="735" t="s">
        <v>63</v>
      </c>
      <c r="I424" s="736" t="s">
        <v>64</v>
      </c>
      <c r="J424" s="121"/>
      <c r="K424" s="713">
        <f t="shared" si="76"/>
        <v>24640.7</v>
      </c>
      <c r="L424" s="137">
        <f t="shared" si="76"/>
        <v>0</v>
      </c>
      <c r="M424" s="137">
        <f t="shared" si="76"/>
        <v>24640.7</v>
      </c>
      <c r="N424" s="137">
        <f t="shared" si="76"/>
        <v>24674.7</v>
      </c>
    </row>
    <row r="425" spans="1:14" s="118" customFormat="1" ht="75">
      <c r="A425" s="122"/>
      <c r="B425" s="141" t="s">
        <v>236</v>
      </c>
      <c r="C425" s="136" t="s">
        <v>377</v>
      </c>
      <c r="D425" s="121" t="s">
        <v>248</v>
      </c>
      <c r="E425" s="121" t="s">
        <v>57</v>
      </c>
      <c r="F425" s="151" t="s">
        <v>84</v>
      </c>
      <c r="G425" s="291" t="s">
        <v>65</v>
      </c>
      <c r="H425" s="291" t="s">
        <v>63</v>
      </c>
      <c r="I425" s="292" t="s">
        <v>64</v>
      </c>
      <c r="J425" s="293"/>
      <c r="K425" s="713">
        <f>K426+K431</f>
        <v>24640.7</v>
      </c>
      <c r="L425" s="137">
        <f>L426+L431</f>
        <v>0</v>
      </c>
      <c r="M425" s="137">
        <f>M426+M431</f>
        <v>24640.7</v>
      </c>
      <c r="N425" s="137">
        <f>N426+N431</f>
        <v>24674.7</v>
      </c>
    </row>
    <row r="426" spans="1:14" s="118" customFormat="1" ht="18.75">
      <c r="A426" s="122"/>
      <c r="B426" s="135" t="s">
        <v>380</v>
      </c>
      <c r="C426" s="136" t="s">
        <v>377</v>
      </c>
      <c r="D426" s="121" t="s">
        <v>248</v>
      </c>
      <c r="E426" s="121" t="s">
        <v>57</v>
      </c>
      <c r="F426" s="151" t="s">
        <v>84</v>
      </c>
      <c r="G426" s="291" t="s">
        <v>65</v>
      </c>
      <c r="H426" s="291" t="s">
        <v>84</v>
      </c>
      <c r="I426" s="292" t="s">
        <v>64</v>
      </c>
      <c r="J426" s="293"/>
      <c r="K426" s="713">
        <f t="shared" ref="K426" si="77">K427+K429</f>
        <v>11645.9</v>
      </c>
      <c r="L426" s="137">
        <f t="shared" ref="L426" si="78">L427+L429</f>
        <v>0</v>
      </c>
      <c r="M426" s="137">
        <f t="shared" ref="M426:N426" si="79">M427+M429</f>
        <v>11645.9</v>
      </c>
      <c r="N426" s="137">
        <f t="shared" si="79"/>
        <v>11655.5</v>
      </c>
    </row>
    <row r="427" spans="1:14" s="118" customFormat="1" ht="41.25" customHeight="1">
      <c r="A427" s="122"/>
      <c r="B427" s="274" t="s">
        <v>795</v>
      </c>
      <c r="C427" s="136" t="s">
        <v>377</v>
      </c>
      <c r="D427" s="121" t="s">
        <v>248</v>
      </c>
      <c r="E427" s="121" t="s">
        <v>57</v>
      </c>
      <c r="F427" s="151" t="s">
        <v>84</v>
      </c>
      <c r="G427" s="291" t="s">
        <v>65</v>
      </c>
      <c r="H427" s="291" t="s">
        <v>84</v>
      </c>
      <c r="I427" s="292" t="s">
        <v>112</v>
      </c>
      <c r="J427" s="293"/>
      <c r="K427" s="713">
        <f>K428</f>
        <v>11498.5</v>
      </c>
      <c r="L427" s="137">
        <f>L428</f>
        <v>0</v>
      </c>
      <c r="M427" s="137">
        <f>M428</f>
        <v>11498.5</v>
      </c>
      <c r="N427" s="137">
        <f>N428</f>
        <v>11508.1</v>
      </c>
    </row>
    <row r="428" spans="1:14" s="118" customFormat="1" ht="56.25">
      <c r="A428" s="122"/>
      <c r="B428" s="139" t="s">
        <v>97</v>
      </c>
      <c r="C428" s="136" t="s">
        <v>377</v>
      </c>
      <c r="D428" s="121" t="s">
        <v>248</v>
      </c>
      <c r="E428" s="121" t="s">
        <v>57</v>
      </c>
      <c r="F428" s="734" t="s">
        <v>84</v>
      </c>
      <c r="G428" s="735" t="s">
        <v>65</v>
      </c>
      <c r="H428" s="735" t="s">
        <v>84</v>
      </c>
      <c r="I428" s="736" t="s">
        <v>112</v>
      </c>
      <c r="J428" s="121" t="s">
        <v>98</v>
      </c>
      <c r="K428" s="713">
        <v>11498.5</v>
      </c>
      <c r="L428" s="137">
        <f>M428-K428</f>
        <v>0</v>
      </c>
      <c r="M428" s="137">
        <v>11498.5</v>
      </c>
      <c r="N428" s="137">
        <v>11508.1</v>
      </c>
    </row>
    <row r="429" spans="1:14" s="118" customFormat="1" ht="37.5">
      <c r="A429" s="122"/>
      <c r="B429" s="139" t="s">
        <v>378</v>
      </c>
      <c r="C429" s="136" t="s">
        <v>377</v>
      </c>
      <c r="D429" s="121" t="s">
        <v>248</v>
      </c>
      <c r="E429" s="121" t="s">
        <v>57</v>
      </c>
      <c r="F429" s="734" t="s">
        <v>84</v>
      </c>
      <c r="G429" s="735" t="s">
        <v>65</v>
      </c>
      <c r="H429" s="735" t="s">
        <v>84</v>
      </c>
      <c r="I429" s="736" t="s">
        <v>379</v>
      </c>
      <c r="J429" s="121"/>
      <c r="K429" s="713">
        <f>K430</f>
        <v>147.4</v>
      </c>
      <c r="L429" s="137">
        <f>L430</f>
        <v>0</v>
      </c>
      <c r="M429" s="137">
        <f>M430</f>
        <v>147.4</v>
      </c>
      <c r="N429" s="137">
        <f>N430</f>
        <v>147.4</v>
      </c>
    </row>
    <row r="430" spans="1:14" s="118" customFormat="1" ht="56.25">
      <c r="A430" s="122"/>
      <c r="B430" s="139" t="s">
        <v>97</v>
      </c>
      <c r="C430" s="136" t="s">
        <v>377</v>
      </c>
      <c r="D430" s="121" t="s">
        <v>248</v>
      </c>
      <c r="E430" s="121" t="s">
        <v>57</v>
      </c>
      <c r="F430" s="734" t="s">
        <v>84</v>
      </c>
      <c r="G430" s="735" t="s">
        <v>65</v>
      </c>
      <c r="H430" s="735" t="s">
        <v>84</v>
      </c>
      <c r="I430" s="736" t="s">
        <v>379</v>
      </c>
      <c r="J430" s="121" t="s">
        <v>98</v>
      </c>
      <c r="K430" s="713">
        <v>147.4</v>
      </c>
      <c r="L430" s="137">
        <f>M430-K430</f>
        <v>0</v>
      </c>
      <c r="M430" s="137">
        <v>147.4</v>
      </c>
      <c r="N430" s="137">
        <v>147.4</v>
      </c>
    </row>
    <row r="431" spans="1:14" s="118" customFormat="1" ht="37.5">
      <c r="A431" s="122"/>
      <c r="B431" s="139" t="s">
        <v>382</v>
      </c>
      <c r="C431" s="136" t="s">
        <v>377</v>
      </c>
      <c r="D431" s="121" t="s">
        <v>248</v>
      </c>
      <c r="E431" s="121" t="s">
        <v>57</v>
      </c>
      <c r="F431" s="151" t="s">
        <v>84</v>
      </c>
      <c r="G431" s="291" t="s">
        <v>65</v>
      </c>
      <c r="H431" s="291" t="s">
        <v>72</v>
      </c>
      <c r="I431" s="736" t="s">
        <v>64</v>
      </c>
      <c r="J431" s="121"/>
      <c r="K431" s="713">
        <f>K432</f>
        <v>12994.800000000001</v>
      </c>
      <c r="L431" s="137">
        <f>L432</f>
        <v>0</v>
      </c>
      <c r="M431" s="137">
        <f>M432</f>
        <v>12994.800000000001</v>
      </c>
      <c r="N431" s="137">
        <f>N432</f>
        <v>13019.2</v>
      </c>
    </row>
    <row r="432" spans="1:14" s="118" customFormat="1" ht="37.5" customHeight="1">
      <c r="A432" s="122"/>
      <c r="B432" s="274" t="s">
        <v>795</v>
      </c>
      <c r="C432" s="136" t="s">
        <v>377</v>
      </c>
      <c r="D432" s="121" t="s">
        <v>248</v>
      </c>
      <c r="E432" s="121" t="s">
        <v>57</v>
      </c>
      <c r="F432" s="151" t="s">
        <v>84</v>
      </c>
      <c r="G432" s="291" t="s">
        <v>65</v>
      </c>
      <c r="H432" s="291" t="s">
        <v>72</v>
      </c>
      <c r="I432" s="292" t="s">
        <v>112</v>
      </c>
      <c r="J432" s="293"/>
      <c r="K432" s="713">
        <f>K433+K434+K435</f>
        <v>12994.800000000001</v>
      </c>
      <c r="L432" s="137">
        <f>L433+L434+L435</f>
        <v>0</v>
      </c>
      <c r="M432" s="137">
        <f>M433+M434+M435</f>
        <v>12994.800000000001</v>
      </c>
      <c r="N432" s="137">
        <f>N433+N434+N435</f>
        <v>13019.2</v>
      </c>
    </row>
    <row r="433" spans="1:14" s="118" customFormat="1" ht="112.5">
      <c r="A433" s="122"/>
      <c r="B433" s="135" t="s">
        <v>69</v>
      </c>
      <c r="C433" s="136" t="s">
        <v>377</v>
      </c>
      <c r="D433" s="121" t="s">
        <v>248</v>
      </c>
      <c r="E433" s="121" t="s">
        <v>57</v>
      </c>
      <c r="F433" s="734" t="s">
        <v>84</v>
      </c>
      <c r="G433" s="735" t="s">
        <v>65</v>
      </c>
      <c r="H433" s="735" t="s">
        <v>72</v>
      </c>
      <c r="I433" s="736" t="s">
        <v>112</v>
      </c>
      <c r="J433" s="121" t="s">
        <v>70</v>
      </c>
      <c r="K433" s="713">
        <v>11426.1</v>
      </c>
      <c r="L433" s="137">
        <f>M433-K433</f>
        <v>0</v>
      </c>
      <c r="M433" s="137">
        <v>11426.1</v>
      </c>
      <c r="N433" s="137">
        <v>11426.1</v>
      </c>
    </row>
    <row r="434" spans="1:14" s="118" customFormat="1" ht="56.25">
      <c r="A434" s="122"/>
      <c r="B434" s="135" t="s">
        <v>75</v>
      </c>
      <c r="C434" s="136" t="s">
        <v>377</v>
      </c>
      <c r="D434" s="121" t="s">
        <v>248</v>
      </c>
      <c r="E434" s="121" t="s">
        <v>57</v>
      </c>
      <c r="F434" s="734" t="s">
        <v>84</v>
      </c>
      <c r="G434" s="735" t="s">
        <v>65</v>
      </c>
      <c r="H434" s="735" t="s">
        <v>72</v>
      </c>
      <c r="I434" s="736" t="s">
        <v>112</v>
      </c>
      <c r="J434" s="121" t="s">
        <v>76</v>
      </c>
      <c r="K434" s="713">
        <v>1554.1</v>
      </c>
      <c r="L434" s="137">
        <f>M434-K434</f>
        <v>0</v>
      </c>
      <c r="M434" s="137">
        <v>1554.1</v>
      </c>
      <c r="N434" s="137">
        <v>1578.5</v>
      </c>
    </row>
    <row r="435" spans="1:14" s="118" customFormat="1" ht="18.75">
      <c r="A435" s="122"/>
      <c r="B435" s="135" t="s">
        <v>77</v>
      </c>
      <c r="C435" s="136" t="s">
        <v>377</v>
      </c>
      <c r="D435" s="121" t="s">
        <v>248</v>
      </c>
      <c r="E435" s="121" t="s">
        <v>57</v>
      </c>
      <c r="F435" s="734" t="s">
        <v>84</v>
      </c>
      <c r="G435" s="735" t="s">
        <v>65</v>
      </c>
      <c r="H435" s="735" t="s">
        <v>72</v>
      </c>
      <c r="I435" s="736" t="s">
        <v>112</v>
      </c>
      <c r="J435" s="121" t="s">
        <v>78</v>
      </c>
      <c r="K435" s="713">
        <v>14.6</v>
      </c>
      <c r="L435" s="137">
        <f>M435-K435</f>
        <v>0</v>
      </c>
      <c r="M435" s="137">
        <v>14.6</v>
      </c>
      <c r="N435" s="137">
        <v>14.6</v>
      </c>
    </row>
    <row r="436" spans="1:14" s="118" customFormat="1" ht="42" customHeight="1">
      <c r="A436" s="122"/>
      <c r="B436" s="135" t="s">
        <v>391</v>
      </c>
      <c r="C436" s="136" t="s">
        <v>377</v>
      </c>
      <c r="D436" s="121" t="s">
        <v>248</v>
      </c>
      <c r="E436" s="121" t="s">
        <v>57</v>
      </c>
      <c r="F436" s="151" t="s">
        <v>84</v>
      </c>
      <c r="G436" s="291" t="s">
        <v>110</v>
      </c>
      <c r="H436" s="291" t="s">
        <v>63</v>
      </c>
      <c r="I436" s="736" t="s">
        <v>64</v>
      </c>
      <c r="J436" s="121"/>
      <c r="K436" s="713">
        <f t="shared" ref="K436:N440" si="80">K437</f>
        <v>60</v>
      </c>
      <c r="L436" s="137">
        <f t="shared" si="80"/>
        <v>0</v>
      </c>
      <c r="M436" s="137">
        <f t="shared" si="80"/>
        <v>60</v>
      </c>
      <c r="N436" s="137">
        <f t="shared" si="80"/>
        <v>57.9</v>
      </c>
    </row>
    <row r="437" spans="1:14" s="118" customFormat="1" ht="96.75" customHeight="1">
      <c r="A437" s="122"/>
      <c r="B437" s="139" t="s">
        <v>383</v>
      </c>
      <c r="C437" s="136" t="s">
        <v>377</v>
      </c>
      <c r="D437" s="121" t="s">
        <v>248</v>
      </c>
      <c r="E437" s="121" t="s">
        <v>57</v>
      </c>
      <c r="F437" s="151" t="s">
        <v>84</v>
      </c>
      <c r="G437" s="291" t="s">
        <v>110</v>
      </c>
      <c r="H437" s="291" t="s">
        <v>84</v>
      </c>
      <c r="I437" s="736" t="s">
        <v>64</v>
      </c>
      <c r="J437" s="121"/>
      <c r="K437" s="713">
        <f>K440+K438</f>
        <v>60</v>
      </c>
      <c r="L437" s="137">
        <f>L440+L438</f>
        <v>0</v>
      </c>
      <c r="M437" s="137">
        <f>M440+M438</f>
        <v>60</v>
      </c>
      <c r="N437" s="137">
        <f>N440+N438</f>
        <v>57.9</v>
      </c>
    </row>
    <row r="438" spans="1:14" s="118" customFormat="1" ht="40.5" customHeight="1">
      <c r="A438" s="122"/>
      <c r="B438" s="139" t="s">
        <v>378</v>
      </c>
      <c r="C438" s="136" t="s">
        <v>377</v>
      </c>
      <c r="D438" s="121" t="s">
        <v>248</v>
      </c>
      <c r="E438" s="121" t="s">
        <v>57</v>
      </c>
      <c r="F438" s="151" t="s">
        <v>84</v>
      </c>
      <c r="G438" s="291" t="s">
        <v>110</v>
      </c>
      <c r="H438" s="291" t="s">
        <v>84</v>
      </c>
      <c r="I438" s="736" t="s">
        <v>379</v>
      </c>
      <c r="J438" s="121"/>
      <c r="K438" s="713">
        <f>K439</f>
        <v>17.899999999999999</v>
      </c>
      <c r="L438" s="137">
        <f>L439</f>
        <v>0</v>
      </c>
      <c r="M438" s="137">
        <f>M439</f>
        <v>17.899999999999999</v>
      </c>
      <c r="N438" s="137">
        <f>N439</f>
        <v>17.899999999999999</v>
      </c>
    </row>
    <row r="439" spans="1:14" s="118" customFormat="1" ht="57" customHeight="1">
      <c r="A439" s="122"/>
      <c r="B439" s="139" t="s">
        <v>97</v>
      </c>
      <c r="C439" s="136" t="s">
        <v>377</v>
      </c>
      <c r="D439" s="121" t="s">
        <v>248</v>
      </c>
      <c r="E439" s="121" t="s">
        <v>57</v>
      </c>
      <c r="F439" s="151" t="s">
        <v>84</v>
      </c>
      <c r="G439" s="291" t="s">
        <v>110</v>
      </c>
      <c r="H439" s="291" t="s">
        <v>84</v>
      </c>
      <c r="I439" s="736" t="s">
        <v>379</v>
      </c>
      <c r="J439" s="121" t="s">
        <v>98</v>
      </c>
      <c r="K439" s="713">
        <v>17.899999999999999</v>
      </c>
      <c r="L439" s="137">
        <f>M439-K439</f>
        <v>0</v>
      </c>
      <c r="M439" s="137">
        <v>17.899999999999999</v>
      </c>
      <c r="N439" s="137">
        <v>17.899999999999999</v>
      </c>
    </row>
    <row r="440" spans="1:14" s="118" customFormat="1" ht="56.25">
      <c r="A440" s="122"/>
      <c r="B440" s="139" t="s">
        <v>586</v>
      </c>
      <c r="C440" s="136" t="s">
        <v>377</v>
      </c>
      <c r="D440" s="121" t="s">
        <v>248</v>
      </c>
      <c r="E440" s="121" t="s">
        <v>57</v>
      </c>
      <c r="F440" s="734" t="s">
        <v>84</v>
      </c>
      <c r="G440" s="735" t="s">
        <v>110</v>
      </c>
      <c r="H440" s="735" t="s">
        <v>84</v>
      </c>
      <c r="I440" s="736" t="s">
        <v>587</v>
      </c>
      <c r="J440" s="121"/>
      <c r="K440" s="713">
        <f t="shared" si="80"/>
        <v>42.1</v>
      </c>
      <c r="L440" s="137">
        <f t="shared" si="80"/>
        <v>0</v>
      </c>
      <c r="M440" s="137">
        <f t="shared" si="80"/>
        <v>42.1</v>
      </c>
      <c r="N440" s="137">
        <f t="shared" si="80"/>
        <v>40</v>
      </c>
    </row>
    <row r="441" spans="1:14" s="118" customFormat="1" ht="56.25">
      <c r="A441" s="122"/>
      <c r="B441" s="139" t="s">
        <v>97</v>
      </c>
      <c r="C441" s="136" t="s">
        <v>377</v>
      </c>
      <c r="D441" s="121" t="s">
        <v>248</v>
      </c>
      <c r="E441" s="121" t="s">
        <v>57</v>
      </c>
      <c r="F441" s="734" t="s">
        <v>84</v>
      </c>
      <c r="G441" s="735" t="s">
        <v>110</v>
      </c>
      <c r="H441" s="735" t="s">
        <v>84</v>
      </c>
      <c r="I441" s="736" t="s">
        <v>587</v>
      </c>
      <c r="J441" s="121" t="s">
        <v>98</v>
      </c>
      <c r="K441" s="713">
        <v>42.1</v>
      </c>
      <c r="L441" s="137">
        <f>M441-K441</f>
        <v>0</v>
      </c>
      <c r="M441" s="137">
        <v>42.1</v>
      </c>
      <c r="N441" s="137">
        <v>40</v>
      </c>
    </row>
    <row r="442" spans="1:14" s="118" customFormat="1" ht="37.5">
      <c r="A442" s="122"/>
      <c r="B442" s="135" t="s">
        <v>384</v>
      </c>
      <c r="C442" s="136" t="s">
        <v>377</v>
      </c>
      <c r="D442" s="121" t="s">
        <v>248</v>
      </c>
      <c r="E442" s="121" t="s">
        <v>72</v>
      </c>
      <c r="F442" s="151"/>
      <c r="G442" s="291"/>
      <c r="H442" s="291"/>
      <c r="I442" s="292"/>
      <c r="J442" s="293"/>
      <c r="K442" s="713">
        <f t="shared" ref="K442:N444" si="81">K443</f>
        <v>9246.1</v>
      </c>
      <c r="L442" s="137">
        <f t="shared" si="81"/>
        <v>0</v>
      </c>
      <c r="M442" s="137">
        <f t="shared" si="81"/>
        <v>9246.1</v>
      </c>
      <c r="N442" s="137">
        <f t="shared" si="81"/>
        <v>9303.9000000000015</v>
      </c>
    </row>
    <row r="443" spans="1:14" s="118" customFormat="1" ht="56.25">
      <c r="A443" s="122"/>
      <c r="B443" s="141" t="s">
        <v>235</v>
      </c>
      <c r="C443" s="136" t="s">
        <v>377</v>
      </c>
      <c r="D443" s="121" t="s">
        <v>248</v>
      </c>
      <c r="E443" s="121" t="s">
        <v>72</v>
      </c>
      <c r="F443" s="151" t="s">
        <v>84</v>
      </c>
      <c r="G443" s="291" t="s">
        <v>62</v>
      </c>
      <c r="H443" s="291" t="s">
        <v>63</v>
      </c>
      <c r="I443" s="292" t="s">
        <v>64</v>
      </c>
      <c r="J443" s="293"/>
      <c r="K443" s="713">
        <f t="shared" si="81"/>
        <v>9246.1</v>
      </c>
      <c r="L443" s="137">
        <f t="shared" si="81"/>
        <v>0</v>
      </c>
      <c r="M443" s="137">
        <f t="shared" si="81"/>
        <v>9246.1</v>
      </c>
      <c r="N443" s="137">
        <f t="shared" si="81"/>
        <v>9303.9000000000015</v>
      </c>
    </row>
    <row r="444" spans="1:14" s="118" customFormat="1" ht="56.25">
      <c r="A444" s="122"/>
      <c r="B444" s="135" t="s">
        <v>238</v>
      </c>
      <c r="C444" s="136" t="s">
        <v>377</v>
      </c>
      <c r="D444" s="121" t="s">
        <v>248</v>
      </c>
      <c r="E444" s="121" t="s">
        <v>72</v>
      </c>
      <c r="F444" s="734" t="s">
        <v>84</v>
      </c>
      <c r="G444" s="735" t="s">
        <v>50</v>
      </c>
      <c r="H444" s="735" t="s">
        <v>63</v>
      </c>
      <c r="I444" s="736" t="s">
        <v>64</v>
      </c>
      <c r="J444" s="121"/>
      <c r="K444" s="713">
        <f t="shared" si="81"/>
        <v>9246.1</v>
      </c>
      <c r="L444" s="137">
        <f t="shared" si="81"/>
        <v>0</v>
      </c>
      <c r="M444" s="137">
        <f t="shared" si="81"/>
        <v>9246.1</v>
      </c>
      <c r="N444" s="137">
        <f t="shared" si="81"/>
        <v>9303.9000000000015</v>
      </c>
    </row>
    <row r="445" spans="1:14" s="118" customFormat="1" ht="37.5">
      <c r="A445" s="122"/>
      <c r="B445" s="135" t="s">
        <v>322</v>
      </c>
      <c r="C445" s="136" t="s">
        <v>377</v>
      </c>
      <c r="D445" s="121" t="s">
        <v>248</v>
      </c>
      <c r="E445" s="121" t="s">
        <v>72</v>
      </c>
      <c r="F445" s="734" t="s">
        <v>84</v>
      </c>
      <c r="G445" s="735" t="s">
        <v>50</v>
      </c>
      <c r="H445" s="735" t="s">
        <v>57</v>
      </c>
      <c r="I445" s="736" t="s">
        <v>64</v>
      </c>
      <c r="J445" s="121"/>
      <c r="K445" s="713">
        <f>K446+K450</f>
        <v>9246.1</v>
      </c>
      <c r="L445" s="137">
        <f>L446+L450</f>
        <v>0</v>
      </c>
      <c r="M445" s="137">
        <f>M446+M450</f>
        <v>9246.1</v>
      </c>
      <c r="N445" s="137">
        <f>N446+N450</f>
        <v>9303.9000000000015</v>
      </c>
    </row>
    <row r="446" spans="1:14" s="118" customFormat="1" ht="37.5">
      <c r="A446" s="122"/>
      <c r="B446" s="135" t="s">
        <v>67</v>
      </c>
      <c r="C446" s="136" t="s">
        <v>377</v>
      </c>
      <c r="D446" s="121" t="s">
        <v>248</v>
      </c>
      <c r="E446" s="121" t="s">
        <v>72</v>
      </c>
      <c r="F446" s="734" t="s">
        <v>84</v>
      </c>
      <c r="G446" s="735" t="s">
        <v>50</v>
      </c>
      <c r="H446" s="735" t="s">
        <v>57</v>
      </c>
      <c r="I446" s="736" t="s">
        <v>68</v>
      </c>
      <c r="J446" s="293"/>
      <c r="K446" s="713">
        <f>K447+K448+K449</f>
        <v>2806.7</v>
      </c>
      <c r="L446" s="137">
        <f>L447+L448+L449</f>
        <v>0</v>
      </c>
      <c r="M446" s="137">
        <f>M447+M448+M449</f>
        <v>2806.7</v>
      </c>
      <c r="N446" s="137">
        <f>N447+N448+N449</f>
        <v>2807.3</v>
      </c>
    </row>
    <row r="447" spans="1:14" s="118" customFormat="1" ht="112.5">
      <c r="A447" s="122"/>
      <c r="B447" s="135" t="s">
        <v>69</v>
      </c>
      <c r="C447" s="136" t="s">
        <v>377</v>
      </c>
      <c r="D447" s="121" t="s">
        <v>248</v>
      </c>
      <c r="E447" s="121" t="s">
        <v>72</v>
      </c>
      <c r="F447" s="734" t="s">
        <v>84</v>
      </c>
      <c r="G447" s="735" t="s">
        <v>50</v>
      </c>
      <c r="H447" s="735" t="s">
        <v>57</v>
      </c>
      <c r="I447" s="736" t="s">
        <v>68</v>
      </c>
      <c r="J447" s="293" t="s">
        <v>70</v>
      </c>
      <c r="K447" s="713">
        <v>2605.6</v>
      </c>
      <c r="L447" s="137">
        <f>M447-K447</f>
        <v>0</v>
      </c>
      <c r="M447" s="137">
        <v>2605.6</v>
      </c>
      <c r="N447" s="137">
        <v>2605.6</v>
      </c>
    </row>
    <row r="448" spans="1:14" s="118" customFormat="1" ht="56.25">
      <c r="A448" s="122"/>
      <c r="B448" s="135" t="s">
        <v>75</v>
      </c>
      <c r="C448" s="136" t="s">
        <v>377</v>
      </c>
      <c r="D448" s="121" t="s">
        <v>248</v>
      </c>
      <c r="E448" s="121" t="s">
        <v>72</v>
      </c>
      <c r="F448" s="734" t="s">
        <v>84</v>
      </c>
      <c r="G448" s="735" t="s">
        <v>50</v>
      </c>
      <c r="H448" s="735" t="s">
        <v>57</v>
      </c>
      <c r="I448" s="736" t="s">
        <v>68</v>
      </c>
      <c r="J448" s="293" t="s">
        <v>76</v>
      </c>
      <c r="K448" s="713">
        <v>196.7</v>
      </c>
      <c r="L448" s="137">
        <f>M448-K448</f>
        <v>0</v>
      </c>
      <c r="M448" s="137">
        <v>196.7</v>
      </c>
      <c r="N448" s="137">
        <v>197.4</v>
      </c>
    </row>
    <row r="449" spans="1:14" s="118" customFormat="1" ht="18.75">
      <c r="A449" s="122"/>
      <c r="B449" s="135" t="s">
        <v>77</v>
      </c>
      <c r="C449" s="136" t="s">
        <v>377</v>
      </c>
      <c r="D449" s="121" t="s">
        <v>248</v>
      </c>
      <c r="E449" s="121" t="s">
        <v>72</v>
      </c>
      <c r="F449" s="734" t="s">
        <v>84</v>
      </c>
      <c r="G449" s="735" t="s">
        <v>50</v>
      </c>
      <c r="H449" s="735" t="s">
        <v>57</v>
      </c>
      <c r="I449" s="736" t="s">
        <v>68</v>
      </c>
      <c r="J449" s="121" t="s">
        <v>78</v>
      </c>
      <c r="K449" s="713">
        <v>4.4000000000000004</v>
      </c>
      <c r="L449" s="137">
        <f>M449-K449</f>
        <v>0</v>
      </c>
      <c r="M449" s="137">
        <v>4.4000000000000004</v>
      </c>
      <c r="N449" s="137">
        <v>4.3</v>
      </c>
    </row>
    <row r="450" spans="1:14" s="118" customFormat="1" ht="39" customHeight="1">
      <c r="A450" s="122"/>
      <c r="B450" s="274" t="s">
        <v>795</v>
      </c>
      <c r="C450" s="136" t="s">
        <v>377</v>
      </c>
      <c r="D450" s="121" t="s">
        <v>248</v>
      </c>
      <c r="E450" s="121" t="s">
        <v>72</v>
      </c>
      <c r="F450" s="734" t="s">
        <v>84</v>
      </c>
      <c r="G450" s="735" t="s">
        <v>50</v>
      </c>
      <c r="H450" s="735" t="s">
        <v>57</v>
      </c>
      <c r="I450" s="736" t="s">
        <v>112</v>
      </c>
      <c r="J450" s="121"/>
      <c r="K450" s="713">
        <f>K451+K452+K453</f>
        <v>6439.4000000000005</v>
      </c>
      <c r="L450" s="137">
        <f>L451+L452+L453</f>
        <v>0</v>
      </c>
      <c r="M450" s="137">
        <f>M451+M452+M453</f>
        <v>6439.4000000000005</v>
      </c>
      <c r="N450" s="137">
        <f>N451+N452+N453</f>
        <v>6496.6</v>
      </c>
    </row>
    <row r="451" spans="1:14" s="118" customFormat="1" ht="112.5">
      <c r="A451" s="122"/>
      <c r="B451" s="135" t="s">
        <v>69</v>
      </c>
      <c r="C451" s="389" t="s">
        <v>377</v>
      </c>
      <c r="D451" s="293" t="s">
        <v>248</v>
      </c>
      <c r="E451" s="293" t="s">
        <v>72</v>
      </c>
      <c r="F451" s="734" t="s">
        <v>84</v>
      </c>
      <c r="G451" s="735" t="s">
        <v>50</v>
      </c>
      <c r="H451" s="735" t="s">
        <v>57</v>
      </c>
      <c r="I451" s="736" t="s">
        <v>112</v>
      </c>
      <c r="J451" s="293" t="s">
        <v>70</v>
      </c>
      <c r="K451" s="713">
        <v>5959.1</v>
      </c>
      <c r="L451" s="137">
        <f>M451-K451</f>
        <v>0</v>
      </c>
      <c r="M451" s="137">
        <v>5959.1</v>
      </c>
      <c r="N451" s="137">
        <v>5959.1</v>
      </c>
    </row>
    <row r="452" spans="1:14" s="118" customFormat="1" ht="56.25">
      <c r="A452" s="122"/>
      <c r="B452" s="135" t="s">
        <v>75</v>
      </c>
      <c r="C452" s="389" t="s">
        <v>377</v>
      </c>
      <c r="D452" s="293" t="s">
        <v>248</v>
      </c>
      <c r="E452" s="293" t="s">
        <v>72</v>
      </c>
      <c r="F452" s="734" t="s">
        <v>84</v>
      </c>
      <c r="G452" s="735" t="s">
        <v>50</v>
      </c>
      <c r="H452" s="735" t="s">
        <v>57</v>
      </c>
      <c r="I452" s="736" t="s">
        <v>112</v>
      </c>
      <c r="J452" s="293" t="s">
        <v>76</v>
      </c>
      <c r="K452" s="713">
        <v>478.7</v>
      </c>
      <c r="L452" s="137">
        <f>M452-K452</f>
        <v>0</v>
      </c>
      <c r="M452" s="137">
        <v>478.7</v>
      </c>
      <c r="N452" s="137">
        <v>535.9</v>
      </c>
    </row>
    <row r="453" spans="1:14" s="118" customFormat="1" ht="18.75">
      <c r="A453" s="122"/>
      <c r="B453" s="135" t="s">
        <v>77</v>
      </c>
      <c r="C453" s="389" t="s">
        <v>377</v>
      </c>
      <c r="D453" s="293" t="s">
        <v>248</v>
      </c>
      <c r="E453" s="293" t="s">
        <v>72</v>
      </c>
      <c r="F453" s="734" t="s">
        <v>84</v>
      </c>
      <c r="G453" s="735" t="s">
        <v>50</v>
      </c>
      <c r="H453" s="735" t="s">
        <v>57</v>
      </c>
      <c r="I453" s="736" t="s">
        <v>112</v>
      </c>
      <c r="J453" s="121" t="s">
        <v>78</v>
      </c>
      <c r="K453" s="713">
        <v>1.6</v>
      </c>
      <c r="L453" s="137">
        <f>M453-K453</f>
        <v>0</v>
      </c>
      <c r="M453" s="137">
        <v>1.6</v>
      </c>
      <c r="N453" s="137">
        <v>1.6</v>
      </c>
    </row>
    <row r="454" spans="1:14" s="356" customFormat="1" ht="18.75">
      <c r="A454" s="122"/>
      <c r="B454" s="135"/>
      <c r="C454" s="389"/>
      <c r="D454" s="293"/>
      <c r="E454" s="293"/>
      <c r="F454" s="734"/>
      <c r="G454" s="735"/>
      <c r="H454" s="735"/>
      <c r="I454" s="736"/>
      <c r="J454" s="121"/>
      <c r="K454" s="713"/>
      <c r="L454" s="137"/>
      <c r="M454" s="137"/>
      <c r="N454" s="137"/>
    </row>
    <row r="455" spans="1:14" s="351" customFormat="1" ht="56.25">
      <c r="A455" s="350">
        <v>7</v>
      </c>
      <c r="B455" s="129" t="s">
        <v>26</v>
      </c>
      <c r="C455" s="130" t="s">
        <v>331</v>
      </c>
      <c r="D455" s="131"/>
      <c r="E455" s="131"/>
      <c r="F455" s="132"/>
      <c r="G455" s="133"/>
      <c r="H455" s="133"/>
      <c r="I455" s="134"/>
      <c r="J455" s="131"/>
      <c r="K455" s="712">
        <f>K456+K463</f>
        <v>21837.300000000003</v>
      </c>
      <c r="L455" s="160">
        <f>L456+L463</f>
        <v>0</v>
      </c>
      <c r="M455" s="160">
        <f>M456+M463</f>
        <v>21837.300000000003</v>
      </c>
      <c r="N455" s="160">
        <f>N456+N463</f>
        <v>24564.5</v>
      </c>
    </row>
    <row r="456" spans="1:14" s="351" customFormat="1" ht="18.75">
      <c r="A456" s="350"/>
      <c r="B456" s="551" t="s">
        <v>56</v>
      </c>
      <c r="C456" s="552" t="s">
        <v>331</v>
      </c>
      <c r="D456" s="152" t="s">
        <v>57</v>
      </c>
      <c r="E456" s="152"/>
      <c r="F456" s="535"/>
      <c r="G456" s="536"/>
      <c r="H456" s="536"/>
      <c r="I456" s="537"/>
      <c r="J456" s="152"/>
      <c r="K456" s="713">
        <f t="shared" ref="K456:M460" si="82">K457</f>
        <v>35.299999999999997</v>
      </c>
      <c r="L456" s="538">
        <f t="shared" si="82"/>
        <v>0</v>
      </c>
      <c r="M456" s="538">
        <f t="shared" si="82"/>
        <v>35.299999999999997</v>
      </c>
      <c r="N456" s="538">
        <f t="shared" ref="N456:N460" si="83">N457</f>
        <v>35.299999999999997</v>
      </c>
    </row>
    <row r="457" spans="1:14" s="351" customFormat="1" ht="18.75">
      <c r="A457" s="350"/>
      <c r="B457" s="551" t="s">
        <v>91</v>
      </c>
      <c r="C457" s="552" t="s">
        <v>331</v>
      </c>
      <c r="D457" s="152" t="s">
        <v>57</v>
      </c>
      <c r="E457" s="152" t="s">
        <v>92</v>
      </c>
      <c r="F457" s="535"/>
      <c r="G457" s="536"/>
      <c r="H457" s="536"/>
      <c r="I457" s="537"/>
      <c r="J457" s="152"/>
      <c r="K457" s="713">
        <f t="shared" si="82"/>
        <v>35.299999999999997</v>
      </c>
      <c r="L457" s="538">
        <f t="shared" si="82"/>
        <v>0</v>
      </c>
      <c r="M457" s="538">
        <f t="shared" si="82"/>
        <v>35.299999999999997</v>
      </c>
      <c r="N457" s="538">
        <f t="shared" si="83"/>
        <v>35.299999999999997</v>
      </c>
    </row>
    <row r="458" spans="1:14" s="351" customFormat="1" ht="75">
      <c r="A458" s="350"/>
      <c r="B458" s="551" t="s">
        <v>239</v>
      </c>
      <c r="C458" s="552" t="s">
        <v>331</v>
      </c>
      <c r="D458" s="152" t="s">
        <v>57</v>
      </c>
      <c r="E458" s="152" t="s">
        <v>92</v>
      </c>
      <c r="F458" s="535" t="s">
        <v>72</v>
      </c>
      <c r="G458" s="536" t="s">
        <v>62</v>
      </c>
      <c r="H458" s="536" t="s">
        <v>63</v>
      </c>
      <c r="I458" s="537" t="s">
        <v>64</v>
      </c>
      <c r="J458" s="152"/>
      <c r="K458" s="713">
        <f t="shared" si="82"/>
        <v>35.299999999999997</v>
      </c>
      <c r="L458" s="538">
        <f t="shared" si="82"/>
        <v>0</v>
      </c>
      <c r="M458" s="538">
        <f t="shared" si="82"/>
        <v>35.299999999999997</v>
      </c>
      <c r="N458" s="538">
        <f t="shared" si="83"/>
        <v>35.299999999999997</v>
      </c>
    </row>
    <row r="459" spans="1:14" s="351" customFormat="1" ht="37.5">
      <c r="A459" s="350"/>
      <c r="B459" s="551" t="s">
        <v>242</v>
      </c>
      <c r="C459" s="552" t="s">
        <v>331</v>
      </c>
      <c r="D459" s="152" t="s">
        <v>57</v>
      </c>
      <c r="E459" s="152" t="s">
        <v>92</v>
      </c>
      <c r="F459" s="535" t="s">
        <v>72</v>
      </c>
      <c r="G459" s="536" t="s">
        <v>110</v>
      </c>
      <c r="H459" s="536" t="s">
        <v>63</v>
      </c>
      <c r="I459" s="537" t="s">
        <v>64</v>
      </c>
      <c r="J459" s="152"/>
      <c r="K459" s="713">
        <f t="shared" si="82"/>
        <v>35.299999999999997</v>
      </c>
      <c r="L459" s="538">
        <f t="shared" si="82"/>
        <v>0</v>
      </c>
      <c r="M459" s="538">
        <f t="shared" si="82"/>
        <v>35.299999999999997</v>
      </c>
      <c r="N459" s="538">
        <f t="shared" si="83"/>
        <v>35.299999999999997</v>
      </c>
    </row>
    <row r="460" spans="1:14" s="351" customFormat="1" ht="37.5">
      <c r="A460" s="350"/>
      <c r="B460" s="551" t="s">
        <v>428</v>
      </c>
      <c r="C460" s="552" t="s">
        <v>331</v>
      </c>
      <c r="D460" s="152" t="s">
        <v>57</v>
      </c>
      <c r="E460" s="152" t="s">
        <v>92</v>
      </c>
      <c r="F460" s="535" t="s">
        <v>72</v>
      </c>
      <c r="G460" s="536" t="s">
        <v>110</v>
      </c>
      <c r="H460" s="536" t="s">
        <v>84</v>
      </c>
      <c r="I460" s="537" t="s">
        <v>64</v>
      </c>
      <c r="J460" s="152"/>
      <c r="K460" s="713">
        <f t="shared" si="82"/>
        <v>35.299999999999997</v>
      </c>
      <c r="L460" s="538">
        <f t="shared" si="82"/>
        <v>0</v>
      </c>
      <c r="M460" s="538">
        <f t="shared" si="82"/>
        <v>35.299999999999997</v>
      </c>
      <c r="N460" s="538">
        <f t="shared" si="83"/>
        <v>35.299999999999997</v>
      </c>
    </row>
    <row r="461" spans="1:14" s="351" customFormat="1" ht="54" customHeight="1">
      <c r="A461" s="350"/>
      <c r="B461" s="551" t="s">
        <v>429</v>
      </c>
      <c r="C461" s="552" t="s">
        <v>331</v>
      </c>
      <c r="D461" s="152" t="s">
        <v>57</v>
      </c>
      <c r="E461" s="152" t="s">
        <v>92</v>
      </c>
      <c r="F461" s="535" t="s">
        <v>72</v>
      </c>
      <c r="G461" s="536" t="s">
        <v>110</v>
      </c>
      <c r="H461" s="536" t="s">
        <v>84</v>
      </c>
      <c r="I461" s="537" t="s">
        <v>126</v>
      </c>
      <c r="J461" s="152"/>
      <c r="K461" s="713">
        <f>K462</f>
        <v>35.299999999999997</v>
      </c>
      <c r="L461" s="538">
        <f>L462</f>
        <v>0</v>
      </c>
      <c r="M461" s="538">
        <f>M462</f>
        <v>35.299999999999997</v>
      </c>
      <c r="N461" s="538">
        <f>N462</f>
        <v>35.299999999999997</v>
      </c>
    </row>
    <row r="462" spans="1:14" s="118" customFormat="1" ht="56.25">
      <c r="A462" s="122"/>
      <c r="B462" s="554" t="s">
        <v>75</v>
      </c>
      <c r="C462" s="552" t="s">
        <v>331</v>
      </c>
      <c r="D462" s="152" t="s">
        <v>57</v>
      </c>
      <c r="E462" s="152" t="s">
        <v>92</v>
      </c>
      <c r="F462" s="535" t="s">
        <v>72</v>
      </c>
      <c r="G462" s="536" t="s">
        <v>110</v>
      </c>
      <c r="H462" s="536" t="s">
        <v>84</v>
      </c>
      <c r="I462" s="537" t="s">
        <v>126</v>
      </c>
      <c r="J462" s="152" t="s">
        <v>76</v>
      </c>
      <c r="K462" s="713">
        <v>35.299999999999997</v>
      </c>
      <c r="L462" s="137">
        <f>M462-K462</f>
        <v>0</v>
      </c>
      <c r="M462" s="538">
        <v>35.299999999999997</v>
      </c>
      <c r="N462" s="137">
        <v>35.299999999999997</v>
      </c>
    </row>
    <row r="463" spans="1:14" s="118" customFormat="1" ht="18.75">
      <c r="A463" s="122"/>
      <c r="B463" s="554" t="s">
        <v>385</v>
      </c>
      <c r="C463" s="552" t="s">
        <v>331</v>
      </c>
      <c r="D463" s="152" t="s">
        <v>88</v>
      </c>
      <c r="E463" s="152"/>
      <c r="F463" s="535"/>
      <c r="G463" s="536"/>
      <c r="H463" s="536"/>
      <c r="I463" s="537"/>
      <c r="J463" s="152"/>
      <c r="K463" s="713">
        <f>K464+K486+K480</f>
        <v>21802.000000000004</v>
      </c>
      <c r="L463" s="538">
        <f>L464+L486+L480</f>
        <v>0</v>
      </c>
      <c r="M463" s="538">
        <f>M464+M486+M480</f>
        <v>21802.000000000004</v>
      </c>
      <c r="N463" s="538">
        <f>N464+N486+N480</f>
        <v>24529.200000000001</v>
      </c>
    </row>
    <row r="464" spans="1:14" s="351" customFormat="1" ht="18.75">
      <c r="A464" s="122"/>
      <c r="B464" s="141" t="s">
        <v>443</v>
      </c>
      <c r="C464" s="136" t="s">
        <v>331</v>
      </c>
      <c r="D464" s="121" t="s">
        <v>88</v>
      </c>
      <c r="E464" s="121" t="s">
        <v>57</v>
      </c>
      <c r="F464" s="734"/>
      <c r="G464" s="735"/>
      <c r="H464" s="735"/>
      <c r="I464" s="736"/>
      <c r="J464" s="121"/>
      <c r="K464" s="713">
        <f>K465</f>
        <v>19316.600000000002</v>
      </c>
      <c r="L464" s="137">
        <f>L465</f>
        <v>0</v>
      </c>
      <c r="M464" s="137">
        <f>M465</f>
        <v>19316.600000000002</v>
      </c>
      <c r="N464" s="137">
        <f>N465</f>
        <v>18463.7</v>
      </c>
    </row>
    <row r="465" spans="1:14" s="351" customFormat="1" ht="61.5" customHeight="1">
      <c r="A465" s="122"/>
      <c r="B465" s="135" t="s">
        <v>239</v>
      </c>
      <c r="C465" s="136" t="s">
        <v>331</v>
      </c>
      <c r="D465" s="121" t="s">
        <v>88</v>
      </c>
      <c r="E465" s="121" t="s">
        <v>57</v>
      </c>
      <c r="F465" s="734" t="s">
        <v>72</v>
      </c>
      <c r="G465" s="735" t="s">
        <v>62</v>
      </c>
      <c r="H465" s="735" t="s">
        <v>63</v>
      </c>
      <c r="I465" s="736" t="s">
        <v>64</v>
      </c>
      <c r="J465" s="121"/>
      <c r="K465" s="713">
        <f>K466+K470</f>
        <v>19316.600000000002</v>
      </c>
      <c r="L465" s="137">
        <f>L466+L470</f>
        <v>0</v>
      </c>
      <c r="M465" s="137">
        <f>M466+M470</f>
        <v>19316.600000000002</v>
      </c>
      <c r="N465" s="137">
        <f>N466+N470</f>
        <v>18463.7</v>
      </c>
    </row>
    <row r="466" spans="1:14" s="351" customFormat="1" ht="37.5">
      <c r="A466" s="122"/>
      <c r="B466" s="141" t="s">
        <v>240</v>
      </c>
      <c r="C466" s="136" t="s">
        <v>331</v>
      </c>
      <c r="D466" s="121" t="s">
        <v>88</v>
      </c>
      <c r="E466" s="121" t="s">
        <v>57</v>
      </c>
      <c r="F466" s="734" t="s">
        <v>72</v>
      </c>
      <c r="G466" s="735" t="s">
        <v>65</v>
      </c>
      <c r="H466" s="735" t="s">
        <v>63</v>
      </c>
      <c r="I466" s="736" t="s">
        <v>64</v>
      </c>
      <c r="J466" s="121"/>
      <c r="K466" s="713">
        <f>K467</f>
        <v>180</v>
      </c>
      <c r="L466" s="137">
        <f>L467</f>
        <v>0</v>
      </c>
      <c r="M466" s="137">
        <f>M467</f>
        <v>180</v>
      </c>
      <c r="N466" s="137">
        <f>N467</f>
        <v>180</v>
      </c>
    </row>
    <row r="467" spans="1:14" s="351" customFormat="1" ht="18.75">
      <c r="A467" s="122"/>
      <c r="B467" s="135" t="s">
        <v>317</v>
      </c>
      <c r="C467" s="136" t="s">
        <v>331</v>
      </c>
      <c r="D467" s="121" t="s">
        <v>88</v>
      </c>
      <c r="E467" s="121" t="s">
        <v>57</v>
      </c>
      <c r="F467" s="734" t="s">
        <v>72</v>
      </c>
      <c r="G467" s="735" t="s">
        <v>65</v>
      </c>
      <c r="H467" s="735" t="s">
        <v>57</v>
      </c>
      <c r="I467" s="736" t="s">
        <v>64</v>
      </c>
      <c r="J467" s="121"/>
      <c r="K467" s="713">
        <f t="shared" ref="K467:N468" si="84">K468</f>
        <v>180</v>
      </c>
      <c r="L467" s="137">
        <f t="shared" si="84"/>
        <v>0</v>
      </c>
      <c r="M467" s="137">
        <f t="shared" si="84"/>
        <v>180</v>
      </c>
      <c r="N467" s="137">
        <f t="shared" si="84"/>
        <v>180</v>
      </c>
    </row>
    <row r="468" spans="1:14" s="351" customFormat="1" ht="41.25" customHeight="1">
      <c r="A468" s="122"/>
      <c r="B468" s="135" t="s">
        <v>318</v>
      </c>
      <c r="C468" s="136" t="s">
        <v>331</v>
      </c>
      <c r="D468" s="121" t="s">
        <v>88</v>
      </c>
      <c r="E468" s="121" t="s">
        <v>57</v>
      </c>
      <c r="F468" s="734" t="s">
        <v>72</v>
      </c>
      <c r="G468" s="735" t="s">
        <v>65</v>
      </c>
      <c r="H468" s="735" t="s">
        <v>57</v>
      </c>
      <c r="I468" s="736" t="s">
        <v>319</v>
      </c>
      <c r="J468" s="121"/>
      <c r="K468" s="713">
        <f t="shared" si="84"/>
        <v>180</v>
      </c>
      <c r="L468" s="137">
        <f t="shared" si="84"/>
        <v>0</v>
      </c>
      <c r="M468" s="137">
        <f t="shared" si="84"/>
        <v>180</v>
      </c>
      <c r="N468" s="137">
        <f t="shared" si="84"/>
        <v>180</v>
      </c>
    </row>
    <row r="469" spans="1:14" s="351" customFormat="1" ht="37.5">
      <c r="A469" s="122"/>
      <c r="B469" s="135" t="s">
        <v>141</v>
      </c>
      <c r="C469" s="136" t="s">
        <v>331</v>
      </c>
      <c r="D469" s="121" t="s">
        <v>88</v>
      </c>
      <c r="E469" s="121" t="s">
        <v>57</v>
      </c>
      <c r="F469" s="734" t="s">
        <v>72</v>
      </c>
      <c r="G469" s="735" t="s">
        <v>65</v>
      </c>
      <c r="H469" s="735" t="s">
        <v>57</v>
      </c>
      <c r="I469" s="736" t="s">
        <v>319</v>
      </c>
      <c r="J469" s="121" t="s">
        <v>142</v>
      </c>
      <c r="K469" s="713">
        <v>180</v>
      </c>
      <c r="L469" s="137">
        <f>M469-K469</f>
        <v>0</v>
      </c>
      <c r="M469" s="137">
        <v>180</v>
      </c>
      <c r="N469" s="137">
        <v>180</v>
      </c>
    </row>
    <row r="470" spans="1:14" s="118" customFormat="1" ht="37.5">
      <c r="A470" s="122"/>
      <c r="B470" s="135" t="s">
        <v>242</v>
      </c>
      <c r="C470" s="136" t="s">
        <v>331</v>
      </c>
      <c r="D470" s="121" t="s">
        <v>88</v>
      </c>
      <c r="E470" s="121" t="s">
        <v>57</v>
      </c>
      <c r="F470" s="734" t="s">
        <v>72</v>
      </c>
      <c r="G470" s="735" t="s">
        <v>110</v>
      </c>
      <c r="H470" s="735" t="s">
        <v>63</v>
      </c>
      <c r="I470" s="736" t="s">
        <v>64</v>
      </c>
      <c r="J470" s="121"/>
      <c r="K470" s="713">
        <f t="shared" ref="K470:N470" si="85">K471</f>
        <v>19136.600000000002</v>
      </c>
      <c r="L470" s="137">
        <f t="shared" si="85"/>
        <v>0</v>
      </c>
      <c r="M470" s="137">
        <f t="shared" si="85"/>
        <v>19136.600000000002</v>
      </c>
      <c r="N470" s="137">
        <f t="shared" si="85"/>
        <v>18283.7</v>
      </c>
    </row>
    <row r="471" spans="1:14" s="351" customFormat="1" ht="34.15" customHeight="1">
      <c r="A471" s="122"/>
      <c r="B471" s="135" t="s">
        <v>444</v>
      </c>
      <c r="C471" s="136" t="s">
        <v>331</v>
      </c>
      <c r="D471" s="121" t="s">
        <v>88</v>
      </c>
      <c r="E471" s="121" t="s">
        <v>57</v>
      </c>
      <c r="F471" s="734" t="s">
        <v>72</v>
      </c>
      <c r="G471" s="735" t="s">
        <v>110</v>
      </c>
      <c r="H471" s="735" t="s">
        <v>59</v>
      </c>
      <c r="I471" s="736" t="s">
        <v>64</v>
      </c>
      <c r="J471" s="121"/>
      <c r="K471" s="713">
        <f>K472+K476+K478</f>
        <v>19136.600000000002</v>
      </c>
      <c r="L471" s="137">
        <f>L472+L476+L478</f>
        <v>0</v>
      </c>
      <c r="M471" s="137">
        <f>M472+M476+M478</f>
        <v>19136.600000000002</v>
      </c>
      <c r="N471" s="137">
        <f>N472+N476+N478</f>
        <v>18283.7</v>
      </c>
    </row>
    <row r="472" spans="1:14" s="351" customFormat="1" ht="39" customHeight="1">
      <c r="A472" s="122"/>
      <c r="B472" s="274" t="s">
        <v>795</v>
      </c>
      <c r="C472" s="136" t="s">
        <v>331</v>
      </c>
      <c r="D472" s="121" t="s">
        <v>88</v>
      </c>
      <c r="E472" s="121" t="s">
        <v>57</v>
      </c>
      <c r="F472" s="734" t="s">
        <v>72</v>
      </c>
      <c r="G472" s="735" t="s">
        <v>110</v>
      </c>
      <c r="H472" s="735" t="s">
        <v>59</v>
      </c>
      <c r="I472" s="736" t="s">
        <v>112</v>
      </c>
      <c r="J472" s="121"/>
      <c r="K472" s="713">
        <f>K473+K474+K475</f>
        <v>18158.7</v>
      </c>
      <c r="L472" s="137">
        <f>L473+L474+L475</f>
        <v>0</v>
      </c>
      <c r="M472" s="137">
        <f>M473+M474+M475</f>
        <v>18158.7</v>
      </c>
      <c r="N472" s="137">
        <f>N473+N474+N475</f>
        <v>18158.7</v>
      </c>
    </row>
    <row r="473" spans="1:14" s="351" customFormat="1" ht="112.5">
      <c r="A473" s="122"/>
      <c r="B473" s="135" t="s">
        <v>69</v>
      </c>
      <c r="C473" s="136" t="s">
        <v>331</v>
      </c>
      <c r="D473" s="121" t="s">
        <v>88</v>
      </c>
      <c r="E473" s="121" t="s">
        <v>57</v>
      </c>
      <c r="F473" s="734" t="s">
        <v>72</v>
      </c>
      <c r="G473" s="735" t="s">
        <v>110</v>
      </c>
      <c r="H473" s="735" t="s">
        <v>59</v>
      </c>
      <c r="I473" s="736" t="s">
        <v>112</v>
      </c>
      <c r="J473" s="121" t="s">
        <v>70</v>
      </c>
      <c r="K473" s="713">
        <v>17673</v>
      </c>
      <c r="L473" s="137">
        <f>M473-K473</f>
        <v>0</v>
      </c>
      <c r="M473" s="137">
        <v>17673</v>
      </c>
      <c r="N473" s="137">
        <v>17673</v>
      </c>
    </row>
    <row r="474" spans="1:14" s="118" customFormat="1" ht="56.25">
      <c r="A474" s="122"/>
      <c r="B474" s="135" t="s">
        <v>75</v>
      </c>
      <c r="C474" s="136" t="s">
        <v>331</v>
      </c>
      <c r="D474" s="121" t="s">
        <v>88</v>
      </c>
      <c r="E474" s="121" t="s">
        <v>57</v>
      </c>
      <c r="F474" s="734" t="s">
        <v>72</v>
      </c>
      <c r="G474" s="735" t="s">
        <v>110</v>
      </c>
      <c r="H474" s="735" t="s">
        <v>59</v>
      </c>
      <c r="I474" s="736" t="s">
        <v>112</v>
      </c>
      <c r="J474" s="121" t="s">
        <v>76</v>
      </c>
      <c r="K474" s="713">
        <v>425.8</v>
      </c>
      <c r="L474" s="137">
        <f>M474-K474</f>
        <v>0</v>
      </c>
      <c r="M474" s="137">
        <v>425.8</v>
      </c>
      <c r="N474" s="137">
        <v>427.8</v>
      </c>
    </row>
    <row r="475" spans="1:14" s="351" customFormat="1" ht="18.75">
      <c r="A475" s="122"/>
      <c r="B475" s="135" t="s">
        <v>77</v>
      </c>
      <c r="C475" s="136" t="s">
        <v>331</v>
      </c>
      <c r="D475" s="121" t="s">
        <v>88</v>
      </c>
      <c r="E475" s="121" t="s">
        <v>57</v>
      </c>
      <c r="F475" s="734" t="s">
        <v>72</v>
      </c>
      <c r="G475" s="735" t="s">
        <v>110</v>
      </c>
      <c r="H475" s="735" t="s">
        <v>59</v>
      </c>
      <c r="I475" s="736" t="s">
        <v>112</v>
      </c>
      <c r="J475" s="121" t="s">
        <v>78</v>
      </c>
      <c r="K475" s="713">
        <v>59.9</v>
      </c>
      <c r="L475" s="137">
        <f>M475-K475</f>
        <v>0</v>
      </c>
      <c r="M475" s="137">
        <v>59.9</v>
      </c>
      <c r="N475" s="137">
        <v>57.9</v>
      </c>
    </row>
    <row r="476" spans="1:14" s="351" customFormat="1" ht="193.5" customHeight="1">
      <c r="A476" s="122"/>
      <c r="B476" s="135" t="s">
        <v>694</v>
      </c>
      <c r="C476" s="136" t="s">
        <v>331</v>
      </c>
      <c r="D476" s="121" t="s">
        <v>88</v>
      </c>
      <c r="E476" s="121" t="s">
        <v>57</v>
      </c>
      <c r="F476" s="734" t="s">
        <v>72</v>
      </c>
      <c r="G476" s="735" t="s">
        <v>110</v>
      </c>
      <c r="H476" s="735" t="s">
        <v>59</v>
      </c>
      <c r="I476" s="736" t="s">
        <v>538</v>
      </c>
      <c r="J476" s="121"/>
      <c r="K476" s="713">
        <f>K477</f>
        <v>125</v>
      </c>
      <c r="L476" s="137">
        <f>L477</f>
        <v>0</v>
      </c>
      <c r="M476" s="137">
        <f>M477</f>
        <v>125</v>
      </c>
      <c r="N476" s="137">
        <f>N477</f>
        <v>125</v>
      </c>
    </row>
    <row r="477" spans="1:14" s="351" customFormat="1" ht="112.5">
      <c r="A477" s="122"/>
      <c r="B477" s="135" t="s">
        <v>69</v>
      </c>
      <c r="C477" s="136" t="s">
        <v>331</v>
      </c>
      <c r="D477" s="121" t="s">
        <v>88</v>
      </c>
      <c r="E477" s="121" t="s">
        <v>57</v>
      </c>
      <c r="F477" s="734" t="s">
        <v>72</v>
      </c>
      <c r="G477" s="735" t="s">
        <v>110</v>
      </c>
      <c r="H477" s="735" t="s">
        <v>59</v>
      </c>
      <c r="I477" s="736" t="s">
        <v>538</v>
      </c>
      <c r="J477" s="121" t="s">
        <v>70</v>
      </c>
      <c r="K477" s="713">
        <v>125</v>
      </c>
      <c r="L477" s="137">
        <f>M477-K477</f>
        <v>0</v>
      </c>
      <c r="M477" s="137">
        <v>125</v>
      </c>
      <c r="N477" s="657">
        <v>125</v>
      </c>
    </row>
    <row r="478" spans="1:14" s="351" customFormat="1" ht="57" customHeight="1">
      <c r="A478" s="122"/>
      <c r="B478" s="135" t="s">
        <v>729</v>
      </c>
      <c r="C478" s="136" t="s">
        <v>331</v>
      </c>
      <c r="D478" s="121" t="s">
        <v>88</v>
      </c>
      <c r="E478" s="121" t="s">
        <v>57</v>
      </c>
      <c r="F478" s="734" t="s">
        <v>72</v>
      </c>
      <c r="G478" s="735" t="s">
        <v>110</v>
      </c>
      <c r="H478" s="735" t="s">
        <v>59</v>
      </c>
      <c r="I478" s="736" t="s">
        <v>583</v>
      </c>
      <c r="J478" s="121"/>
      <c r="K478" s="713">
        <f>K479</f>
        <v>852.9</v>
      </c>
      <c r="L478" s="137">
        <f>L479</f>
        <v>0</v>
      </c>
      <c r="M478" s="137">
        <f>M479</f>
        <v>852.9</v>
      </c>
      <c r="N478" s="137">
        <f>N479</f>
        <v>0</v>
      </c>
    </row>
    <row r="479" spans="1:14" s="351" customFormat="1" ht="112.5">
      <c r="A479" s="122"/>
      <c r="B479" s="135" t="s">
        <v>69</v>
      </c>
      <c r="C479" s="136" t="s">
        <v>331</v>
      </c>
      <c r="D479" s="121" t="s">
        <v>88</v>
      </c>
      <c r="E479" s="121" t="s">
        <v>57</v>
      </c>
      <c r="F479" s="734" t="s">
        <v>72</v>
      </c>
      <c r="G479" s="735" t="s">
        <v>110</v>
      </c>
      <c r="H479" s="735" t="s">
        <v>59</v>
      </c>
      <c r="I479" s="736" t="s">
        <v>583</v>
      </c>
      <c r="J479" s="121" t="s">
        <v>70</v>
      </c>
      <c r="K479" s="713">
        <v>852.9</v>
      </c>
      <c r="L479" s="137">
        <f>M479-K479</f>
        <v>0</v>
      </c>
      <c r="M479" s="137">
        <v>852.9</v>
      </c>
      <c r="N479" s="657">
        <f>852.9-852.9</f>
        <v>0</v>
      </c>
    </row>
    <row r="480" spans="1:14" s="351" customFormat="1" ht="18.75">
      <c r="A480" s="122"/>
      <c r="B480" s="135" t="s">
        <v>219</v>
      </c>
      <c r="C480" s="136" t="s">
        <v>331</v>
      </c>
      <c r="D480" s="121" t="s">
        <v>88</v>
      </c>
      <c r="E480" s="121" t="s">
        <v>59</v>
      </c>
      <c r="F480" s="734"/>
      <c r="G480" s="735"/>
      <c r="H480" s="735"/>
      <c r="I480" s="736"/>
      <c r="J480" s="121"/>
      <c r="K480" s="713">
        <f t="shared" ref="K480:N484" si="86">K481</f>
        <v>0</v>
      </c>
      <c r="L480" s="137">
        <f t="shared" si="86"/>
        <v>0</v>
      </c>
      <c r="M480" s="137">
        <f t="shared" si="86"/>
        <v>0</v>
      </c>
      <c r="N480" s="137">
        <f t="shared" si="86"/>
        <v>3689.7999999999997</v>
      </c>
    </row>
    <row r="481" spans="1:14" s="351" customFormat="1" ht="56.25" customHeight="1">
      <c r="A481" s="122"/>
      <c r="B481" s="135" t="s">
        <v>239</v>
      </c>
      <c r="C481" s="136" t="s">
        <v>331</v>
      </c>
      <c r="D481" s="121" t="s">
        <v>88</v>
      </c>
      <c r="E481" s="121" t="s">
        <v>59</v>
      </c>
      <c r="F481" s="734" t="s">
        <v>72</v>
      </c>
      <c r="G481" s="735" t="s">
        <v>62</v>
      </c>
      <c r="H481" s="735" t="s">
        <v>63</v>
      </c>
      <c r="I481" s="736" t="s">
        <v>64</v>
      </c>
      <c r="J481" s="121"/>
      <c r="K481" s="713">
        <f t="shared" si="86"/>
        <v>0</v>
      </c>
      <c r="L481" s="137">
        <f t="shared" si="86"/>
        <v>0</v>
      </c>
      <c r="M481" s="137">
        <f t="shared" si="86"/>
        <v>0</v>
      </c>
      <c r="N481" s="137">
        <f t="shared" si="86"/>
        <v>3689.7999999999997</v>
      </c>
    </row>
    <row r="482" spans="1:14" s="351" customFormat="1" ht="37.5">
      <c r="A482" s="122"/>
      <c r="B482" s="141" t="s">
        <v>240</v>
      </c>
      <c r="C482" s="136" t="s">
        <v>331</v>
      </c>
      <c r="D482" s="121" t="s">
        <v>88</v>
      </c>
      <c r="E482" s="121" t="s">
        <v>59</v>
      </c>
      <c r="F482" s="734" t="s">
        <v>72</v>
      </c>
      <c r="G482" s="735" t="s">
        <v>65</v>
      </c>
      <c r="H482" s="735" t="s">
        <v>63</v>
      </c>
      <c r="I482" s="736" t="s">
        <v>64</v>
      </c>
      <c r="J482" s="121"/>
      <c r="K482" s="713">
        <f t="shared" si="86"/>
        <v>0</v>
      </c>
      <c r="L482" s="137">
        <f t="shared" si="86"/>
        <v>0</v>
      </c>
      <c r="M482" s="137">
        <f t="shared" si="86"/>
        <v>0</v>
      </c>
      <c r="N482" s="137">
        <f t="shared" si="86"/>
        <v>3689.7999999999997</v>
      </c>
    </row>
    <row r="483" spans="1:14" s="351" customFormat="1" ht="21" customHeight="1">
      <c r="A483" s="122"/>
      <c r="B483" s="135" t="s">
        <v>895</v>
      </c>
      <c r="C483" s="136" t="s">
        <v>331</v>
      </c>
      <c r="D483" s="121" t="s">
        <v>88</v>
      </c>
      <c r="E483" s="121" t="s">
        <v>59</v>
      </c>
      <c r="F483" s="734" t="s">
        <v>72</v>
      </c>
      <c r="G483" s="735" t="s">
        <v>65</v>
      </c>
      <c r="H483" s="735" t="s">
        <v>894</v>
      </c>
      <c r="I483" s="736" t="s">
        <v>64</v>
      </c>
      <c r="J483" s="121"/>
      <c r="K483" s="713">
        <f t="shared" si="86"/>
        <v>0</v>
      </c>
      <c r="L483" s="137">
        <f t="shared" si="86"/>
        <v>0</v>
      </c>
      <c r="M483" s="137">
        <f t="shared" si="86"/>
        <v>0</v>
      </c>
      <c r="N483" s="137">
        <f t="shared" si="86"/>
        <v>3689.7999999999997</v>
      </c>
    </row>
    <row r="484" spans="1:14" s="351" customFormat="1" ht="56.25">
      <c r="A484" s="122"/>
      <c r="B484" s="135" t="s">
        <v>896</v>
      </c>
      <c r="C484" s="136" t="s">
        <v>331</v>
      </c>
      <c r="D484" s="121" t="s">
        <v>88</v>
      </c>
      <c r="E484" s="121" t="s">
        <v>59</v>
      </c>
      <c r="F484" s="734" t="s">
        <v>72</v>
      </c>
      <c r="G484" s="735" t="s">
        <v>65</v>
      </c>
      <c r="H484" s="735" t="s">
        <v>894</v>
      </c>
      <c r="I484" s="736" t="s">
        <v>913</v>
      </c>
      <c r="J484" s="121"/>
      <c r="K484" s="713">
        <f t="shared" si="86"/>
        <v>0</v>
      </c>
      <c r="L484" s="137">
        <f t="shared" si="86"/>
        <v>0</v>
      </c>
      <c r="M484" s="137">
        <f t="shared" si="86"/>
        <v>0</v>
      </c>
      <c r="N484" s="137">
        <f t="shared" si="86"/>
        <v>3689.7999999999997</v>
      </c>
    </row>
    <row r="485" spans="1:14" s="351" customFormat="1" ht="56.25">
      <c r="A485" s="122"/>
      <c r="B485" s="135" t="s">
        <v>75</v>
      </c>
      <c r="C485" s="136" t="s">
        <v>331</v>
      </c>
      <c r="D485" s="121" t="s">
        <v>88</v>
      </c>
      <c r="E485" s="121" t="s">
        <v>59</v>
      </c>
      <c r="F485" s="734" t="s">
        <v>72</v>
      </c>
      <c r="G485" s="735" t="s">
        <v>65</v>
      </c>
      <c r="H485" s="735" t="s">
        <v>894</v>
      </c>
      <c r="I485" s="736" t="s">
        <v>913</v>
      </c>
      <c r="J485" s="121" t="s">
        <v>76</v>
      </c>
      <c r="K485" s="713">
        <v>0</v>
      </c>
      <c r="L485" s="137">
        <f>M485-K485</f>
        <v>0</v>
      </c>
      <c r="M485" s="137">
        <v>0</v>
      </c>
      <c r="N485" s="657">
        <f>3579.1+110.7</f>
        <v>3689.7999999999997</v>
      </c>
    </row>
    <row r="486" spans="1:14" s="118" customFormat="1" ht="37.5">
      <c r="A486" s="122"/>
      <c r="B486" s="141" t="s">
        <v>221</v>
      </c>
      <c r="C486" s="136" t="s">
        <v>331</v>
      </c>
      <c r="D486" s="121" t="s">
        <v>88</v>
      </c>
      <c r="E486" s="121" t="s">
        <v>86</v>
      </c>
      <c r="F486" s="734"/>
      <c r="G486" s="735"/>
      <c r="H486" s="735"/>
      <c r="I486" s="736"/>
      <c r="J486" s="121"/>
      <c r="K486" s="713">
        <f t="shared" ref="K486:N489" si="87">K487</f>
        <v>2485.4</v>
      </c>
      <c r="L486" s="137">
        <f t="shared" si="87"/>
        <v>0</v>
      </c>
      <c r="M486" s="137">
        <f t="shared" si="87"/>
        <v>2485.4</v>
      </c>
      <c r="N486" s="137">
        <f t="shared" si="87"/>
        <v>2375.7000000000003</v>
      </c>
    </row>
    <row r="487" spans="1:14" s="118" customFormat="1" ht="60" customHeight="1">
      <c r="A487" s="122"/>
      <c r="B487" s="135" t="s">
        <v>239</v>
      </c>
      <c r="C487" s="136" t="s">
        <v>331</v>
      </c>
      <c r="D487" s="121" t="s">
        <v>88</v>
      </c>
      <c r="E487" s="121" t="s">
        <v>86</v>
      </c>
      <c r="F487" s="734" t="s">
        <v>72</v>
      </c>
      <c r="G487" s="735" t="s">
        <v>62</v>
      </c>
      <c r="H487" s="735" t="s">
        <v>63</v>
      </c>
      <c r="I487" s="736" t="s">
        <v>64</v>
      </c>
      <c r="J487" s="121"/>
      <c r="K487" s="713">
        <f t="shared" si="87"/>
        <v>2485.4</v>
      </c>
      <c r="L487" s="137">
        <f t="shared" si="87"/>
        <v>0</v>
      </c>
      <c r="M487" s="137">
        <f t="shared" si="87"/>
        <v>2485.4</v>
      </c>
      <c r="N487" s="137">
        <f t="shared" si="87"/>
        <v>2375.7000000000003</v>
      </c>
    </row>
    <row r="488" spans="1:14" s="118" customFormat="1" ht="37.5">
      <c r="A488" s="122"/>
      <c r="B488" s="139" t="s">
        <v>242</v>
      </c>
      <c r="C488" s="136" t="s">
        <v>331</v>
      </c>
      <c r="D488" s="121" t="s">
        <v>88</v>
      </c>
      <c r="E488" s="121" t="s">
        <v>86</v>
      </c>
      <c r="F488" s="734" t="s">
        <v>72</v>
      </c>
      <c r="G488" s="735" t="s">
        <v>110</v>
      </c>
      <c r="H488" s="735" t="s">
        <v>63</v>
      </c>
      <c r="I488" s="736" t="s">
        <v>64</v>
      </c>
      <c r="J488" s="121"/>
      <c r="K488" s="713">
        <f t="shared" si="87"/>
        <v>2485.4</v>
      </c>
      <c r="L488" s="137">
        <f t="shared" si="87"/>
        <v>0</v>
      </c>
      <c r="M488" s="137">
        <f t="shared" si="87"/>
        <v>2485.4</v>
      </c>
      <c r="N488" s="137">
        <f t="shared" si="87"/>
        <v>2375.7000000000003</v>
      </c>
    </row>
    <row r="489" spans="1:14" s="118" customFormat="1" ht="37.5">
      <c r="A489" s="122"/>
      <c r="B489" s="135" t="s">
        <v>322</v>
      </c>
      <c r="C489" s="136" t="s">
        <v>331</v>
      </c>
      <c r="D489" s="121" t="s">
        <v>88</v>
      </c>
      <c r="E489" s="121" t="s">
        <v>86</v>
      </c>
      <c r="F489" s="734" t="s">
        <v>72</v>
      </c>
      <c r="G489" s="735" t="s">
        <v>110</v>
      </c>
      <c r="H489" s="735" t="s">
        <v>57</v>
      </c>
      <c r="I489" s="736" t="s">
        <v>64</v>
      </c>
      <c r="J489" s="121"/>
      <c r="K489" s="713">
        <f t="shared" si="87"/>
        <v>2485.4</v>
      </c>
      <c r="L489" s="137">
        <f t="shared" si="87"/>
        <v>0</v>
      </c>
      <c r="M489" s="137">
        <f t="shared" si="87"/>
        <v>2485.4</v>
      </c>
      <c r="N489" s="137">
        <f t="shared" si="87"/>
        <v>2375.7000000000003</v>
      </c>
    </row>
    <row r="490" spans="1:14" s="118" customFormat="1" ht="37.5">
      <c r="A490" s="122"/>
      <c r="B490" s="135" t="s">
        <v>67</v>
      </c>
      <c r="C490" s="136" t="s">
        <v>331</v>
      </c>
      <c r="D490" s="121" t="s">
        <v>88</v>
      </c>
      <c r="E490" s="121" t="s">
        <v>86</v>
      </c>
      <c r="F490" s="734" t="s">
        <v>72</v>
      </c>
      <c r="G490" s="735" t="s">
        <v>110</v>
      </c>
      <c r="H490" s="735" t="s">
        <v>57</v>
      </c>
      <c r="I490" s="736" t="s">
        <v>68</v>
      </c>
      <c r="J490" s="121"/>
      <c r="K490" s="713">
        <f>K491+K492+K493</f>
        <v>2485.4</v>
      </c>
      <c r="L490" s="137">
        <f>L491+L492+L493</f>
        <v>0</v>
      </c>
      <c r="M490" s="137">
        <f>M491+M492+M493</f>
        <v>2485.4</v>
      </c>
      <c r="N490" s="137">
        <f>N491+N492+N493</f>
        <v>2375.7000000000003</v>
      </c>
    </row>
    <row r="491" spans="1:14" s="118" customFormat="1" ht="112.5">
      <c r="A491" s="122"/>
      <c r="B491" s="135" t="s">
        <v>69</v>
      </c>
      <c r="C491" s="136" t="s">
        <v>331</v>
      </c>
      <c r="D491" s="121" t="s">
        <v>88</v>
      </c>
      <c r="E491" s="121" t="s">
        <v>86</v>
      </c>
      <c r="F491" s="734" t="s">
        <v>72</v>
      </c>
      <c r="G491" s="735" t="s">
        <v>110</v>
      </c>
      <c r="H491" s="735" t="s">
        <v>57</v>
      </c>
      <c r="I491" s="736" t="s">
        <v>68</v>
      </c>
      <c r="J491" s="121" t="s">
        <v>70</v>
      </c>
      <c r="K491" s="713">
        <v>2371.8000000000002</v>
      </c>
      <c r="L491" s="137">
        <f>M491-K491</f>
        <v>0</v>
      </c>
      <c r="M491" s="137">
        <v>2371.8000000000002</v>
      </c>
      <c r="N491" s="137">
        <v>2371.8000000000002</v>
      </c>
    </row>
    <row r="492" spans="1:14" s="118" customFormat="1" ht="56.25">
      <c r="A492" s="122"/>
      <c r="B492" s="135" t="s">
        <v>75</v>
      </c>
      <c r="C492" s="136" t="s">
        <v>331</v>
      </c>
      <c r="D492" s="121" t="s">
        <v>88</v>
      </c>
      <c r="E492" s="121" t="s">
        <v>86</v>
      </c>
      <c r="F492" s="734" t="s">
        <v>72</v>
      </c>
      <c r="G492" s="735" t="s">
        <v>110</v>
      </c>
      <c r="H492" s="735" t="s">
        <v>57</v>
      </c>
      <c r="I492" s="736" t="s">
        <v>68</v>
      </c>
      <c r="J492" s="121" t="s">
        <v>76</v>
      </c>
      <c r="K492" s="713">
        <v>111.6</v>
      </c>
      <c r="L492" s="137">
        <f>M492-K492</f>
        <v>0</v>
      </c>
      <c r="M492" s="137">
        <v>111.6</v>
      </c>
      <c r="N492" s="137">
        <f>112.7-110.7</f>
        <v>2</v>
      </c>
    </row>
    <row r="493" spans="1:14" s="118" customFormat="1" ht="18.75">
      <c r="A493" s="122"/>
      <c r="B493" s="135" t="s">
        <v>77</v>
      </c>
      <c r="C493" s="136" t="s">
        <v>331</v>
      </c>
      <c r="D493" s="121" t="s">
        <v>88</v>
      </c>
      <c r="E493" s="121" t="s">
        <v>86</v>
      </c>
      <c r="F493" s="734" t="s">
        <v>72</v>
      </c>
      <c r="G493" s="735" t="s">
        <v>110</v>
      </c>
      <c r="H493" s="735" t="s">
        <v>57</v>
      </c>
      <c r="I493" s="736" t="s">
        <v>68</v>
      </c>
      <c r="J493" s="121" t="s">
        <v>78</v>
      </c>
      <c r="K493" s="713">
        <v>2</v>
      </c>
      <c r="L493" s="137">
        <f>M493-K493</f>
        <v>0</v>
      </c>
      <c r="M493" s="137">
        <v>2</v>
      </c>
      <c r="N493" s="137">
        <v>1.9</v>
      </c>
    </row>
    <row r="494" spans="1:14" s="118" customFormat="1" ht="18.75">
      <c r="A494" s="122"/>
      <c r="B494" s="135"/>
      <c r="C494" s="136"/>
      <c r="D494" s="121"/>
      <c r="E494" s="121"/>
      <c r="F494" s="734"/>
      <c r="G494" s="735"/>
      <c r="H494" s="735"/>
      <c r="I494" s="736"/>
      <c r="J494" s="121"/>
      <c r="K494" s="713"/>
      <c r="L494" s="137"/>
      <c r="M494" s="137"/>
      <c r="N494" s="137"/>
    </row>
    <row r="495" spans="1:14" s="351" customFormat="1" ht="56.25">
      <c r="A495" s="350">
        <v>8</v>
      </c>
      <c r="B495" s="129" t="s">
        <v>27</v>
      </c>
      <c r="C495" s="130" t="s">
        <v>327</v>
      </c>
      <c r="D495" s="131"/>
      <c r="E495" s="131"/>
      <c r="F495" s="132"/>
      <c r="G495" s="133"/>
      <c r="H495" s="133"/>
      <c r="I495" s="134"/>
      <c r="J495" s="131"/>
      <c r="K495" s="712">
        <f>K509+K496</f>
        <v>6151.9</v>
      </c>
      <c r="L495" s="160">
        <f>L509+L496</f>
        <v>0</v>
      </c>
      <c r="M495" s="160">
        <f>M509+M496</f>
        <v>6151.9</v>
      </c>
      <c r="N495" s="160">
        <f>N509+N496</f>
        <v>6157.1999999999989</v>
      </c>
    </row>
    <row r="496" spans="1:14" s="351" customFormat="1" ht="18.75">
      <c r="A496" s="350"/>
      <c r="B496" s="135" t="s">
        <v>56</v>
      </c>
      <c r="C496" s="136" t="s">
        <v>327</v>
      </c>
      <c r="D496" s="121" t="s">
        <v>57</v>
      </c>
      <c r="E496" s="121"/>
      <c r="F496" s="734"/>
      <c r="G496" s="735"/>
      <c r="H496" s="735"/>
      <c r="I496" s="736"/>
      <c r="J496" s="121"/>
      <c r="K496" s="713">
        <f t="shared" ref="K496:N498" si="88">K497</f>
        <v>122.39999999999999</v>
      </c>
      <c r="L496" s="538">
        <f t="shared" si="88"/>
        <v>0</v>
      </c>
      <c r="M496" s="538">
        <f t="shared" si="88"/>
        <v>122.39999999999999</v>
      </c>
      <c r="N496" s="538">
        <f t="shared" si="88"/>
        <v>122.39999999999999</v>
      </c>
    </row>
    <row r="497" spans="1:14" s="351" customFormat="1" ht="18.75">
      <c r="A497" s="350"/>
      <c r="B497" s="135" t="s">
        <v>91</v>
      </c>
      <c r="C497" s="136" t="s">
        <v>327</v>
      </c>
      <c r="D497" s="121" t="s">
        <v>57</v>
      </c>
      <c r="E497" s="121" t="s">
        <v>92</v>
      </c>
      <c r="F497" s="734"/>
      <c r="G497" s="735"/>
      <c r="H497" s="735"/>
      <c r="I497" s="736"/>
      <c r="J497" s="121"/>
      <c r="K497" s="713">
        <f t="shared" si="88"/>
        <v>122.39999999999999</v>
      </c>
      <c r="L497" s="538">
        <f t="shared" si="88"/>
        <v>0</v>
      </c>
      <c r="M497" s="538">
        <f t="shared" si="88"/>
        <v>122.39999999999999</v>
      </c>
      <c r="N497" s="538">
        <f t="shared" si="88"/>
        <v>122.39999999999999</v>
      </c>
    </row>
    <row r="498" spans="1:14" s="351" customFormat="1" ht="56.25">
      <c r="A498" s="350"/>
      <c r="B498" s="135" t="s">
        <v>243</v>
      </c>
      <c r="C498" s="136" t="s">
        <v>327</v>
      </c>
      <c r="D498" s="121" t="s">
        <v>57</v>
      </c>
      <c r="E498" s="121" t="s">
        <v>92</v>
      </c>
      <c r="F498" s="734" t="s">
        <v>86</v>
      </c>
      <c r="G498" s="735" t="s">
        <v>62</v>
      </c>
      <c r="H498" s="735" t="s">
        <v>63</v>
      </c>
      <c r="I498" s="736" t="s">
        <v>64</v>
      </c>
      <c r="J498" s="121"/>
      <c r="K498" s="713">
        <f t="shared" si="88"/>
        <v>122.39999999999999</v>
      </c>
      <c r="L498" s="538">
        <f t="shared" si="88"/>
        <v>0</v>
      </c>
      <c r="M498" s="538">
        <f t="shared" si="88"/>
        <v>122.39999999999999</v>
      </c>
      <c r="N498" s="538">
        <f t="shared" si="88"/>
        <v>122.39999999999999</v>
      </c>
    </row>
    <row r="499" spans="1:14" s="351" customFormat="1" ht="37.5">
      <c r="A499" s="350"/>
      <c r="B499" s="135" t="s">
        <v>242</v>
      </c>
      <c r="C499" s="136" t="s">
        <v>327</v>
      </c>
      <c r="D499" s="121" t="s">
        <v>57</v>
      </c>
      <c r="E499" s="121" t="s">
        <v>92</v>
      </c>
      <c r="F499" s="734" t="s">
        <v>86</v>
      </c>
      <c r="G499" s="735" t="s">
        <v>110</v>
      </c>
      <c r="H499" s="735" t="s">
        <v>63</v>
      </c>
      <c r="I499" s="736" t="s">
        <v>64</v>
      </c>
      <c r="J499" s="121"/>
      <c r="K499" s="713">
        <f>K500+K503+K506</f>
        <v>122.39999999999999</v>
      </c>
      <c r="L499" s="538">
        <f>L500+L503+L506</f>
        <v>0</v>
      </c>
      <c r="M499" s="538">
        <f>M500+M503+M506</f>
        <v>122.39999999999999</v>
      </c>
      <c r="N499" s="538">
        <f>N500+N503+N506</f>
        <v>122.39999999999999</v>
      </c>
    </row>
    <row r="500" spans="1:14" s="351" customFormat="1" ht="37.5">
      <c r="A500" s="350"/>
      <c r="B500" s="612" t="s">
        <v>428</v>
      </c>
      <c r="C500" s="136" t="s">
        <v>327</v>
      </c>
      <c r="D500" s="121" t="s">
        <v>57</v>
      </c>
      <c r="E500" s="121" t="s">
        <v>92</v>
      </c>
      <c r="F500" s="734" t="s">
        <v>86</v>
      </c>
      <c r="G500" s="735" t="s">
        <v>110</v>
      </c>
      <c r="H500" s="735" t="s">
        <v>59</v>
      </c>
      <c r="I500" s="736" t="s">
        <v>64</v>
      </c>
      <c r="J500" s="121"/>
      <c r="K500" s="713">
        <f t="shared" ref="K500:N501" si="89">K501</f>
        <v>65.099999999999994</v>
      </c>
      <c r="L500" s="538">
        <f t="shared" si="89"/>
        <v>0</v>
      </c>
      <c r="M500" s="538">
        <f t="shared" si="89"/>
        <v>65.099999999999994</v>
      </c>
      <c r="N500" s="538">
        <f t="shared" si="89"/>
        <v>65.099999999999994</v>
      </c>
    </row>
    <row r="501" spans="1:14" s="351" customFormat="1" ht="63" customHeight="1">
      <c r="A501" s="350"/>
      <c r="B501" s="612" t="s">
        <v>429</v>
      </c>
      <c r="C501" s="136" t="s">
        <v>327</v>
      </c>
      <c r="D501" s="121" t="s">
        <v>57</v>
      </c>
      <c r="E501" s="121" t="s">
        <v>92</v>
      </c>
      <c r="F501" s="734" t="s">
        <v>86</v>
      </c>
      <c r="G501" s="735" t="s">
        <v>110</v>
      </c>
      <c r="H501" s="735" t="s">
        <v>59</v>
      </c>
      <c r="I501" s="736" t="s">
        <v>126</v>
      </c>
      <c r="J501" s="121"/>
      <c r="K501" s="713">
        <f t="shared" si="89"/>
        <v>65.099999999999994</v>
      </c>
      <c r="L501" s="538">
        <f t="shared" si="89"/>
        <v>0</v>
      </c>
      <c r="M501" s="538">
        <f t="shared" si="89"/>
        <v>65.099999999999994</v>
      </c>
      <c r="N501" s="538">
        <f t="shared" si="89"/>
        <v>65.099999999999994</v>
      </c>
    </row>
    <row r="502" spans="1:14" s="351" customFormat="1" ht="56.25">
      <c r="A502" s="350"/>
      <c r="B502" s="612" t="s">
        <v>75</v>
      </c>
      <c r="C502" s="136" t="s">
        <v>327</v>
      </c>
      <c r="D502" s="121" t="s">
        <v>57</v>
      </c>
      <c r="E502" s="121" t="s">
        <v>92</v>
      </c>
      <c r="F502" s="734" t="s">
        <v>86</v>
      </c>
      <c r="G502" s="735" t="s">
        <v>110</v>
      </c>
      <c r="H502" s="735" t="s">
        <v>59</v>
      </c>
      <c r="I502" s="736" t="s">
        <v>126</v>
      </c>
      <c r="J502" s="121" t="s">
        <v>76</v>
      </c>
      <c r="K502" s="713">
        <v>65.099999999999994</v>
      </c>
      <c r="L502" s="137">
        <f>M502-K502</f>
        <v>0</v>
      </c>
      <c r="M502" s="538">
        <v>65.099999999999994</v>
      </c>
      <c r="N502" s="538">
        <v>65.099999999999994</v>
      </c>
    </row>
    <row r="503" spans="1:14" s="351" customFormat="1" ht="37.5">
      <c r="A503" s="350"/>
      <c r="B503" s="135" t="s">
        <v>799</v>
      </c>
      <c r="C503" s="136" t="s">
        <v>327</v>
      </c>
      <c r="D503" s="121" t="s">
        <v>57</v>
      </c>
      <c r="E503" s="121" t="s">
        <v>92</v>
      </c>
      <c r="F503" s="734" t="s">
        <v>86</v>
      </c>
      <c r="G503" s="735" t="s">
        <v>110</v>
      </c>
      <c r="H503" s="735" t="s">
        <v>84</v>
      </c>
      <c r="I503" s="736" t="s">
        <v>64</v>
      </c>
      <c r="J503" s="121"/>
      <c r="K503" s="713">
        <f t="shared" ref="K503:N504" si="90">K504</f>
        <v>14.8</v>
      </c>
      <c r="L503" s="538">
        <f t="shared" si="90"/>
        <v>0</v>
      </c>
      <c r="M503" s="538">
        <f t="shared" si="90"/>
        <v>14.8</v>
      </c>
      <c r="N503" s="538">
        <f t="shared" si="90"/>
        <v>14.8</v>
      </c>
    </row>
    <row r="504" spans="1:14" s="351" customFormat="1" ht="18.75">
      <c r="A504" s="350"/>
      <c r="B504" s="135" t="s">
        <v>797</v>
      </c>
      <c r="C504" s="136" t="s">
        <v>327</v>
      </c>
      <c r="D504" s="121" t="s">
        <v>57</v>
      </c>
      <c r="E504" s="121" t="s">
        <v>92</v>
      </c>
      <c r="F504" s="734" t="s">
        <v>86</v>
      </c>
      <c r="G504" s="735" t="s">
        <v>110</v>
      </c>
      <c r="H504" s="735" t="s">
        <v>84</v>
      </c>
      <c r="I504" s="736" t="s">
        <v>798</v>
      </c>
      <c r="J504" s="121"/>
      <c r="K504" s="713">
        <f t="shared" si="90"/>
        <v>14.8</v>
      </c>
      <c r="L504" s="538">
        <f t="shared" si="90"/>
        <v>0</v>
      </c>
      <c r="M504" s="538">
        <f t="shared" si="90"/>
        <v>14.8</v>
      </c>
      <c r="N504" s="538">
        <f t="shared" si="90"/>
        <v>14.8</v>
      </c>
    </row>
    <row r="505" spans="1:14" s="351" customFormat="1" ht="56.25">
      <c r="A505" s="350"/>
      <c r="B505" s="612" t="s">
        <v>75</v>
      </c>
      <c r="C505" s="136" t="s">
        <v>327</v>
      </c>
      <c r="D505" s="121" t="s">
        <v>57</v>
      </c>
      <c r="E505" s="121" t="s">
        <v>92</v>
      </c>
      <c r="F505" s="734" t="s">
        <v>86</v>
      </c>
      <c r="G505" s="735" t="s">
        <v>110</v>
      </c>
      <c r="H505" s="735" t="s">
        <v>84</v>
      </c>
      <c r="I505" s="736" t="s">
        <v>798</v>
      </c>
      <c r="J505" s="152" t="s">
        <v>76</v>
      </c>
      <c r="K505" s="713">
        <v>14.8</v>
      </c>
      <c r="L505" s="137">
        <f>M505-K505</f>
        <v>0</v>
      </c>
      <c r="M505" s="538">
        <v>14.8</v>
      </c>
      <c r="N505" s="538">
        <v>14.8</v>
      </c>
    </row>
    <row r="506" spans="1:14" s="351" customFormat="1" ht="37.5">
      <c r="A506" s="350"/>
      <c r="B506" s="612" t="s">
        <v>811</v>
      </c>
      <c r="C506" s="136" t="s">
        <v>327</v>
      </c>
      <c r="D506" s="121" t="s">
        <v>57</v>
      </c>
      <c r="E506" s="121" t="s">
        <v>92</v>
      </c>
      <c r="F506" s="734" t="s">
        <v>86</v>
      </c>
      <c r="G506" s="735" t="s">
        <v>110</v>
      </c>
      <c r="H506" s="735" t="s">
        <v>72</v>
      </c>
      <c r="I506" s="736" t="s">
        <v>64</v>
      </c>
      <c r="J506" s="131"/>
      <c r="K506" s="713">
        <f t="shared" ref="K506:N507" si="91">K507</f>
        <v>42.5</v>
      </c>
      <c r="L506" s="538">
        <f t="shared" si="91"/>
        <v>0</v>
      </c>
      <c r="M506" s="538">
        <f t="shared" si="91"/>
        <v>42.5</v>
      </c>
      <c r="N506" s="538">
        <f t="shared" si="91"/>
        <v>42.5</v>
      </c>
    </row>
    <row r="507" spans="1:14" s="351" customFormat="1" ht="37.5">
      <c r="A507" s="350"/>
      <c r="B507" s="547" t="s">
        <v>148</v>
      </c>
      <c r="C507" s="136" t="s">
        <v>327</v>
      </c>
      <c r="D507" s="121" t="s">
        <v>57</v>
      </c>
      <c r="E507" s="121" t="s">
        <v>92</v>
      </c>
      <c r="F507" s="734" t="s">
        <v>86</v>
      </c>
      <c r="G507" s="735" t="s">
        <v>110</v>
      </c>
      <c r="H507" s="735" t="s">
        <v>72</v>
      </c>
      <c r="I507" s="736" t="s">
        <v>111</v>
      </c>
      <c r="J507" s="131"/>
      <c r="K507" s="713">
        <f t="shared" si="91"/>
        <v>42.5</v>
      </c>
      <c r="L507" s="538">
        <f t="shared" si="91"/>
        <v>0</v>
      </c>
      <c r="M507" s="538">
        <f t="shared" si="91"/>
        <v>42.5</v>
      </c>
      <c r="N507" s="538">
        <f t="shared" si="91"/>
        <v>42.5</v>
      </c>
    </row>
    <row r="508" spans="1:14" s="351" customFormat="1" ht="56.25">
      <c r="A508" s="350"/>
      <c r="B508" s="612" t="s">
        <v>75</v>
      </c>
      <c r="C508" s="136" t="s">
        <v>327</v>
      </c>
      <c r="D508" s="121" t="s">
        <v>57</v>
      </c>
      <c r="E508" s="121" t="s">
        <v>92</v>
      </c>
      <c r="F508" s="734" t="s">
        <v>86</v>
      </c>
      <c r="G508" s="735" t="s">
        <v>110</v>
      </c>
      <c r="H508" s="735" t="s">
        <v>72</v>
      </c>
      <c r="I508" s="736" t="s">
        <v>111</v>
      </c>
      <c r="J508" s="152" t="s">
        <v>76</v>
      </c>
      <c r="K508" s="713">
        <v>42.5</v>
      </c>
      <c r="L508" s="137">
        <f>M508-K508</f>
        <v>0</v>
      </c>
      <c r="M508" s="538">
        <v>42.5</v>
      </c>
      <c r="N508" s="538">
        <v>42.5</v>
      </c>
    </row>
    <row r="509" spans="1:14" s="118" customFormat="1" ht="18.75">
      <c r="A509" s="350"/>
      <c r="B509" s="135" t="s">
        <v>201</v>
      </c>
      <c r="C509" s="136" t="s">
        <v>327</v>
      </c>
      <c r="D509" s="121" t="s">
        <v>246</v>
      </c>
      <c r="E509" s="121"/>
      <c r="F509" s="734"/>
      <c r="G509" s="735"/>
      <c r="H509" s="735"/>
      <c r="I509" s="736"/>
      <c r="J509" s="121"/>
      <c r="K509" s="713">
        <f>K510+K518</f>
        <v>6029.5</v>
      </c>
      <c r="L509" s="137">
        <f>L510+L518</f>
        <v>0</v>
      </c>
      <c r="M509" s="137">
        <f>M510+M518</f>
        <v>6029.5</v>
      </c>
      <c r="N509" s="137">
        <f>N510+N518</f>
        <v>6034.7999999999993</v>
      </c>
    </row>
    <row r="510" spans="1:14" s="351" customFormat="1" ht="18.75">
      <c r="A510" s="350"/>
      <c r="B510" s="135" t="s">
        <v>425</v>
      </c>
      <c r="C510" s="136" t="s">
        <v>327</v>
      </c>
      <c r="D510" s="121" t="s">
        <v>246</v>
      </c>
      <c r="E510" s="121" t="s">
        <v>246</v>
      </c>
      <c r="F510" s="734"/>
      <c r="G510" s="735"/>
      <c r="H510" s="735"/>
      <c r="I510" s="736"/>
      <c r="J510" s="121"/>
      <c r="K510" s="713">
        <f>K511</f>
        <v>3048.2</v>
      </c>
      <c r="L510" s="137">
        <f>L511</f>
        <v>0</v>
      </c>
      <c r="M510" s="137">
        <f>M511</f>
        <v>3048.2</v>
      </c>
      <c r="N510" s="137">
        <f>N511</f>
        <v>3048.2</v>
      </c>
    </row>
    <row r="511" spans="1:14" s="351" customFormat="1" ht="56.25">
      <c r="A511" s="350"/>
      <c r="B511" s="135" t="s">
        <v>243</v>
      </c>
      <c r="C511" s="136" t="s">
        <v>327</v>
      </c>
      <c r="D511" s="121" t="s">
        <v>246</v>
      </c>
      <c r="E511" s="121" t="s">
        <v>246</v>
      </c>
      <c r="F511" s="734" t="s">
        <v>86</v>
      </c>
      <c r="G511" s="735" t="s">
        <v>62</v>
      </c>
      <c r="H511" s="735" t="s">
        <v>63</v>
      </c>
      <c r="I511" s="736" t="s">
        <v>64</v>
      </c>
      <c r="J511" s="121"/>
      <c r="K511" s="713">
        <f t="shared" ref="K511:N513" si="92">K512</f>
        <v>3048.2</v>
      </c>
      <c r="L511" s="137">
        <f t="shared" si="92"/>
        <v>0</v>
      </c>
      <c r="M511" s="137">
        <f t="shared" si="92"/>
        <v>3048.2</v>
      </c>
      <c r="N511" s="137">
        <f t="shared" si="92"/>
        <v>3048.2</v>
      </c>
    </row>
    <row r="512" spans="1:14" s="351" customFormat="1" ht="18.75">
      <c r="A512" s="350"/>
      <c r="B512" s="135" t="s">
        <v>244</v>
      </c>
      <c r="C512" s="136" t="s">
        <v>327</v>
      </c>
      <c r="D512" s="121" t="s">
        <v>246</v>
      </c>
      <c r="E512" s="121" t="s">
        <v>246</v>
      </c>
      <c r="F512" s="734" t="s">
        <v>86</v>
      </c>
      <c r="G512" s="735" t="s">
        <v>65</v>
      </c>
      <c r="H512" s="735" t="s">
        <v>63</v>
      </c>
      <c r="I512" s="736" t="s">
        <v>64</v>
      </c>
      <c r="J512" s="121"/>
      <c r="K512" s="713">
        <f t="shared" si="92"/>
        <v>3048.2</v>
      </c>
      <c r="L512" s="137">
        <f t="shared" si="92"/>
        <v>0</v>
      </c>
      <c r="M512" s="137">
        <f t="shared" si="92"/>
        <v>3048.2</v>
      </c>
      <c r="N512" s="137">
        <f t="shared" si="92"/>
        <v>3048.2</v>
      </c>
    </row>
    <row r="513" spans="1:14" s="351" customFormat="1" ht="78" customHeight="1">
      <c r="A513" s="350"/>
      <c r="B513" s="135" t="s">
        <v>328</v>
      </c>
      <c r="C513" s="136" t="s">
        <v>327</v>
      </c>
      <c r="D513" s="121" t="s">
        <v>246</v>
      </c>
      <c r="E513" s="121" t="s">
        <v>246</v>
      </c>
      <c r="F513" s="734" t="s">
        <v>86</v>
      </c>
      <c r="G513" s="735" t="s">
        <v>65</v>
      </c>
      <c r="H513" s="735" t="s">
        <v>57</v>
      </c>
      <c r="I513" s="736" t="s">
        <v>64</v>
      </c>
      <c r="J513" s="121"/>
      <c r="K513" s="713">
        <f t="shared" si="92"/>
        <v>3048.2</v>
      </c>
      <c r="L513" s="137">
        <f t="shared" si="92"/>
        <v>0</v>
      </c>
      <c r="M513" s="137">
        <f t="shared" si="92"/>
        <v>3048.2</v>
      </c>
      <c r="N513" s="137">
        <f t="shared" si="92"/>
        <v>3048.2</v>
      </c>
    </row>
    <row r="514" spans="1:14" s="351" customFormat="1" ht="39" customHeight="1">
      <c r="A514" s="350"/>
      <c r="B514" s="274" t="s">
        <v>795</v>
      </c>
      <c r="C514" s="136" t="s">
        <v>327</v>
      </c>
      <c r="D514" s="121" t="s">
        <v>246</v>
      </c>
      <c r="E514" s="121" t="s">
        <v>246</v>
      </c>
      <c r="F514" s="734" t="s">
        <v>86</v>
      </c>
      <c r="G514" s="735" t="s">
        <v>65</v>
      </c>
      <c r="H514" s="735" t="s">
        <v>57</v>
      </c>
      <c r="I514" s="736" t="s">
        <v>112</v>
      </c>
      <c r="J514" s="121"/>
      <c r="K514" s="713">
        <f>K515+K516+K517</f>
        <v>3048.2</v>
      </c>
      <c r="L514" s="137">
        <f>L515+L516+L517</f>
        <v>0</v>
      </c>
      <c r="M514" s="137">
        <f>M515+M516+M517</f>
        <v>3048.2</v>
      </c>
      <c r="N514" s="137">
        <f>N515+N516+N517</f>
        <v>3048.2</v>
      </c>
    </row>
    <row r="515" spans="1:14" s="351" customFormat="1" ht="112.5">
      <c r="A515" s="122"/>
      <c r="B515" s="135" t="s">
        <v>69</v>
      </c>
      <c r="C515" s="136" t="s">
        <v>327</v>
      </c>
      <c r="D515" s="121" t="s">
        <v>246</v>
      </c>
      <c r="E515" s="121" t="s">
        <v>246</v>
      </c>
      <c r="F515" s="734" t="s">
        <v>86</v>
      </c>
      <c r="G515" s="735" t="s">
        <v>65</v>
      </c>
      <c r="H515" s="735" t="s">
        <v>57</v>
      </c>
      <c r="I515" s="736" t="s">
        <v>112</v>
      </c>
      <c r="J515" s="121" t="s">
        <v>70</v>
      </c>
      <c r="K515" s="713">
        <v>2667.4</v>
      </c>
      <c r="L515" s="137">
        <f>M515-K515</f>
        <v>0</v>
      </c>
      <c r="M515" s="137">
        <v>2667.4</v>
      </c>
      <c r="N515" s="137">
        <v>2667.4</v>
      </c>
    </row>
    <row r="516" spans="1:14" s="118" customFormat="1" ht="56.25">
      <c r="A516" s="122"/>
      <c r="B516" s="135" t="s">
        <v>75</v>
      </c>
      <c r="C516" s="136" t="s">
        <v>327</v>
      </c>
      <c r="D516" s="121" t="s">
        <v>246</v>
      </c>
      <c r="E516" s="121" t="s">
        <v>246</v>
      </c>
      <c r="F516" s="734" t="s">
        <v>86</v>
      </c>
      <c r="G516" s="735" t="s">
        <v>65</v>
      </c>
      <c r="H516" s="735" t="s">
        <v>57</v>
      </c>
      <c r="I516" s="736" t="s">
        <v>112</v>
      </c>
      <c r="J516" s="121" t="s">
        <v>76</v>
      </c>
      <c r="K516" s="713">
        <v>378.1</v>
      </c>
      <c r="L516" s="137">
        <f>M516-K516</f>
        <v>0</v>
      </c>
      <c r="M516" s="137">
        <v>378.1</v>
      </c>
      <c r="N516" s="137">
        <v>378.1</v>
      </c>
    </row>
    <row r="517" spans="1:14" s="118" customFormat="1" ht="18.75">
      <c r="A517" s="122"/>
      <c r="B517" s="135" t="s">
        <v>77</v>
      </c>
      <c r="C517" s="136" t="s">
        <v>327</v>
      </c>
      <c r="D517" s="121" t="s">
        <v>246</v>
      </c>
      <c r="E517" s="121" t="s">
        <v>246</v>
      </c>
      <c r="F517" s="734" t="s">
        <v>86</v>
      </c>
      <c r="G517" s="735" t="s">
        <v>65</v>
      </c>
      <c r="H517" s="735" t="s">
        <v>57</v>
      </c>
      <c r="I517" s="736" t="s">
        <v>112</v>
      </c>
      <c r="J517" s="121" t="s">
        <v>78</v>
      </c>
      <c r="K517" s="713">
        <v>2.7</v>
      </c>
      <c r="L517" s="137">
        <f>M517-K517</f>
        <v>0</v>
      </c>
      <c r="M517" s="137">
        <v>2.7</v>
      </c>
      <c r="N517" s="137">
        <v>2.7</v>
      </c>
    </row>
    <row r="518" spans="1:14" s="118" customFormat="1" ht="18.75">
      <c r="A518" s="122"/>
      <c r="B518" s="135" t="s">
        <v>208</v>
      </c>
      <c r="C518" s="389" t="s">
        <v>327</v>
      </c>
      <c r="D518" s="121" t="s">
        <v>246</v>
      </c>
      <c r="E518" s="121" t="s">
        <v>100</v>
      </c>
      <c r="F518" s="734"/>
      <c r="G518" s="735"/>
      <c r="H518" s="735"/>
      <c r="I518" s="736"/>
      <c r="J518" s="121"/>
      <c r="K518" s="713">
        <f t="shared" ref="K518:N521" si="93">K519</f>
        <v>2981.2999999999997</v>
      </c>
      <c r="L518" s="137">
        <f t="shared" si="93"/>
        <v>0</v>
      </c>
      <c r="M518" s="137">
        <f t="shared" si="93"/>
        <v>2981.2999999999997</v>
      </c>
      <c r="N518" s="137">
        <f t="shared" si="93"/>
        <v>2986.6</v>
      </c>
    </row>
    <row r="519" spans="1:14" s="118" customFormat="1" ht="56.25">
      <c r="A519" s="122"/>
      <c r="B519" s="135" t="s">
        <v>243</v>
      </c>
      <c r="C519" s="389" t="s">
        <v>327</v>
      </c>
      <c r="D519" s="121" t="s">
        <v>246</v>
      </c>
      <c r="E519" s="121" t="s">
        <v>100</v>
      </c>
      <c r="F519" s="734" t="s">
        <v>86</v>
      </c>
      <c r="G519" s="735" t="s">
        <v>62</v>
      </c>
      <c r="H519" s="735" t="s">
        <v>63</v>
      </c>
      <c r="I519" s="736" t="s">
        <v>64</v>
      </c>
      <c r="J519" s="121"/>
      <c r="K519" s="713">
        <f t="shared" si="93"/>
        <v>2981.2999999999997</v>
      </c>
      <c r="L519" s="137">
        <f t="shared" si="93"/>
        <v>0</v>
      </c>
      <c r="M519" s="137">
        <f t="shared" si="93"/>
        <v>2981.2999999999997</v>
      </c>
      <c r="N519" s="137">
        <f t="shared" si="93"/>
        <v>2986.6</v>
      </c>
    </row>
    <row r="520" spans="1:14" s="118" customFormat="1" ht="37.5">
      <c r="A520" s="122"/>
      <c r="B520" s="135" t="s">
        <v>242</v>
      </c>
      <c r="C520" s="136" t="s">
        <v>327</v>
      </c>
      <c r="D520" s="121" t="s">
        <v>246</v>
      </c>
      <c r="E520" s="121" t="s">
        <v>100</v>
      </c>
      <c r="F520" s="734" t="s">
        <v>86</v>
      </c>
      <c r="G520" s="735" t="s">
        <v>110</v>
      </c>
      <c r="H520" s="735" t="s">
        <v>63</v>
      </c>
      <c r="I520" s="736" t="s">
        <v>64</v>
      </c>
      <c r="J520" s="121"/>
      <c r="K520" s="713">
        <f t="shared" si="93"/>
        <v>2981.2999999999997</v>
      </c>
      <c r="L520" s="137">
        <f t="shared" si="93"/>
        <v>0</v>
      </c>
      <c r="M520" s="137">
        <f t="shared" si="93"/>
        <v>2981.2999999999997</v>
      </c>
      <c r="N520" s="137">
        <f t="shared" si="93"/>
        <v>2986.6</v>
      </c>
    </row>
    <row r="521" spans="1:14" s="351" customFormat="1" ht="37.5">
      <c r="A521" s="122"/>
      <c r="B521" s="135" t="s">
        <v>322</v>
      </c>
      <c r="C521" s="136" t="s">
        <v>327</v>
      </c>
      <c r="D521" s="121" t="s">
        <v>246</v>
      </c>
      <c r="E521" s="121" t="s">
        <v>100</v>
      </c>
      <c r="F521" s="734" t="s">
        <v>86</v>
      </c>
      <c r="G521" s="735" t="s">
        <v>110</v>
      </c>
      <c r="H521" s="735" t="s">
        <v>57</v>
      </c>
      <c r="I521" s="736" t="s">
        <v>64</v>
      </c>
      <c r="J521" s="121"/>
      <c r="K521" s="713">
        <f t="shared" si="93"/>
        <v>2981.2999999999997</v>
      </c>
      <c r="L521" s="137">
        <f t="shared" si="93"/>
        <v>0</v>
      </c>
      <c r="M521" s="137">
        <f t="shared" si="93"/>
        <v>2981.2999999999997</v>
      </c>
      <c r="N521" s="137">
        <f t="shared" si="93"/>
        <v>2986.6</v>
      </c>
    </row>
    <row r="522" spans="1:14" s="118" customFormat="1" ht="37.5">
      <c r="A522" s="122"/>
      <c r="B522" s="135" t="s">
        <v>67</v>
      </c>
      <c r="C522" s="136" t="s">
        <v>327</v>
      </c>
      <c r="D522" s="121" t="s">
        <v>246</v>
      </c>
      <c r="E522" s="121" t="s">
        <v>100</v>
      </c>
      <c r="F522" s="734" t="s">
        <v>86</v>
      </c>
      <c r="G522" s="735" t="s">
        <v>110</v>
      </c>
      <c r="H522" s="735" t="s">
        <v>57</v>
      </c>
      <c r="I522" s="736" t="s">
        <v>68</v>
      </c>
      <c r="J522" s="121"/>
      <c r="K522" s="713">
        <f>K523+K524+K525</f>
        <v>2981.2999999999997</v>
      </c>
      <c r="L522" s="137">
        <f>L523+L524+L525</f>
        <v>0</v>
      </c>
      <c r="M522" s="137">
        <f>M523+M524+M525</f>
        <v>2981.2999999999997</v>
      </c>
      <c r="N522" s="137">
        <f>N523+N524+N525</f>
        <v>2986.6</v>
      </c>
    </row>
    <row r="523" spans="1:14" s="118" customFormat="1" ht="112.5">
      <c r="A523" s="122"/>
      <c r="B523" s="135" t="s">
        <v>69</v>
      </c>
      <c r="C523" s="136" t="s">
        <v>327</v>
      </c>
      <c r="D523" s="121" t="s">
        <v>246</v>
      </c>
      <c r="E523" s="121" t="s">
        <v>100</v>
      </c>
      <c r="F523" s="734" t="s">
        <v>86</v>
      </c>
      <c r="G523" s="735" t="s">
        <v>110</v>
      </c>
      <c r="H523" s="735" t="s">
        <v>57</v>
      </c>
      <c r="I523" s="736" t="s">
        <v>68</v>
      </c>
      <c r="J523" s="121" t="s">
        <v>70</v>
      </c>
      <c r="K523" s="713">
        <v>2735.5</v>
      </c>
      <c r="L523" s="137">
        <f>M523-K523</f>
        <v>0</v>
      </c>
      <c r="M523" s="137">
        <v>2735.5</v>
      </c>
      <c r="N523" s="137">
        <v>2735.5</v>
      </c>
    </row>
    <row r="524" spans="1:14" s="118" customFormat="1" ht="56.25">
      <c r="A524" s="122"/>
      <c r="B524" s="135" t="s">
        <v>75</v>
      </c>
      <c r="C524" s="389" t="s">
        <v>327</v>
      </c>
      <c r="D524" s="293" t="s">
        <v>246</v>
      </c>
      <c r="E524" s="293" t="s">
        <v>100</v>
      </c>
      <c r="F524" s="734" t="s">
        <v>86</v>
      </c>
      <c r="G524" s="735" t="s">
        <v>110</v>
      </c>
      <c r="H524" s="735" t="s">
        <v>57</v>
      </c>
      <c r="I524" s="736" t="s">
        <v>68</v>
      </c>
      <c r="J524" s="121" t="s">
        <v>76</v>
      </c>
      <c r="K524" s="713">
        <v>244.6</v>
      </c>
      <c r="L524" s="137">
        <f>M524-K524</f>
        <v>0</v>
      </c>
      <c r="M524" s="137">
        <v>244.6</v>
      </c>
      <c r="N524" s="137">
        <v>249.9</v>
      </c>
    </row>
    <row r="525" spans="1:14" s="118" customFormat="1" ht="18.75">
      <c r="A525" s="122"/>
      <c r="B525" s="135" t="s">
        <v>77</v>
      </c>
      <c r="C525" s="389" t="s">
        <v>327</v>
      </c>
      <c r="D525" s="293" t="s">
        <v>246</v>
      </c>
      <c r="E525" s="293" t="s">
        <v>100</v>
      </c>
      <c r="F525" s="734" t="s">
        <v>86</v>
      </c>
      <c r="G525" s="735" t="s">
        <v>110</v>
      </c>
      <c r="H525" s="735" t="s">
        <v>57</v>
      </c>
      <c r="I525" s="736" t="s">
        <v>68</v>
      </c>
      <c r="J525" s="121" t="s">
        <v>78</v>
      </c>
      <c r="K525" s="713">
        <v>1.2</v>
      </c>
      <c r="L525" s="137">
        <f>M525-K525</f>
        <v>0</v>
      </c>
      <c r="M525" s="137">
        <v>1.2</v>
      </c>
      <c r="N525" s="137">
        <v>1.2</v>
      </c>
    </row>
    <row r="526" spans="1:14" s="118" customFormat="1" ht="18.75">
      <c r="A526" s="122"/>
      <c r="B526" s="135"/>
      <c r="C526" s="389"/>
      <c r="D526" s="293"/>
      <c r="E526" s="293"/>
      <c r="F526" s="734"/>
      <c r="G526" s="735"/>
      <c r="H526" s="735"/>
      <c r="I526" s="736"/>
      <c r="J526" s="121"/>
      <c r="K526" s="713"/>
      <c r="L526" s="137"/>
      <c r="M526" s="137"/>
      <c r="N526" s="137"/>
    </row>
    <row r="527" spans="1:14" s="351" customFormat="1" ht="56.25">
      <c r="A527" s="350">
        <v>9</v>
      </c>
      <c r="B527" s="129" t="s">
        <v>28</v>
      </c>
      <c r="C527" s="130" t="s">
        <v>338</v>
      </c>
      <c r="D527" s="131"/>
      <c r="E527" s="131"/>
      <c r="F527" s="132"/>
      <c r="G527" s="133"/>
      <c r="H527" s="133"/>
      <c r="I527" s="134"/>
      <c r="J527" s="131"/>
      <c r="K527" s="712">
        <f>K528+K535</f>
        <v>68121.8</v>
      </c>
      <c r="L527" s="160">
        <f>L528+L535</f>
        <v>0</v>
      </c>
      <c r="M527" s="160">
        <f>M528+M535</f>
        <v>68121.8</v>
      </c>
      <c r="N527" s="160">
        <f>N528+N535</f>
        <v>69504.600000000006</v>
      </c>
    </row>
    <row r="528" spans="1:14" s="118" customFormat="1" ht="18.75">
      <c r="A528" s="122"/>
      <c r="B528" s="141" t="s">
        <v>201</v>
      </c>
      <c r="C528" s="136" t="s">
        <v>338</v>
      </c>
      <c r="D528" s="121" t="s">
        <v>246</v>
      </c>
      <c r="E528" s="121"/>
      <c r="F528" s="734"/>
      <c r="G528" s="735"/>
      <c r="H528" s="735"/>
      <c r="I528" s="736"/>
      <c r="J528" s="121"/>
      <c r="K528" s="713">
        <f t="shared" ref="K528:N533" si="94">K529</f>
        <v>10.1</v>
      </c>
      <c r="L528" s="137">
        <f t="shared" si="94"/>
        <v>0</v>
      </c>
      <c r="M528" s="137">
        <f t="shared" si="94"/>
        <v>10.1</v>
      </c>
      <c r="N528" s="137">
        <f t="shared" si="94"/>
        <v>10.1</v>
      </c>
    </row>
    <row r="529" spans="1:14" s="351" customFormat="1" ht="18.75">
      <c r="A529" s="122"/>
      <c r="B529" s="135" t="s">
        <v>425</v>
      </c>
      <c r="C529" s="136" t="s">
        <v>338</v>
      </c>
      <c r="D529" s="121" t="s">
        <v>246</v>
      </c>
      <c r="E529" s="121" t="s">
        <v>246</v>
      </c>
      <c r="F529" s="734"/>
      <c r="G529" s="735"/>
      <c r="H529" s="735"/>
      <c r="I529" s="736"/>
      <c r="J529" s="121"/>
      <c r="K529" s="713">
        <f t="shared" si="94"/>
        <v>10.1</v>
      </c>
      <c r="L529" s="137">
        <f t="shared" si="94"/>
        <v>0</v>
      </c>
      <c r="M529" s="137">
        <f t="shared" si="94"/>
        <v>10.1</v>
      </c>
      <c r="N529" s="137">
        <f t="shared" si="94"/>
        <v>10.1</v>
      </c>
    </row>
    <row r="530" spans="1:14" s="351" customFormat="1" ht="56.25">
      <c r="A530" s="122"/>
      <c r="B530" s="135" t="s">
        <v>339</v>
      </c>
      <c r="C530" s="136" t="s">
        <v>338</v>
      </c>
      <c r="D530" s="121" t="s">
        <v>246</v>
      </c>
      <c r="E530" s="121" t="s">
        <v>246</v>
      </c>
      <c r="F530" s="734" t="s">
        <v>100</v>
      </c>
      <c r="G530" s="735" t="s">
        <v>62</v>
      </c>
      <c r="H530" s="735" t="s">
        <v>63</v>
      </c>
      <c r="I530" s="736" t="s">
        <v>64</v>
      </c>
      <c r="J530" s="121"/>
      <c r="K530" s="713">
        <f t="shared" si="94"/>
        <v>10.1</v>
      </c>
      <c r="L530" s="137">
        <f t="shared" si="94"/>
        <v>0</v>
      </c>
      <c r="M530" s="137">
        <f t="shared" si="94"/>
        <v>10.1</v>
      </c>
      <c r="N530" s="137">
        <f t="shared" si="94"/>
        <v>10.1</v>
      </c>
    </row>
    <row r="531" spans="1:14" s="351" customFormat="1" ht="37.5">
      <c r="A531" s="122"/>
      <c r="B531" s="135" t="s">
        <v>404</v>
      </c>
      <c r="C531" s="136" t="s">
        <v>338</v>
      </c>
      <c r="D531" s="121" t="s">
        <v>246</v>
      </c>
      <c r="E531" s="121" t="s">
        <v>246</v>
      </c>
      <c r="F531" s="734" t="s">
        <v>100</v>
      </c>
      <c r="G531" s="735" t="s">
        <v>65</v>
      </c>
      <c r="H531" s="735" t="s">
        <v>63</v>
      </c>
      <c r="I531" s="736" t="s">
        <v>64</v>
      </c>
      <c r="J531" s="121"/>
      <c r="K531" s="713">
        <f t="shared" si="94"/>
        <v>10.1</v>
      </c>
      <c r="L531" s="137">
        <f t="shared" si="94"/>
        <v>0</v>
      </c>
      <c r="M531" s="137">
        <f t="shared" si="94"/>
        <v>10.1</v>
      </c>
      <c r="N531" s="137">
        <f t="shared" si="94"/>
        <v>10.1</v>
      </c>
    </row>
    <row r="532" spans="1:14" s="351" customFormat="1" ht="37.5">
      <c r="A532" s="122"/>
      <c r="B532" s="135" t="s">
        <v>325</v>
      </c>
      <c r="C532" s="136" t="s">
        <v>338</v>
      </c>
      <c r="D532" s="121" t="s">
        <v>246</v>
      </c>
      <c r="E532" s="121" t="s">
        <v>246</v>
      </c>
      <c r="F532" s="734" t="s">
        <v>100</v>
      </c>
      <c r="G532" s="735" t="s">
        <v>65</v>
      </c>
      <c r="H532" s="735" t="s">
        <v>57</v>
      </c>
      <c r="I532" s="736" t="s">
        <v>64</v>
      </c>
      <c r="J532" s="121"/>
      <c r="K532" s="713">
        <f t="shared" si="94"/>
        <v>10.1</v>
      </c>
      <c r="L532" s="137">
        <f t="shared" si="94"/>
        <v>0</v>
      </c>
      <c r="M532" s="137">
        <f t="shared" si="94"/>
        <v>10.1</v>
      </c>
      <c r="N532" s="137">
        <f t="shared" si="94"/>
        <v>10.1</v>
      </c>
    </row>
    <row r="533" spans="1:14" s="351" customFormat="1" ht="153.75" customHeight="1">
      <c r="A533" s="122"/>
      <c r="B533" s="391" t="s">
        <v>439</v>
      </c>
      <c r="C533" s="136" t="s">
        <v>338</v>
      </c>
      <c r="D533" s="121" t="s">
        <v>246</v>
      </c>
      <c r="E533" s="121" t="s">
        <v>246</v>
      </c>
      <c r="F533" s="734" t="s">
        <v>100</v>
      </c>
      <c r="G533" s="735" t="s">
        <v>65</v>
      </c>
      <c r="H533" s="735" t="s">
        <v>57</v>
      </c>
      <c r="I533" s="736" t="s">
        <v>340</v>
      </c>
      <c r="J533" s="121"/>
      <c r="K533" s="713">
        <f t="shared" si="94"/>
        <v>10.1</v>
      </c>
      <c r="L533" s="137">
        <f t="shared" si="94"/>
        <v>0</v>
      </c>
      <c r="M533" s="137">
        <f t="shared" si="94"/>
        <v>10.1</v>
      </c>
      <c r="N533" s="137">
        <f t="shared" si="94"/>
        <v>10.1</v>
      </c>
    </row>
    <row r="534" spans="1:14" s="351" customFormat="1" ht="37.5">
      <c r="A534" s="122"/>
      <c r="B534" s="135" t="s">
        <v>141</v>
      </c>
      <c r="C534" s="136" t="s">
        <v>338</v>
      </c>
      <c r="D534" s="121" t="s">
        <v>246</v>
      </c>
      <c r="E534" s="121" t="s">
        <v>246</v>
      </c>
      <c r="F534" s="734" t="s">
        <v>100</v>
      </c>
      <c r="G534" s="735" t="s">
        <v>65</v>
      </c>
      <c r="H534" s="735" t="s">
        <v>57</v>
      </c>
      <c r="I534" s="736" t="s">
        <v>340</v>
      </c>
      <c r="J534" s="121" t="s">
        <v>142</v>
      </c>
      <c r="K534" s="713">
        <v>10.1</v>
      </c>
      <c r="L534" s="137">
        <f>M534-K534</f>
        <v>0</v>
      </c>
      <c r="M534" s="137">
        <v>10.1</v>
      </c>
      <c r="N534" s="137">
        <v>10.1</v>
      </c>
    </row>
    <row r="535" spans="1:14" s="118" customFormat="1" ht="18.75">
      <c r="A535" s="122"/>
      <c r="B535" s="141" t="s">
        <v>140</v>
      </c>
      <c r="C535" s="136" t="s">
        <v>338</v>
      </c>
      <c r="D535" s="121" t="s">
        <v>125</v>
      </c>
      <c r="E535" s="121"/>
      <c r="F535" s="734"/>
      <c r="G535" s="735"/>
      <c r="H535" s="735"/>
      <c r="I535" s="736"/>
      <c r="J535" s="121"/>
      <c r="K535" s="713">
        <f>K536+K552</f>
        <v>68111.7</v>
      </c>
      <c r="L535" s="137">
        <f>L536+L552</f>
        <v>0</v>
      </c>
      <c r="M535" s="137">
        <f>M536+M552</f>
        <v>68111.7</v>
      </c>
      <c r="N535" s="137">
        <f>N536+N552</f>
        <v>69494.5</v>
      </c>
    </row>
    <row r="536" spans="1:14" s="118" customFormat="1" ht="18.75">
      <c r="A536" s="122"/>
      <c r="B536" s="135" t="s">
        <v>215</v>
      </c>
      <c r="C536" s="136" t="s">
        <v>338</v>
      </c>
      <c r="D536" s="121" t="s">
        <v>125</v>
      </c>
      <c r="E536" s="121" t="s">
        <v>72</v>
      </c>
      <c r="F536" s="734"/>
      <c r="G536" s="735"/>
      <c r="H536" s="735"/>
      <c r="I536" s="736"/>
      <c r="J536" s="121"/>
      <c r="K536" s="713">
        <f t="shared" ref="K536:N538" si="95">K537</f>
        <v>60520</v>
      </c>
      <c r="L536" s="137">
        <f t="shared" si="95"/>
        <v>0</v>
      </c>
      <c r="M536" s="137">
        <f t="shared" si="95"/>
        <v>60520</v>
      </c>
      <c r="N536" s="137">
        <f t="shared" si="95"/>
        <v>61902.799999999996</v>
      </c>
    </row>
    <row r="537" spans="1:14" s="118" customFormat="1" ht="56.25">
      <c r="A537" s="122"/>
      <c r="B537" s="139" t="s">
        <v>252</v>
      </c>
      <c r="C537" s="136" t="s">
        <v>338</v>
      </c>
      <c r="D537" s="121" t="s">
        <v>125</v>
      </c>
      <c r="E537" s="121" t="s">
        <v>72</v>
      </c>
      <c r="F537" s="734" t="s">
        <v>100</v>
      </c>
      <c r="G537" s="735" t="s">
        <v>62</v>
      </c>
      <c r="H537" s="735" t="s">
        <v>63</v>
      </c>
      <c r="I537" s="736" t="s">
        <v>64</v>
      </c>
      <c r="J537" s="121"/>
      <c r="K537" s="713">
        <f t="shared" si="95"/>
        <v>60520</v>
      </c>
      <c r="L537" s="137">
        <f t="shared" si="95"/>
        <v>0</v>
      </c>
      <c r="M537" s="137">
        <f t="shared" si="95"/>
        <v>60520</v>
      </c>
      <c r="N537" s="137">
        <f t="shared" si="95"/>
        <v>61902.799999999996</v>
      </c>
    </row>
    <row r="538" spans="1:14" s="118" customFormat="1" ht="37.5">
      <c r="A538" s="122"/>
      <c r="B538" s="135" t="s">
        <v>404</v>
      </c>
      <c r="C538" s="136" t="s">
        <v>338</v>
      </c>
      <c r="D538" s="121" t="s">
        <v>125</v>
      </c>
      <c r="E538" s="121" t="s">
        <v>72</v>
      </c>
      <c r="F538" s="734" t="s">
        <v>100</v>
      </c>
      <c r="G538" s="735" t="s">
        <v>65</v>
      </c>
      <c r="H538" s="735" t="s">
        <v>63</v>
      </c>
      <c r="I538" s="736" t="s">
        <v>64</v>
      </c>
      <c r="J538" s="121"/>
      <c r="K538" s="713">
        <f t="shared" si="95"/>
        <v>60520</v>
      </c>
      <c r="L538" s="137">
        <f t="shared" si="95"/>
        <v>0</v>
      </c>
      <c r="M538" s="137">
        <f t="shared" si="95"/>
        <v>60520</v>
      </c>
      <c r="N538" s="137">
        <f t="shared" si="95"/>
        <v>61902.799999999996</v>
      </c>
    </row>
    <row r="539" spans="1:14" s="351" customFormat="1" ht="37.5">
      <c r="A539" s="122"/>
      <c r="B539" s="135" t="s">
        <v>325</v>
      </c>
      <c r="C539" s="136" t="s">
        <v>338</v>
      </c>
      <c r="D539" s="121" t="s">
        <v>125</v>
      </c>
      <c r="E539" s="121" t="s">
        <v>72</v>
      </c>
      <c r="F539" s="734" t="s">
        <v>100</v>
      </c>
      <c r="G539" s="735" t="s">
        <v>65</v>
      </c>
      <c r="H539" s="735" t="s">
        <v>57</v>
      </c>
      <c r="I539" s="736" t="s">
        <v>64</v>
      </c>
      <c r="J539" s="121"/>
      <c r="K539" s="713">
        <f>K540+K543+K546+K549</f>
        <v>60520</v>
      </c>
      <c r="L539" s="137">
        <f>L540+L543+L546+L549</f>
        <v>0</v>
      </c>
      <c r="M539" s="137">
        <f>M540+M543+M546+M549</f>
        <v>60520</v>
      </c>
      <c r="N539" s="137">
        <f>N540+N543+N546+N549</f>
        <v>61902.799999999996</v>
      </c>
    </row>
    <row r="540" spans="1:14" s="351" customFormat="1" ht="152.25" customHeight="1">
      <c r="A540" s="122"/>
      <c r="B540" s="391" t="s">
        <v>440</v>
      </c>
      <c r="C540" s="136" t="s">
        <v>338</v>
      </c>
      <c r="D540" s="121" t="s">
        <v>125</v>
      </c>
      <c r="E540" s="121" t="s">
        <v>72</v>
      </c>
      <c r="F540" s="734" t="s">
        <v>100</v>
      </c>
      <c r="G540" s="735" t="s">
        <v>65</v>
      </c>
      <c r="H540" s="735" t="s">
        <v>57</v>
      </c>
      <c r="I540" s="736" t="s">
        <v>341</v>
      </c>
      <c r="J540" s="121"/>
      <c r="K540" s="713">
        <f>SUM(K541:K542)</f>
        <v>34301.300000000003</v>
      </c>
      <c r="L540" s="137">
        <f>SUM(L541:L542)</f>
        <v>0</v>
      </c>
      <c r="M540" s="137">
        <f>SUM(M541:M542)</f>
        <v>34301.300000000003</v>
      </c>
      <c r="N540" s="137">
        <f>SUM(N541:N542)</f>
        <v>35673.9</v>
      </c>
    </row>
    <row r="541" spans="1:14" s="351" customFormat="1" ht="56.25">
      <c r="A541" s="122"/>
      <c r="B541" s="135" t="s">
        <v>75</v>
      </c>
      <c r="C541" s="136" t="s">
        <v>338</v>
      </c>
      <c r="D541" s="121" t="s">
        <v>125</v>
      </c>
      <c r="E541" s="121" t="s">
        <v>72</v>
      </c>
      <c r="F541" s="734" t="s">
        <v>100</v>
      </c>
      <c r="G541" s="735" t="s">
        <v>65</v>
      </c>
      <c r="H541" s="735" t="s">
        <v>57</v>
      </c>
      <c r="I541" s="736" t="s">
        <v>341</v>
      </c>
      <c r="J541" s="121" t="s">
        <v>76</v>
      </c>
      <c r="K541" s="713">
        <v>171.5</v>
      </c>
      <c r="L541" s="137">
        <f>M541-K541</f>
        <v>0</v>
      </c>
      <c r="M541" s="137">
        <v>171.5</v>
      </c>
      <c r="N541" s="137">
        <v>178.4</v>
      </c>
    </row>
    <row r="542" spans="1:14" s="351" customFormat="1" ht="37.5">
      <c r="A542" s="122"/>
      <c r="B542" s="135" t="s">
        <v>141</v>
      </c>
      <c r="C542" s="136" t="s">
        <v>338</v>
      </c>
      <c r="D542" s="121" t="s">
        <v>125</v>
      </c>
      <c r="E542" s="121" t="s">
        <v>72</v>
      </c>
      <c r="F542" s="734" t="s">
        <v>100</v>
      </c>
      <c r="G542" s="735" t="s">
        <v>65</v>
      </c>
      <c r="H542" s="735" t="s">
        <v>57</v>
      </c>
      <c r="I542" s="736" t="s">
        <v>341</v>
      </c>
      <c r="J542" s="121" t="s">
        <v>142</v>
      </c>
      <c r="K542" s="713">
        <v>34129.800000000003</v>
      </c>
      <c r="L542" s="137">
        <f>M542-K542</f>
        <v>0</v>
      </c>
      <c r="M542" s="137">
        <v>34129.800000000003</v>
      </c>
      <c r="N542" s="137">
        <v>35495.5</v>
      </c>
    </row>
    <row r="543" spans="1:14" s="351" customFormat="1" ht="93.75" customHeight="1">
      <c r="A543" s="122"/>
      <c r="B543" s="135" t="s">
        <v>441</v>
      </c>
      <c r="C543" s="136" t="s">
        <v>338</v>
      </c>
      <c r="D543" s="121" t="s">
        <v>125</v>
      </c>
      <c r="E543" s="121" t="s">
        <v>72</v>
      </c>
      <c r="F543" s="734" t="s">
        <v>100</v>
      </c>
      <c r="G543" s="735" t="s">
        <v>65</v>
      </c>
      <c r="H543" s="735" t="s">
        <v>57</v>
      </c>
      <c r="I543" s="736" t="s">
        <v>342</v>
      </c>
      <c r="J543" s="121"/>
      <c r="K543" s="713">
        <f>SUM(K544:K545)</f>
        <v>25619.1</v>
      </c>
      <c r="L543" s="137">
        <f>SUM(L544:L545)</f>
        <v>0</v>
      </c>
      <c r="M543" s="137">
        <f>SUM(M544:M545)</f>
        <v>25619.1</v>
      </c>
      <c r="N543" s="137">
        <f>SUM(N544:N545)</f>
        <v>25619.1</v>
      </c>
    </row>
    <row r="544" spans="1:14" s="351" customFormat="1" ht="56.25">
      <c r="A544" s="122"/>
      <c r="B544" s="135" t="s">
        <v>75</v>
      </c>
      <c r="C544" s="136" t="s">
        <v>338</v>
      </c>
      <c r="D544" s="121" t="s">
        <v>125</v>
      </c>
      <c r="E544" s="121" t="s">
        <v>72</v>
      </c>
      <c r="F544" s="734" t="s">
        <v>100</v>
      </c>
      <c r="G544" s="735" t="s">
        <v>65</v>
      </c>
      <c r="H544" s="735" t="s">
        <v>57</v>
      </c>
      <c r="I544" s="736" t="s">
        <v>342</v>
      </c>
      <c r="J544" s="121" t="s">
        <v>76</v>
      </c>
      <c r="K544" s="713">
        <v>128.1</v>
      </c>
      <c r="L544" s="137">
        <f>M544-K544</f>
        <v>0</v>
      </c>
      <c r="M544" s="137">
        <v>128.1</v>
      </c>
      <c r="N544" s="137">
        <v>128.1</v>
      </c>
    </row>
    <row r="545" spans="1:14" s="351" customFormat="1" ht="37.5">
      <c r="A545" s="122"/>
      <c r="B545" s="135" t="s">
        <v>141</v>
      </c>
      <c r="C545" s="136" t="s">
        <v>338</v>
      </c>
      <c r="D545" s="121" t="s">
        <v>125</v>
      </c>
      <c r="E545" s="121" t="s">
        <v>72</v>
      </c>
      <c r="F545" s="734" t="s">
        <v>100</v>
      </c>
      <c r="G545" s="735" t="s">
        <v>65</v>
      </c>
      <c r="H545" s="735" t="s">
        <v>57</v>
      </c>
      <c r="I545" s="736" t="s">
        <v>342</v>
      </c>
      <c r="J545" s="121" t="s">
        <v>142</v>
      </c>
      <c r="K545" s="713">
        <v>25491</v>
      </c>
      <c r="L545" s="137">
        <f>M545-K545</f>
        <v>0</v>
      </c>
      <c r="M545" s="137">
        <v>25491</v>
      </c>
      <c r="N545" s="137">
        <v>25491</v>
      </c>
    </row>
    <row r="546" spans="1:14" s="351" customFormat="1" ht="94.5" customHeight="1">
      <c r="A546" s="122"/>
      <c r="B546" s="135" t="s">
        <v>442</v>
      </c>
      <c r="C546" s="136" t="s">
        <v>338</v>
      </c>
      <c r="D546" s="121" t="s">
        <v>125</v>
      </c>
      <c r="E546" s="121" t="s">
        <v>72</v>
      </c>
      <c r="F546" s="734" t="s">
        <v>100</v>
      </c>
      <c r="G546" s="735" t="s">
        <v>65</v>
      </c>
      <c r="H546" s="735" t="s">
        <v>57</v>
      </c>
      <c r="I546" s="736" t="s">
        <v>343</v>
      </c>
      <c r="J546" s="121"/>
      <c r="K546" s="713">
        <f>SUM(K547:K548)</f>
        <v>252.9</v>
      </c>
      <c r="L546" s="137">
        <f>SUM(L547:L548)</f>
        <v>0</v>
      </c>
      <c r="M546" s="137">
        <f>SUM(M547:M548)</f>
        <v>252.9</v>
      </c>
      <c r="N546" s="137">
        <f>SUM(N547:N548)</f>
        <v>263.10000000000002</v>
      </c>
    </row>
    <row r="547" spans="1:14" s="351" customFormat="1" ht="56.25">
      <c r="A547" s="122"/>
      <c r="B547" s="135" t="s">
        <v>75</v>
      </c>
      <c r="C547" s="136" t="s">
        <v>338</v>
      </c>
      <c r="D547" s="121" t="s">
        <v>125</v>
      </c>
      <c r="E547" s="121" t="s">
        <v>72</v>
      </c>
      <c r="F547" s="734" t="s">
        <v>100</v>
      </c>
      <c r="G547" s="735" t="s">
        <v>65</v>
      </c>
      <c r="H547" s="735" t="s">
        <v>57</v>
      </c>
      <c r="I547" s="736" t="s">
        <v>343</v>
      </c>
      <c r="J547" s="121" t="s">
        <v>76</v>
      </c>
      <c r="K547" s="713">
        <v>1.2</v>
      </c>
      <c r="L547" s="137">
        <f>M547-K547</f>
        <v>0</v>
      </c>
      <c r="M547" s="137">
        <v>1.2</v>
      </c>
      <c r="N547" s="137">
        <v>1.3</v>
      </c>
    </row>
    <row r="548" spans="1:14" s="351" customFormat="1" ht="37.5">
      <c r="A548" s="122"/>
      <c r="B548" s="135" t="s">
        <v>141</v>
      </c>
      <c r="C548" s="136" t="s">
        <v>338</v>
      </c>
      <c r="D548" s="121" t="s">
        <v>125</v>
      </c>
      <c r="E548" s="121" t="s">
        <v>72</v>
      </c>
      <c r="F548" s="734" t="s">
        <v>100</v>
      </c>
      <c r="G548" s="735" t="s">
        <v>65</v>
      </c>
      <c r="H548" s="735" t="s">
        <v>57</v>
      </c>
      <c r="I548" s="736" t="s">
        <v>343</v>
      </c>
      <c r="J548" s="121" t="s">
        <v>142</v>
      </c>
      <c r="K548" s="713">
        <v>251.70000000000002</v>
      </c>
      <c r="L548" s="137">
        <f>M548-K548</f>
        <v>0</v>
      </c>
      <c r="M548" s="137">
        <v>251.70000000000002</v>
      </c>
      <c r="N548" s="137">
        <v>261.8</v>
      </c>
    </row>
    <row r="549" spans="1:14" s="351" customFormat="1" ht="116.25" customHeight="1">
      <c r="A549" s="122"/>
      <c r="B549" s="135" t="s">
        <v>448</v>
      </c>
      <c r="C549" s="136" t="s">
        <v>338</v>
      </c>
      <c r="D549" s="121" t="s">
        <v>125</v>
      </c>
      <c r="E549" s="121" t="s">
        <v>72</v>
      </c>
      <c r="F549" s="734" t="s">
        <v>100</v>
      </c>
      <c r="G549" s="735" t="s">
        <v>65</v>
      </c>
      <c r="H549" s="735" t="s">
        <v>57</v>
      </c>
      <c r="I549" s="736" t="s">
        <v>344</v>
      </c>
      <c r="J549" s="121"/>
      <c r="K549" s="713">
        <f>SUM(K550:K551)</f>
        <v>346.7</v>
      </c>
      <c r="L549" s="137">
        <f>SUM(L550:L551)</f>
        <v>0</v>
      </c>
      <c r="M549" s="137">
        <f>SUM(M550:M551)</f>
        <v>346.7</v>
      </c>
      <c r="N549" s="137">
        <f>SUM(N550:N551)</f>
        <v>346.7</v>
      </c>
    </row>
    <row r="550" spans="1:14" s="351" customFormat="1" ht="56.25">
      <c r="A550" s="122"/>
      <c r="B550" s="135" t="s">
        <v>75</v>
      </c>
      <c r="C550" s="136" t="s">
        <v>338</v>
      </c>
      <c r="D550" s="121" t="s">
        <v>125</v>
      </c>
      <c r="E550" s="121" t="s">
        <v>72</v>
      </c>
      <c r="F550" s="734" t="s">
        <v>100</v>
      </c>
      <c r="G550" s="735" t="s">
        <v>65</v>
      </c>
      <c r="H550" s="735" t="s">
        <v>57</v>
      </c>
      <c r="I550" s="736" t="s">
        <v>344</v>
      </c>
      <c r="J550" s="121" t="s">
        <v>76</v>
      </c>
      <c r="K550" s="713">
        <v>1.7</v>
      </c>
      <c r="L550" s="137">
        <f>M550-K550</f>
        <v>0</v>
      </c>
      <c r="M550" s="137">
        <v>1.7</v>
      </c>
      <c r="N550" s="137">
        <v>1.7</v>
      </c>
    </row>
    <row r="551" spans="1:14" s="351" customFormat="1" ht="37.5">
      <c r="A551" s="122"/>
      <c r="B551" s="135" t="s">
        <v>141</v>
      </c>
      <c r="C551" s="136" t="s">
        <v>338</v>
      </c>
      <c r="D551" s="121" t="s">
        <v>125</v>
      </c>
      <c r="E551" s="121" t="s">
        <v>72</v>
      </c>
      <c r="F551" s="734" t="s">
        <v>100</v>
      </c>
      <c r="G551" s="735" t="s">
        <v>65</v>
      </c>
      <c r="H551" s="735" t="s">
        <v>57</v>
      </c>
      <c r="I551" s="736" t="s">
        <v>344</v>
      </c>
      <c r="J551" s="121" t="s">
        <v>142</v>
      </c>
      <c r="K551" s="713">
        <v>345</v>
      </c>
      <c r="L551" s="137">
        <f>M551-K551</f>
        <v>0</v>
      </c>
      <c r="M551" s="137">
        <v>345</v>
      </c>
      <c r="N551" s="137">
        <v>345</v>
      </c>
    </row>
    <row r="552" spans="1:14" s="118" customFormat="1" ht="37.5">
      <c r="A552" s="122"/>
      <c r="B552" s="135" t="s">
        <v>345</v>
      </c>
      <c r="C552" s="136" t="s">
        <v>338</v>
      </c>
      <c r="D552" s="121" t="s">
        <v>125</v>
      </c>
      <c r="E552" s="121" t="s">
        <v>102</v>
      </c>
      <c r="F552" s="734"/>
      <c r="G552" s="735"/>
      <c r="H552" s="735"/>
      <c r="I552" s="736"/>
      <c r="J552" s="121"/>
      <c r="K552" s="713">
        <f t="shared" ref="K552:N554" si="96">K553</f>
        <v>7591.7</v>
      </c>
      <c r="L552" s="137">
        <f t="shared" si="96"/>
        <v>0</v>
      </c>
      <c r="M552" s="137">
        <f t="shared" si="96"/>
        <v>7591.7</v>
      </c>
      <c r="N552" s="137">
        <f t="shared" si="96"/>
        <v>7591.7</v>
      </c>
    </row>
    <row r="553" spans="1:14" s="118" customFormat="1" ht="56.25">
      <c r="A553" s="122"/>
      <c r="B553" s="139" t="s">
        <v>252</v>
      </c>
      <c r="C553" s="136" t="s">
        <v>338</v>
      </c>
      <c r="D553" s="121" t="s">
        <v>125</v>
      </c>
      <c r="E553" s="121" t="s">
        <v>102</v>
      </c>
      <c r="F553" s="734" t="s">
        <v>100</v>
      </c>
      <c r="G553" s="735" t="s">
        <v>62</v>
      </c>
      <c r="H553" s="735" t="s">
        <v>63</v>
      </c>
      <c r="I553" s="736" t="s">
        <v>64</v>
      </c>
      <c r="J553" s="121"/>
      <c r="K553" s="713">
        <f t="shared" si="96"/>
        <v>7591.7</v>
      </c>
      <c r="L553" s="137">
        <f t="shared" si="96"/>
        <v>0</v>
      </c>
      <c r="M553" s="137">
        <f t="shared" si="96"/>
        <v>7591.7</v>
      </c>
      <c r="N553" s="137">
        <f t="shared" si="96"/>
        <v>7591.7</v>
      </c>
    </row>
    <row r="554" spans="1:14" s="118" customFormat="1" ht="37.5">
      <c r="A554" s="122"/>
      <c r="B554" s="135" t="s">
        <v>404</v>
      </c>
      <c r="C554" s="136" t="s">
        <v>338</v>
      </c>
      <c r="D554" s="121" t="s">
        <v>125</v>
      </c>
      <c r="E554" s="121" t="s">
        <v>102</v>
      </c>
      <c r="F554" s="734" t="s">
        <v>100</v>
      </c>
      <c r="G554" s="735" t="s">
        <v>65</v>
      </c>
      <c r="H554" s="735" t="s">
        <v>63</v>
      </c>
      <c r="I554" s="736" t="s">
        <v>64</v>
      </c>
      <c r="J554" s="121"/>
      <c r="K554" s="713">
        <f t="shared" si="96"/>
        <v>7591.7</v>
      </c>
      <c r="L554" s="137">
        <f t="shared" si="96"/>
        <v>0</v>
      </c>
      <c r="M554" s="137">
        <f t="shared" si="96"/>
        <v>7591.7</v>
      </c>
      <c r="N554" s="137">
        <f t="shared" si="96"/>
        <v>7591.7</v>
      </c>
    </row>
    <row r="555" spans="1:14" s="351" customFormat="1" ht="37.5">
      <c r="A555" s="122"/>
      <c r="B555" s="135" t="s">
        <v>251</v>
      </c>
      <c r="C555" s="136" t="s">
        <v>338</v>
      </c>
      <c r="D555" s="121" t="s">
        <v>125</v>
      </c>
      <c r="E555" s="121" t="s">
        <v>102</v>
      </c>
      <c r="F555" s="734" t="s">
        <v>100</v>
      </c>
      <c r="G555" s="735" t="s">
        <v>65</v>
      </c>
      <c r="H555" s="735" t="s">
        <v>84</v>
      </c>
      <c r="I555" s="736" t="s">
        <v>64</v>
      </c>
      <c r="J555" s="121"/>
      <c r="K555" s="713">
        <f>K556+K559+K562</f>
        <v>7591.7</v>
      </c>
      <c r="L555" s="137">
        <f>L556+L559+L562</f>
        <v>0</v>
      </c>
      <c r="M555" s="137">
        <f>M556+M559+M562</f>
        <v>7591.7</v>
      </c>
      <c r="N555" s="137">
        <f>N556+N559+N562</f>
        <v>7591.7</v>
      </c>
    </row>
    <row r="556" spans="1:14" s="351" customFormat="1" ht="75.75" customHeight="1">
      <c r="A556" s="122"/>
      <c r="B556" s="135" t="s">
        <v>253</v>
      </c>
      <c r="C556" s="136" t="s">
        <v>338</v>
      </c>
      <c r="D556" s="121" t="s">
        <v>125</v>
      </c>
      <c r="E556" s="121" t="s">
        <v>102</v>
      </c>
      <c r="F556" s="734" t="s">
        <v>100</v>
      </c>
      <c r="G556" s="735" t="s">
        <v>65</v>
      </c>
      <c r="H556" s="735" t="s">
        <v>84</v>
      </c>
      <c r="I556" s="736" t="s">
        <v>346</v>
      </c>
      <c r="J556" s="121"/>
      <c r="K556" s="713">
        <f>K557+K558</f>
        <v>6084</v>
      </c>
      <c r="L556" s="137">
        <f>L557+L558</f>
        <v>0</v>
      </c>
      <c r="M556" s="137">
        <f>M557+M558</f>
        <v>6084</v>
      </c>
      <c r="N556" s="137">
        <f>N557+N558</f>
        <v>6084</v>
      </c>
    </row>
    <row r="557" spans="1:14" s="351" customFormat="1" ht="112.5">
      <c r="A557" s="122"/>
      <c r="B557" s="135" t="s">
        <v>69</v>
      </c>
      <c r="C557" s="136" t="s">
        <v>338</v>
      </c>
      <c r="D557" s="121" t="s">
        <v>125</v>
      </c>
      <c r="E557" s="121" t="s">
        <v>102</v>
      </c>
      <c r="F557" s="734" t="s">
        <v>100</v>
      </c>
      <c r="G557" s="735" t="s">
        <v>65</v>
      </c>
      <c r="H557" s="735" t="s">
        <v>84</v>
      </c>
      <c r="I557" s="736" t="s">
        <v>346</v>
      </c>
      <c r="J557" s="121" t="s">
        <v>70</v>
      </c>
      <c r="K557" s="713">
        <v>5725.5</v>
      </c>
      <c r="L557" s="137">
        <f>M557-K557</f>
        <v>0</v>
      </c>
      <c r="M557" s="137">
        <v>5725.5</v>
      </c>
      <c r="N557" s="137">
        <v>5725.5</v>
      </c>
    </row>
    <row r="558" spans="1:14" s="351" customFormat="1" ht="56.25">
      <c r="A558" s="122"/>
      <c r="B558" s="135" t="s">
        <v>75</v>
      </c>
      <c r="C558" s="136" t="s">
        <v>338</v>
      </c>
      <c r="D558" s="121" t="s">
        <v>125</v>
      </c>
      <c r="E558" s="121" t="s">
        <v>102</v>
      </c>
      <c r="F558" s="334" t="s">
        <v>100</v>
      </c>
      <c r="G558" s="335" t="s">
        <v>65</v>
      </c>
      <c r="H558" s="335" t="s">
        <v>84</v>
      </c>
      <c r="I558" s="336" t="s">
        <v>346</v>
      </c>
      <c r="J558" s="121" t="s">
        <v>76</v>
      </c>
      <c r="K558" s="713">
        <v>358.5</v>
      </c>
      <c r="L558" s="137">
        <f>M558-K558</f>
        <v>0</v>
      </c>
      <c r="M558" s="137">
        <v>358.5</v>
      </c>
      <c r="N558" s="137">
        <v>358.5</v>
      </c>
    </row>
    <row r="559" spans="1:14" s="351" customFormat="1" ht="110.25" customHeight="1">
      <c r="A559" s="122"/>
      <c r="B559" s="135" t="s">
        <v>789</v>
      </c>
      <c r="C559" s="136" t="s">
        <v>338</v>
      </c>
      <c r="D559" s="121" t="s">
        <v>125</v>
      </c>
      <c r="E559" s="121" t="s">
        <v>102</v>
      </c>
      <c r="F559" s="734" t="s">
        <v>100</v>
      </c>
      <c r="G559" s="735" t="s">
        <v>65</v>
      </c>
      <c r="H559" s="735" t="s">
        <v>84</v>
      </c>
      <c r="I559" s="736" t="s">
        <v>347</v>
      </c>
      <c r="J559" s="121"/>
      <c r="K559" s="713">
        <f>K560+K561</f>
        <v>636.69999999999993</v>
      </c>
      <c r="L559" s="137">
        <f>L560+L561</f>
        <v>0</v>
      </c>
      <c r="M559" s="137">
        <f>M560+M561</f>
        <v>636.69999999999993</v>
      </c>
      <c r="N559" s="137">
        <f>N560+N561</f>
        <v>636.69999999999993</v>
      </c>
    </row>
    <row r="560" spans="1:14" s="351" customFormat="1" ht="112.5">
      <c r="A560" s="122"/>
      <c r="B560" s="135" t="s">
        <v>69</v>
      </c>
      <c r="C560" s="136" t="s">
        <v>338</v>
      </c>
      <c r="D560" s="121" t="s">
        <v>125</v>
      </c>
      <c r="E560" s="121" t="s">
        <v>102</v>
      </c>
      <c r="F560" s="734" t="s">
        <v>100</v>
      </c>
      <c r="G560" s="735" t="s">
        <v>65</v>
      </c>
      <c r="H560" s="735" t="s">
        <v>84</v>
      </c>
      <c r="I560" s="736" t="s">
        <v>347</v>
      </c>
      <c r="J560" s="121" t="s">
        <v>70</v>
      </c>
      <c r="K560" s="713">
        <v>607.29999999999995</v>
      </c>
      <c r="L560" s="137">
        <f>M560-K560</f>
        <v>0</v>
      </c>
      <c r="M560" s="137">
        <v>607.29999999999995</v>
      </c>
      <c r="N560" s="137">
        <v>607.29999999999995</v>
      </c>
    </row>
    <row r="561" spans="1:14" s="351" customFormat="1" ht="56.25">
      <c r="A561" s="122"/>
      <c r="B561" s="135" t="s">
        <v>75</v>
      </c>
      <c r="C561" s="136" t="s">
        <v>338</v>
      </c>
      <c r="D561" s="121" t="s">
        <v>125</v>
      </c>
      <c r="E561" s="121" t="s">
        <v>102</v>
      </c>
      <c r="F561" s="734" t="s">
        <v>100</v>
      </c>
      <c r="G561" s="735" t="s">
        <v>65</v>
      </c>
      <c r="H561" s="735" t="s">
        <v>84</v>
      </c>
      <c r="I561" s="736" t="s">
        <v>347</v>
      </c>
      <c r="J561" s="121" t="s">
        <v>76</v>
      </c>
      <c r="K561" s="713">
        <v>29.4</v>
      </c>
      <c r="L561" s="137">
        <f>M561-K561</f>
        <v>0</v>
      </c>
      <c r="M561" s="137">
        <v>29.4</v>
      </c>
      <c r="N561" s="137">
        <v>29.4</v>
      </c>
    </row>
    <row r="562" spans="1:14" s="351" customFormat="1" ht="261.75" customHeight="1">
      <c r="A562" s="122"/>
      <c r="B562" s="282" t="s">
        <v>254</v>
      </c>
      <c r="C562" s="136" t="s">
        <v>338</v>
      </c>
      <c r="D562" s="121" t="s">
        <v>125</v>
      </c>
      <c r="E562" s="121" t="s">
        <v>102</v>
      </c>
      <c r="F562" s="734" t="s">
        <v>100</v>
      </c>
      <c r="G562" s="735" t="s">
        <v>65</v>
      </c>
      <c r="H562" s="735" t="s">
        <v>84</v>
      </c>
      <c r="I562" s="736" t="s">
        <v>348</v>
      </c>
      <c r="J562" s="121"/>
      <c r="K562" s="713">
        <f>K563+K564</f>
        <v>871</v>
      </c>
      <c r="L562" s="137">
        <f>L563+L564</f>
        <v>0</v>
      </c>
      <c r="M562" s="137">
        <f>M563+M564</f>
        <v>871</v>
      </c>
      <c r="N562" s="137">
        <f>N563+N564</f>
        <v>871</v>
      </c>
    </row>
    <row r="563" spans="1:14" s="351" customFormat="1" ht="112.5">
      <c r="A563" s="122"/>
      <c r="B563" s="135" t="s">
        <v>69</v>
      </c>
      <c r="C563" s="136" t="s">
        <v>338</v>
      </c>
      <c r="D563" s="121" t="s">
        <v>125</v>
      </c>
      <c r="E563" s="121" t="s">
        <v>102</v>
      </c>
      <c r="F563" s="734" t="s">
        <v>100</v>
      </c>
      <c r="G563" s="735" t="s">
        <v>65</v>
      </c>
      <c r="H563" s="735" t="s">
        <v>84</v>
      </c>
      <c r="I563" s="736" t="s">
        <v>348</v>
      </c>
      <c r="J563" s="121" t="s">
        <v>70</v>
      </c>
      <c r="K563" s="713">
        <v>808.2</v>
      </c>
      <c r="L563" s="137">
        <f>M563-K563</f>
        <v>0</v>
      </c>
      <c r="M563" s="137">
        <v>808.2</v>
      </c>
      <c r="N563" s="137">
        <v>808.2</v>
      </c>
    </row>
    <row r="564" spans="1:14" s="351" customFormat="1" ht="56.25">
      <c r="A564" s="122"/>
      <c r="B564" s="135" t="s">
        <v>75</v>
      </c>
      <c r="C564" s="136" t="s">
        <v>338</v>
      </c>
      <c r="D564" s="121" t="s">
        <v>125</v>
      </c>
      <c r="E564" s="121" t="s">
        <v>102</v>
      </c>
      <c r="F564" s="734" t="s">
        <v>100</v>
      </c>
      <c r="G564" s="735" t="s">
        <v>65</v>
      </c>
      <c r="H564" s="735" t="s">
        <v>84</v>
      </c>
      <c r="I564" s="736" t="s">
        <v>348</v>
      </c>
      <c r="J564" s="121" t="s">
        <v>76</v>
      </c>
      <c r="K564" s="713">
        <v>62.8</v>
      </c>
      <c r="L564" s="137">
        <f>M564-K564</f>
        <v>0</v>
      </c>
      <c r="M564" s="137">
        <v>62.8</v>
      </c>
      <c r="N564" s="137">
        <v>62.8</v>
      </c>
    </row>
    <row r="565" spans="1:14" s="351" customFormat="1" ht="18.75">
      <c r="A565" s="350">
        <v>10</v>
      </c>
      <c r="B565" s="402" t="s">
        <v>445</v>
      </c>
      <c r="C565" s="136"/>
      <c r="D565" s="121"/>
      <c r="E565" s="121"/>
      <c r="F565" s="735"/>
      <c r="G565" s="735"/>
      <c r="H565" s="735"/>
      <c r="I565" s="736"/>
      <c r="J565" s="121"/>
      <c r="K565" s="712">
        <f>K566</f>
        <v>27047.8</v>
      </c>
      <c r="L565" s="160">
        <f>L566</f>
        <v>0</v>
      </c>
      <c r="M565" s="160">
        <f>M566</f>
        <v>27047.8</v>
      </c>
      <c r="N565" s="160">
        <f>N566</f>
        <v>60960.7</v>
      </c>
    </row>
    <row r="566" spans="1:14" s="351" customFormat="1" ht="18.75">
      <c r="A566" s="122"/>
      <c r="B566" s="287" t="s">
        <v>445</v>
      </c>
      <c r="C566" s="136"/>
      <c r="D566" s="121"/>
      <c r="E566" s="121"/>
      <c r="F566" s="735"/>
      <c r="G566" s="735"/>
      <c r="H566" s="735"/>
      <c r="I566" s="736"/>
      <c r="J566" s="121"/>
      <c r="K566" s="713">
        <f>30290.2-197.2-3045.2</f>
        <v>27047.8</v>
      </c>
      <c r="L566" s="137">
        <f>M566-K566</f>
        <v>0</v>
      </c>
      <c r="M566" s="137">
        <f>30290.2-197.2-3045.2</f>
        <v>27047.8</v>
      </c>
      <c r="N566" s="137">
        <v>60960.7</v>
      </c>
    </row>
    <row r="567" spans="1:14">
      <c r="M567" s="154"/>
      <c r="N567" s="154"/>
    </row>
    <row r="568" spans="1:14">
      <c r="M568" s="154"/>
      <c r="N568" s="154"/>
    </row>
    <row r="569" spans="1:14" s="250" customFormat="1" ht="18.75">
      <c r="A569" s="344" t="s">
        <v>467</v>
      </c>
      <c r="B569" s="253"/>
      <c r="C569" s="254"/>
      <c r="D569" s="254"/>
      <c r="E569" s="254"/>
      <c r="F569" s="178"/>
      <c r="G569" s="343"/>
      <c r="H569" s="394"/>
    </row>
    <row r="570" spans="1:14" s="250" customFormat="1" ht="18.75">
      <c r="A570" s="344" t="s">
        <v>468</v>
      </c>
      <c r="B570" s="253"/>
      <c r="C570" s="254"/>
      <c r="D570" s="254"/>
      <c r="E570" s="254"/>
      <c r="F570" s="178"/>
      <c r="G570" s="343"/>
      <c r="H570" s="394"/>
    </row>
    <row r="571" spans="1:14" s="250" customFormat="1" ht="18.75">
      <c r="A571" s="345" t="s">
        <v>469</v>
      </c>
      <c r="B571" s="253"/>
      <c r="D571" s="254"/>
      <c r="E571" s="254"/>
      <c r="F571" s="178"/>
      <c r="N571" s="346" t="s">
        <v>494</v>
      </c>
    </row>
    <row r="573" spans="1:14" s="395" customFormat="1" ht="15.75">
      <c r="B573" s="395" t="s">
        <v>446</v>
      </c>
      <c r="M573" s="396" t="e">
        <f>M566/('прил13(ведом 22-23)'!#REF!-('прил.5 (пост.безв.22-23)'!C13-'прил.5 (пост.безв.22-23)'!C17))*100</f>
        <v>#REF!</v>
      </c>
      <c r="N573" s="396" t="e">
        <f>N566/('прил13(ведом 22-23)'!#REF!-('прил.5 (пост.безв.22-23)'!D13-'прил.5 (пост.безв.22-23)'!D17))*100</f>
        <v>#REF!</v>
      </c>
    </row>
    <row r="575" spans="1:14" ht="18.75">
      <c r="D575" s="152" t="s">
        <v>57</v>
      </c>
      <c r="E575" s="152" t="s">
        <v>59</v>
      </c>
      <c r="F575" s="153"/>
      <c r="G575" s="153"/>
      <c r="H575" s="153"/>
      <c r="I575" s="153"/>
      <c r="J575" s="153"/>
      <c r="K575" s="153"/>
      <c r="L575" s="153"/>
      <c r="M575" s="397">
        <f>M19</f>
        <v>2128.5</v>
      </c>
      <c r="N575" s="397">
        <f>N19</f>
        <v>2128.5</v>
      </c>
    </row>
    <row r="576" spans="1:14" ht="18.75">
      <c r="D576" s="152" t="s">
        <v>57</v>
      </c>
      <c r="E576" s="152" t="s">
        <v>72</v>
      </c>
      <c r="F576" s="153"/>
      <c r="G576" s="153"/>
      <c r="H576" s="153"/>
      <c r="I576" s="153"/>
      <c r="J576" s="153"/>
      <c r="K576" s="153"/>
      <c r="L576" s="153"/>
      <c r="M576" s="397">
        <f>M25</f>
        <v>72075.899999999994</v>
      </c>
      <c r="N576" s="397">
        <f>N25</f>
        <v>72150.2</v>
      </c>
    </row>
    <row r="577" spans="4:14" ht="18.75">
      <c r="D577" s="152" t="s">
        <v>57</v>
      </c>
      <c r="E577" s="152" t="s">
        <v>86</v>
      </c>
      <c r="F577" s="153"/>
      <c r="G577" s="153"/>
      <c r="H577" s="153"/>
      <c r="I577" s="153"/>
      <c r="J577" s="153"/>
      <c r="K577" s="153"/>
      <c r="L577" s="153"/>
      <c r="M577" s="397">
        <f>M48</f>
        <v>98.4</v>
      </c>
      <c r="N577" s="397">
        <f>N48</f>
        <v>5.7</v>
      </c>
    </row>
    <row r="578" spans="4:14" ht="18.75">
      <c r="D578" s="152" t="s">
        <v>57</v>
      </c>
      <c r="E578" s="152" t="s">
        <v>102</v>
      </c>
      <c r="F578" s="153"/>
      <c r="G578" s="153"/>
      <c r="H578" s="153"/>
      <c r="I578" s="153"/>
      <c r="J578" s="153"/>
      <c r="K578" s="153"/>
      <c r="L578" s="153"/>
      <c r="M578" s="397">
        <f>M179+M206</f>
        <v>29332.200000000004</v>
      </c>
      <c r="N578" s="397">
        <f>N179+N206</f>
        <v>29333</v>
      </c>
    </row>
    <row r="579" spans="4:14" ht="18.75">
      <c r="D579" s="152" t="s">
        <v>57</v>
      </c>
      <c r="E579" s="152" t="s">
        <v>88</v>
      </c>
      <c r="F579" s="153"/>
      <c r="G579" s="153"/>
      <c r="H579" s="153"/>
      <c r="I579" s="153"/>
      <c r="J579" s="153"/>
      <c r="K579" s="153"/>
      <c r="L579" s="153"/>
      <c r="M579" s="397">
        <f>M54</f>
        <v>5000</v>
      </c>
      <c r="N579" s="397">
        <f>N54</f>
        <v>5000</v>
      </c>
    </row>
    <row r="580" spans="4:14" ht="18.75">
      <c r="D580" s="152" t="s">
        <v>57</v>
      </c>
      <c r="E580" s="152" t="s">
        <v>92</v>
      </c>
      <c r="F580" s="153"/>
      <c r="G580" s="153"/>
      <c r="H580" s="153"/>
      <c r="I580" s="153"/>
      <c r="J580" s="153"/>
      <c r="K580" s="153"/>
      <c r="L580" s="153"/>
      <c r="M580" s="397">
        <f>M216+M187+M497+M59+M402+M457+M281</f>
        <v>32189.9</v>
      </c>
      <c r="N580" s="397">
        <f>N216+N187+N497+N59+N402+N457+N281</f>
        <v>32197.200000000004</v>
      </c>
    </row>
    <row r="581" spans="4:14" ht="18.75">
      <c r="D581" s="398" t="s">
        <v>57</v>
      </c>
      <c r="E581" s="398" t="s">
        <v>63</v>
      </c>
      <c r="F581" s="153"/>
      <c r="G581" s="153"/>
      <c r="H581" s="153"/>
      <c r="I581" s="153"/>
      <c r="J581" s="153"/>
      <c r="K581" s="153"/>
      <c r="L581" s="153"/>
      <c r="M581" s="399">
        <f>SUBTOTAL(9,M575:M580)</f>
        <v>140824.9</v>
      </c>
      <c r="N581" s="399">
        <f>SUBTOTAL(9,N575:N580)</f>
        <v>140814.6</v>
      </c>
    </row>
    <row r="582" spans="4:14" ht="18.75">
      <c r="D582" s="152"/>
      <c r="E582" s="152"/>
      <c r="F582" s="153"/>
      <c r="G582" s="153"/>
      <c r="H582" s="153"/>
      <c r="I582" s="153"/>
      <c r="J582" s="153"/>
      <c r="K582" s="153"/>
      <c r="L582" s="153"/>
      <c r="M582" s="397"/>
      <c r="N582" s="397"/>
    </row>
    <row r="583" spans="4:14" ht="18.75">
      <c r="D583" s="152" t="s">
        <v>84</v>
      </c>
      <c r="E583" s="152" t="s">
        <v>100</v>
      </c>
      <c r="F583" s="153"/>
      <c r="G583" s="153"/>
      <c r="H583" s="153"/>
      <c r="I583" s="153"/>
      <c r="J583" s="153"/>
      <c r="K583" s="153"/>
      <c r="L583" s="153"/>
      <c r="M583" s="397">
        <f>M83</f>
        <v>3437.6000000000004</v>
      </c>
      <c r="N583" s="397">
        <f>N83</f>
        <v>3437.6000000000004</v>
      </c>
    </row>
    <row r="584" spans="4:14" ht="18.75">
      <c r="D584" s="152" t="s">
        <v>84</v>
      </c>
      <c r="E584" s="152" t="s">
        <v>109</v>
      </c>
      <c r="F584" s="153"/>
      <c r="G584" s="153"/>
      <c r="H584" s="153"/>
      <c r="I584" s="153"/>
      <c r="J584" s="153"/>
      <c r="K584" s="153"/>
      <c r="L584" s="153"/>
      <c r="M584" s="397">
        <f>M93</f>
        <v>9110.4</v>
      </c>
      <c r="N584" s="397">
        <f>N93</f>
        <v>9110.7999999999993</v>
      </c>
    </row>
    <row r="585" spans="4:14" ht="18.75">
      <c r="D585" s="398" t="s">
        <v>84</v>
      </c>
      <c r="E585" s="398" t="s">
        <v>63</v>
      </c>
      <c r="F585" s="153"/>
      <c r="G585" s="153"/>
      <c r="H585" s="153"/>
      <c r="I585" s="153"/>
      <c r="J585" s="153"/>
      <c r="K585" s="153"/>
      <c r="L585" s="153"/>
      <c r="M585" s="399">
        <f>SUBTOTAL(9,M583:M584)</f>
        <v>12548</v>
      </c>
      <c r="N585" s="399">
        <f>SUBTOTAL(9,N583:N584)</f>
        <v>12548.4</v>
      </c>
    </row>
    <row r="586" spans="4:14" ht="18.75">
      <c r="D586" s="152"/>
      <c r="E586" s="152"/>
      <c r="F586" s="153"/>
      <c r="G586" s="153"/>
      <c r="H586" s="153"/>
      <c r="I586" s="153"/>
      <c r="J586" s="153"/>
      <c r="K586" s="153"/>
      <c r="L586" s="153"/>
      <c r="M586" s="397"/>
      <c r="N586" s="397"/>
    </row>
    <row r="587" spans="4:14" ht="18.75">
      <c r="D587" s="152" t="s">
        <v>72</v>
      </c>
      <c r="E587" s="152" t="s">
        <v>86</v>
      </c>
      <c r="F587" s="153"/>
      <c r="G587" s="153"/>
      <c r="H587" s="153"/>
      <c r="I587" s="153"/>
      <c r="J587" s="153"/>
      <c r="K587" s="153"/>
      <c r="L587" s="153"/>
      <c r="M587" s="397">
        <f>M109</f>
        <v>11258.5</v>
      </c>
      <c r="N587" s="397">
        <f>N109</f>
        <v>11258.5</v>
      </c>
    </row>
    <row r="588" spans="4:14" ht="18.75">
      <c r="D588" s="152" t="s">
        <v>72</v>
      </c>
      <c r="E588" s="152" t="s">
        <v>100</v>
      </c>
      <c r="F588" s="153"/>
      <c r="G588" s="153"/>
      <c r="H588" s="153"/>
      <c r="I588" s="153"/>
      <c r="J588" s="153"/>
      <c r="K588" s="153"/>
      <c r="L588" s="153"/>
      <c r="M588" s="397">
        <f>M118</f>
        <v>5907.9</v>
      </c>
      <c r="N588" s="397">
        <f>N118</f>
        <v>6835.1</v>
      </c>
    </row>
    <row r="589" spans="4:14" ht="18.75">
      <c r="D589" s="152" t="s">
        <v>72</v>
      </c>
      <c r="E589" s="152" t="s">
        <v>121</v>
      </c>
      <c r="F589" s="153"/>
      <c r="G589" s="153"/>
      <c r="H589" s="153"/>
      <c r="I589" s="153"/>
      <c r="J589" s="153"/>
      <c r="K589" s="153"/>
      <c r="L589" s="153"/>
      <c r="M589" s="397">
        <f>M124</f>
        <v>6650.5</v>
      </c>
      <c r="N589" s="397">
        <f>N124</f>
        <v>6650.5</v>
      </c>
    </row>
    <row r="590" spans="4:14" ht="18.75">
      <c r="D590" s="398" t="s">
        <v>72</v>
      </c>
      <c r="E590" s="398" t="s">
        <v>63</v>
      </c>
      <c r="F590" s="153"/>
      <c r="G590" s="153"/>
      <c r="H590" s="153"/>
      <c r="I590" s="153"/>
      <c r="J590" s="153"/>
      <c r="K590" s="153"/>
      <c r="L590" s="153"/>
      <c r="M590" s="399">
        <f>SUBTOTAL(9,M587:M589)</f>
        <v>23816.9</v>
      </c>
      <c r="N590" s="399">
        <f>SUBTOTAL(9,N587:N589)</f>
        <v>24744.1</v>
      </c>
    </row>
    <row r="591" spans="4:14" ht="18.75">
      <c r="D591" s="152"/>
      <c r="E591" s="152"/>
      <c r="F591" s="153"/>
      <c r="G591" s="153"/>
      <c r="H591" s="153"/>
      <c r="I591" s="153"/>
      <c r="J591" s="153"/>
      <c r="K591" s="153"/>
      <c r="L591" s="153"/>
      <c r="M591" s="397"/>
      <c r="N591" s="397"/>
    </row>
    <row r="592" spans="4:14" ht="18.75">
      <c r="D592" s="152" t="s">
        <v>86</v>
      </c>
      <c r="E592" s="152" t="s">
        <v>57</v>
      </c>
      <c r="F592" s="153"/>
      <c r="G592" s="153"/>
      <c r="H592" s="153"/>
      <c r="I592" s="153"/>
      <c r="J592" s="153"/>
      <c r="K592" s="153"/>
      <c r="L592" s="153"/>
      <c r="M592" s="397">
        <f>M148</f>
        <v>0</v>
      </c>
      <c r="N592" s="397">
        <f>N148</f>
        <v>25766.9</v>
      </c>
    </row>
    <row r="593" spans="4:14" ht="18.75">
      <c r="D593" s="152" t="s">
        <v>86</v>
      </c>
      <c r="E593" s="152" t="s">
        <v>59</v>
      </c>
      <c r="F593" s="153"/>
      <c r="G593" s="153"/>
      <c r="H593" s="153"/>
      <c r="I593" s="153"/>
      <c r="J593" s="153"/>
      <c r="K593" s="153"/>
      <c r="L593" s="153"/>
      <c r="M593" s="397">
        <f>M250</f>
        <v>12354.9</v>
      </c>
      <c r="N593" s="397">
        <f>N250</f>
        <v>0</v>
      </c>
    </row>
    <row r="594" spans="4:14" ht="18.75">
      <c r="D594" s="152" t="s">
        <v>86</v>
      </c>
      <c r="E594" s="152" t="s">
        <v>86</v>
      </c>
      <c r="F594" s="153"/>
      <c r="G594" s="153"/>
      <c r="H594" s="153"/>
      <c r="I594" s="153"/>
      <c r="J594" s="153"/>
      <c r="K594" s="153"/>
      <c r="L594" s="153"/>
      <c r="M594" s="397"/>
      <c r="N594" s="397"/>
    </row>
    <row r="595" spans="4:14" ht="18.75">
      <c r="D595" s="398" t="s">
        <v>86</v>
      </c>
      <c r="E595" s="398" t="s">
        <v>63</v>
      </c>
      <c r="F595" s="153"/>
      <c r="G595" s="153"/>
      <c r="H595" s="153"/>
      <c r="I595" s="153"/>
      <c r="J595" s="153"/>
      <c r="K595" s="153"/>
      <c r="L595" s="153"/>
      <c r="M595" s="399">
        <f>SUBTOTAL(9,M592:M594)</f>
        <v>12354.9</v>
      </c>
      <c r="N595" s="399">
        <f>SUBTOTAL(9,N592:N594)</f>
        <v>25766.9</v>
      </c>
    </row>
    <row r="596" spans="4:14" ht="18.75">
      <c r="D596" s="152"/>
      <c r="E596" s="152"/>
      <c r="F596" s="153"/>
      <c r="G596" s="153"/>
      <c r="H596" s="153"/>
      <c r="I596" s="153"/>
      <c r="J596" s="153"/>
      <c r="K596" s="153"/>
      <c r="L596" s="153"/>
      <c r="M596" s="397"/>
      <c r="N596" s="397"/>
    </row>
    <row r="597" spans="4:14" ht="18.75">
      <c r="D597" s="152" t="s">
        <v>246</v>
      </c>
      <c r="E597" s="152" t="s">
        <v>57</v>
      </c>
      <c r="F597" s="153"/>
      <c r="G597" s="153"/>
      <c r="H597" s="153"/>
      <c r="I597" s="153"/>
      <c r="J597" s="153"/>
      <c r="K597" s="153"/>
      <c r="L597" s="153"/>
      <c r="M597" s="397">
        <f>M294+M257</f>
        <v>409819.9</v>
      </c>
      <c r="N597" s="397">
        <f>N294+N257</f>
        <v>310578.99999999994</v>
      </c>
    </row>
    <row r="598" spans="4:14" ht="18.75">
      <c r="D598" s="152" t="s">
        <v>246</v>
      </c>
      <c r="E598" s="152" t="s">
        <v>59</v>
      </c>
      <c r="F598" s="153"/>
      <c r="G598" s="153"/>
      <c r="H598" s="153"/>
      <c r="I598" s="153"/>
      <c r="J598" s="153"/>
      <c r="K598" s="153"/>
      <c r="L598" s="153"/>
      <c r="M598" s="397">
        <f>M309+M263</f>
        <v>577605.49999999988</v>
      </c>
      <c r="N598" s="397">
        <f>N309+N263</f>
        <v>563979.39999999991</v>
      </c>
    </row>
    <row r="599" spans="4:14" ht="18.75">
      <c r="D599" s="152" t="s">
        <v>246</v>
      </c>
      <c r="E599" s="152" t="s">
        <v>84</v>
      </c>
      <c r="F599" s="153"/>
      <c r="G599" s="153"/>
      <c r="H599" s="153"/>
      <c r="I599" s="153"/>
      <c r="J599" s="153"/>
      <c r="K599" s="153"/>
      <c r="L599" s="153"/>
      <c r="M599" s="397">
        <f>+M349+M408</f>
        <v>113704.3</v>
      </c>
      <c r="N599" s="397">
        <f>+N349+N408</f>
        <v>114364.6</v>
      </c>
    </row>
    <row r="600" spans="4:14" ht="18.75">
      <c r="D600" s="152" t="s">
        <v>246</v>
      </c>
      <c r="E600" s="152" t="s">
        <v>86</v>
      </c>
      <c r="F600" s="153"/>
      <c r="G600" s="153"/>
      <c r="H600" s="153"/>
      <c r="I600" s="153"/>
      <c r="J600" s="153"/>
      <c r="K600" s="153"/>
      <c r="L600" s="153"/>
      <c r="M600" s="397"/>
      <c r="N600" s="397"/>
    </row>
    <row r="601" spans="4:14" ht="18.75">
      <c r="D601" s="152" t="s">
        <v>246</v>
      </c>
      <c r="E601" s="152" t="s">
        <v>246</v>
      </c>
      <c r="F601" s="153"/>
      <c r="G601" s="153"/>
      <c r="H601" s="153"/>
      <c r="I601" s="153"/>
      <c r="J601" s="153"/>
      <c r="K601" s="153"/>
      <c r="L601" s="153"/>
      <c r="M601" s="397">
        <f>M510+M529+M369+M416</f>
        <v>10086.099999999999</v>
      </c>
      <c r="N601" s="397">
        <f>N510+N529+N369+N416</f>
        <v>10086.099999999999</v>
      </c>
    </row>
    <row r="602" spans="4:14" ht="18.75">
      <c r="D602" s="152" t="s">
        <v>246</v>
      </c>
      <c r="E602" s="152" t="s">
        <v>100</v>
      </c>
      <c r="F602" s="153"/>
      <c r="G602" s="153"/>
      <c r="H602" s="153"/>
      <c r="I602" s="153"/>
      <c r="J602" s="153"/>
      <c r="K602" s="153"/>
      <c r="L602" s="153"/>
      <c r="M602" s="397">
        <f>M375+M518</f>
        <v>65031.5</v>
      </c>
      <c r="N602" s="397">
        <f>N375+N518</f>
        <v>65070.8</v>
      </c>
    </row>
    <row r="603" spans="4:14" ht="18.75">
      <c r="D603" s="398" t="s">
        <v>246</v>
      </c>
      <c r="E603" s="398" t="s">
        <v>63</v>
      </c>
      <c r="F603" s="153"/>
      <c r="G603" s="153"/>
      <c r="H603" s="153"/>
      <c r="I603" s="153"/>
      <c r="J603" s="153"/>
      <c r="K603" s="153"/>
      <c r="L603" s="153"/>
      <c r="M603" s="399">
        <f>SUBTOTAL(9,M597:M602)</f>
        <v>1176247.3</v>
      </c>
      <c r="N603" s="399">
        <f>SUBTOTAL(9,N597:N602)</f>
        <v>1064079.8999999999</v>
      </c>
    </row>
    <row r="604" spans="4:14" ht="18.75">
      <c r="D604" s="152"/>
      <c r="E604" s="152"/>
      <c r="F604" s="153"/>
      <c r="G604" s="153"/>
      <c r="H604" s="153"/>
      <c r="I604" s="153"/>
      <c r="J604" s="153"/>
      <c r="K604" s="153"/>
      <c r="L604" s="153"/>
      <c r="M604" s="397"/>
      <c r="N604" s="397"/>
    </row>
    <row r="605" spans="4:14" ht="18.75">
      <c r="D605" s="152" t="s">
        <v>248</v>
      </c>
      <c r="E605" s="152" t="s">
        <v>57</v>
      </c>
      <c r="F605" s="153"/>
      <c r="G605" s="153"/>
      <c r="H605" s="153"/>
      <c r="I605" s="153"/>
      <c r="J605" s="153"/>
      <c r="K605" s="153"/>
      <c r="L605" s="153"/>
      <c r="M605" s="397">
        <f>M423</f>
        <v>24640.7</v>
      </c>
      <c r="N605" s="397">
        <f>N423</f>
        <v>24674.7</v>
      </c>
    </row>
    <row r="606" spans="4:14" ht="18.75">
      <c r="D606" s="152" t="s">
        <v>248</v>
      </c>
      <c r="E606" s="152" t="s">
        <v>72</v>
      </c>
      <c r="F606" s="153"/>
      <c r="G606" s="153"/>
      <c r="H606" s="153"/>
      <c r="I606" s="153"/>
      <c r="J606" s="153"/>
      <c r="K606" s="153"/>
      <c r="L606" s="153"/>
      <c r="M606" s="397">
        <f>M442</f>
        <v>9246.1</v>
      </c>
      <c r="N606" s="397">
        <f>N442</f>
        <v>9303.9000000000015</v>
      </c>
    </row>
    <row r="607" spans="4:14" ht="18.75">
      <c r="D607" s="398" t="s">
        <v>248</v>
      </c>
      <c r="E607" s="398" t="s">
        <v>63</v>
      </c>
      <c r="F607" s="153"/>
      <c r="G607" s="153"/>
      <c r="H607" s="153"/>
      <c r="I607" s="153"/>
      <c r="J607" s="153"/>
      <c r="K607" s="153"/>
      <c r="L607" s="153"/>
      <c r="M607" s="399">
        <f>SUBTOTAL(9,M605:M606)</f>
        <v>33886.800000000003</v>
      </c>
      <c r="N607" s="399">
        <f>SUBTOTAL(9,N605:N606)</f>
        <v>33978.600000000006</v>
      </c>
    </row>
    <row r="608" spans="4:14" ht="18.75">
      <c r="D608" s="152"/>
      <c r="E608" s="152"/>
      <c r="F608" s="153"/>
      <c r="G608" s="153"/>
      <c r="H608" s="153"/>
      <c r="I608" s="153"/>
      <c r="J608" s="153"/>
      <c r="K608" s="153"/>
      <c r="L608" s="153"/>
      <c r="M608" s="397"/>
      <c r="N608" s="397"/>
    </row>
    <row r="609" spans="4:14" ht="18.75">
      <c r="D609" s="152" t="s">
        <v>125</v>
      </c>
      <c r="E609" s="152" t="s">
        <v>57</v>
      </c>
      <c r="F609" s="153"/>
      <c r="G609" s="153"/>
      <c r="H609" s="153"/>
      <c r="I609" s="153"/>
      <c r="J609" s="153"/>
      <c r="K609" s="153"/>
      <c r="L609" s="153"/>
      <c r="M609" s="397">
        <f>M157</f>
        <v>552</v>
      </c>
      <c r="N609" s="397">
        <f>N157</f>
        <v>552</v>
      </c>
    </row>
    <row r="610" spans="4:14" ht="18.75">
      <c r="D610" s="152" t="s">
        <v>125</v>
      </c>
      <c r="E610" s="152" t="s">
        <v>72</v>
      </c>
      <c r="F610" s="153"/>
      <c r="G610" s="153"/>
      <c r="H610" s="153"/>
      <c r="I610" s="153"/>
      <c r="J610" s="153"/>
      <c r="K610" s="153"/>
      <c r="L610" s="153"/>
      <c r="M610" s="397">
        <f>M270+M392+M536</f>
        <v>108756.9</v>
      </c>
      <c r="N610" s="397">
        <f>N270+N392+N536</f>
        <v>110139.7</v>
      </c>
    </row>
    <row r="611" spans="4:14" ht="18.75">
      <c r="D611" s="152" t="s">
        <v>125</v>
      </c>
      <c r="E611" s="152" t="s">
        <v>102</v>
      </c>
      <c r="F611" s="153"/>
      <c r="G611" s="153"/>
      <c r="H611" s="153"/>
      <c r="I611" s="153"/>
      <c r="J611" s="153"/>
      <c r="K611" s="153"/>
      <c r="L611" s="153"/>
      <c r="M611" s="397">
        <f>M552+M163</f>
        <v>8520.4</v>
      </c>
      <c r="N611" s="397">
        <f>N552+N163</f>
        <v>8520.4</v>
      </c>
    </row>
    <row r="612" spans="4:14" ht="18.75">
      <c r="D612" s="398" t="s">
        <v>125</v>
      </c>
      <c r="E612" s="398" t="s">
        <v>63</v>
      </c>
      <c r="F612" s="153"/>
      <c r="G612" s="153"/>
      <c r="H612" s="153"/>
      <c r="I612" s="153"/>
      <c r="J612" s="153"/>
      <c r="K612" s="153"/>
      <c r="L612" s="153"/>
      <c r="M612" s="399">
        <f>SUBTOTAL(9,M609:M611)</f>
        <v>117829.29999999999</v>
      </c>
      <c r="N612" s="399">
        <f>SUBTOTAL(9,N609:N611)</f>
        <v>119212.09999999999</v>
      </c>
    </row>
    <row r="613" spans="4:14" ht="18.75">
      <c r="D613" s="152"/>
      <c r="E613" s="152"/>
      <c r="F613" s="153"/>
      <c r="G613" s="153"/>
      <c r="H613" s="153"/>
      <c r="I613" s="153"/>
      <c r="J613" s="153"/>
      <c r="K613" s="153"/>
      <c r="L613" s="153"/>
      <c r="M613" s="397"/>
      <c r="N613" s="397"/>
    </row>
    <row r="614" spans="4:14" ht="18.75">
      <c r="D614" s="152" t="s">
        <v>88</v>
      </c>
      <c r="E614" s="152" t="s">
        <v>57</v>
      </c>
      <c r="F614" s="153"/>
      <c r="G614" s="153"/>
      <c r="H614" s="153"/>
      <c r="I614" s="153"/>
      <c r="J614" s="153"/>
      <c r="K614" s="153"/>
      <c r="L614" s="153"/>
      <c r="M614" s="397">
        <f>M464</f>
        <v>19316.600000000002</v>
      </c>
      <c r="N614" s="397">
        <f>N464</f>
        <v>18463.7</v>
      </c>
    </row>
    <row r="615" spans="4:14" ht="18.75">
      <c r="D615" s="152" t="s">
        <v>88</v>
      </c>
      <c r="E615" s="152" t="s">
        <v>59</v>
      </c>
      <c r="F615" s="153"/>
      <c r="G615" s="153"/>
      <c r="H615" s="153"/>
      <c r="I615" s="153"/>
      <c r="J615" s="153"/>
      <c r="K615" s="153"/>
      <c r="L615" s="153"/>
      <c r="M615" s="397">
        <f>M480</f>
        <v>0</v>
      </c>
      <c r="N615" s="397">
        <f>N480</f>
        <v>3689.7999999999997</v>
      </c>
    </row>
    <row r="616" spans="4:14" ht="18.75">
      <c r="D616" s="152" t="s">
        <v>88</v>
      </c>
      <c r="E616" s="152" t="s">
        <v>86</v>
      </c>
      <c r="F616" s="153"/>
      <c r="G616" s="153"/>
      <c r="H616" s="153"/>
      <c r="I616" s="153"/>
      <c r="J616" s="153"/>
      <c r="K616" s="153"/>
      <c r="L616" s="153"/>
      <c r="M616" s="397">
        <f>M486</f>
        <v>2485.4</v>
      </c>
      <c r="N616" s="397">
        <f>N486</f>
        <v>2375.7000000000003</v>
      </c>
    </row>
    <row r="617" spans="4:14" ht="18.75">
      <c r="D617" s="398" t="s">
        <v>88</v>
      </c>
      <c r="E617" s="398" t="s">
        <v>63</v>
      </c>
      <c r="F617" s="153"/>
      <c r="G617" s="153"/>
      <c r="H617" s="153"/>
      <c r="I617" s="153"/>
      <c r="J617" s="153"/>
      <c r="K617" s="153"/>
      <c r="L617" s="153"/>
      <c r="M617" s="399">
        <f>SUBTOTAL(9,M614:M616)</f>
        <v>21802.000000000004</v>
      </c>
      <c r="N617" s="399">
        <f>SUBTOTAL(9,N614:N616)</f>
        <v>24529.200000000001</v>
      </c>
    </row>
    <row r="618" spans="4:14" ht="18.75">
      <c r="D618" s="152"/>
      <c r="E618" s="152"/>
      <c r="F618" s="153"/>
      <c r="G618" s="153"/>
      <c r="H618" s="153"/>
      <c r="I618" s="153"/>
      <c r="J618" s="153"/>
      <c r="K618" s="153"/>
      <c r="L618" s="153"/>
      <c r="M618" s="397"/>
      <c r="N618" s="397"/>
    </row>
    <row r="619" spans="4:14" ht="18.75">
      <c r="D619" s="152" t="s">
        <v>92</v>
      </c>
      <c r="E619" s="152" t="s">
        <v>57</v>
      </c>
      <c r="F619" s="153"/>
      <c r="G619" s="153"/>
      <c r="H619" s="153"/>
      <c r="I619" s="153"/>
      <c r="J619" s="153"/>
      <c r="K619" s="153"/>
      <c r="L619" s="153"/>
      <c r="M619" s="397">
        <f>M170</f>
        <v>9.4</v>
      </c>
      <c r="N619" s="397">
        <f>N170</f>
        <v>0</v>
      </c>
    </row>
    <row r="620" spans="4:14" ht="18.75">
      <c r="D620" s="398" t="s">
        <v>92</v>
      </c>
      <c r="E620" s="398" t="s">
        <v>63</v>
      </c>
      <c r="F620" s="153"/>
      <c r="G620" s="153"/>
      <c r="H620" s="153"/>
      <c r="I620" s="153"/>
      <c r="J620" s="153"/>
      <c r="K620" s="153"/>
      <c r="L620" s="153"/>
      <c r="M620" s="399">
        <f>M619</f>
        <v>9.4</v>
      </c>
      <c r="N620" s="399">
        <f>N619</f>
        <v>0</v>
      </c>
    </row>
    <row r="621" spans="4:14" ht="18.75">
      <c r="D621" s="152"/>
      <c r="E621" s="152"/>
      <c r="F621" s="153"/>
      <c r="G621" s="153"/>
      <c r="H621" s="153"/>
      <c r="I621" s="153"/>
      <c r="J621" s="153"/>
      <c r="K621" s="153"/>
      <c r="L621" s="153"/>
      <c r="M621" s="397"/>
      <c r="N621" s="397"/>
    </row>
    <row r="622" spans="4:14" ht="18.75">
      <c r="D622" s="152" t="s">
        <v>109</v>
      </c>
      <c r="E622" s="152" t="s">
        <v>57</v>
      </c>
      <c r="F622" s="153"/>
      <c r="G622" s="153"/>
      <c r="H622" s="153"/>
      <c r="I622" s="153"/>
      <c r="J622" s="153"/>
      <c r="K622" s="153"/>
      <c r="L622" s="153"/>
      <c r="M622" s="397">
        <f>M197</f>
        <v>5500</v>
      </c>
      <c r="N622" s="397">
        <f>N197</f>
        <v>5500</v>
      </c>
    </row>
    <row r="623" spans="4:14" ht="18.75">
      <c r="D623" s="398" t="s">
        <v>109</v>
      </c>
      <c r="E623" s="398" t="s">
        <v>63</v>
      </c>
      <c r="F623" s="153"/>
      <c r="G623" s="153"/>
      <c r="H623" s="153"/>
      <c r="I623" s="153"/>
      <c r="J623" s="153"/>
      <c r="K623" s="153"/>
      <c r="L623" s="153"/>
      <c r="M623" s="399">
        <f>SUBTOTAL(9,M622:M622)</f>
        <v>5500</v>
      </c>
      <c r="N623" s="399">
        <f>SUBTOTAL(9,N622:N622)</f>
        <v>5500</v>
      </c>
    </row>
    <row r="624" spans="4:14" ht="18.75">
      <c r="D624" s="152"/>
      <c r="E624" s="152"/>
      <c r="F624" s="153"/>
      <c r="G624" s="153"/>
      <c r="H624" s="153"/>
      <c r="I624" s="153"/>
      <c r="J624" s="153"/>
      <c r="K624" s="153"/>
      <c r="L624" s="153"/>
      <c r="M624" s="397"/>
      <c r="N624" s="397"/>
    </row>
    <row r="625" spans="2:14" ht="18.75">
      <c r="D625" s="400" t="s">
        <v>447</v>
      </c>
      <c r="E625" s="152"/>
      <c r="F625" s="153"/>
      <c r="G625" s="153"/>
      <c r="H625" s="153"/>
      <c r="I625" s="153"/>
      <c r="J625" s="153"/>
      <c r="K625" s="153"/>
      <c r="L625" s="153"/>
      <c r="M625" s="397">
        <f>M565</f>
        <v>27047.8</v>
      </c>
      <c r="N625" s="397">
        <f>N565</f>
        <v>60960.7</v>
      </c>
    </row>
    <row r="626" spans="2:14" ht="18.75">
      <c r="D626" s="152"/>
      <c r="E626" s="152"/>
      <c r="F626" s="153"/>
      <c r="G626" s="153"/>
      <c r="H626" s="153"/>
      <c r="I626" s="153"/>
      <c r="J626" s="153"/>
      <c r="K626" s="153"/>
      <c r="L626" s="153"/>
      <c r="M626" s="397"/>
      <c r="N626" s="397"/>
    </row>
    <row r="627" spans="2:14" ht="18.75">
      <c r="D627" s="152"/>
      <c r="E627" s="152"/>
      <c r="F627" s="153"/>
      <c r="G627" s="153"/>
      <c r="H627" s="153"/>
      <c r="I627" s="153"/>
      <c r="J627" s="153"/>
      <c r="K627" s="153"/>
      <c r="L627" s="153"/>
      <c r="M627" s="399"/>
      <c r="N627" s="399"/>
    </row>
    <row r="628" spans="2:14" ht="18.75">
      <c r="D628" s="152"/>
      <c r="E628" s="152"/>
      <c r="F628" s="153"/>
      <c r="G628" s="153"/>
      <c r="H628" s="153"/>
      <c r="I628" s="153"/>
      <c r="J628" s="153"/>
      <c r="K628" s="153"/>
      <c r="L628" s="153"/>
      <c r="M628" s="397"/>
      <c r="N628" s="397"/>
    </row>
    <row r="629" spans="2:14" ht="18.75">
      <c r="B629" s="112" t="s">
        <v>452</v>
      </c>
      <c r="D629" s="152"/>
      <c r="E629" s="152"/>
      <c r="F629" s="153"/>
      <c r="G629" s="153"/>
      <c r="H629" s="153"/>
      <c r="I629" s="153"/>
      <c r="J629" s="153"/>
      <c r="K629" s="153"/>
      <c r="L629" s="153"/>
      <c r="M629" s="397"/>
      <c r="N629" s="397"/>
    </row>
    <row r="630" spans="2:14" ht="18.75">
      <c r="B630" s="112" t="s">
        <v>451</v>
      </c>
      <c r="D630" s="152"/>
      <c r="E630" s="152"/>
      <c r="F630" s="153"/>
      <c r="G630" s="153"/>
      <c r="H630" s="153"/>
      <c r="I630" s="153"/>
      <c r="J630" s="153"/>
      <c r="K630" s="153"/>
      <c r="L630" s="153"/>
      <c r="M630" s="397"/>
      <c r="N630" s="397"/>
    </row>
    <row r="631" spans="2:14" ht="18.75">
      <c r="D631" s="152"/>
      <c r="E631" s="152"/>
      <c r="F631" s="153"/>
      <c r="G631" s="153"/>
      <c r="H631" s="153"/>
      <c r="I631" s="153"/>
      <c r="J631" s="153"/>
      <c r="K631" s="153"/>
      <c r="L631" s="153"/>
      <c r="M631" s="401"/>
      <c r="N631" s="401"/>
    </row>
    <row r="632" spans="2:14" ht="18.75">
      <c r="D632" s="152"/>
      <c r="E632" s="152"/>
      <c r="F632" s="153"/>
      <c r="G632" s="153"/>
      <c r="H632" s="153"/>
      <c r="I632" s="153"/>
      <c r="J632" s="153"/>
      <c r="K632" s="153"/>
      <c r="L632" s="153"/>
      <c r="M632" s="401"/>
      <c r="N632" s="401"/>
    </row>
    <row r="634" spans="2:14">
      <c r="M634" s="154"/>
      <c r="N634" s="154"/>
    </row>
  </sheetData>
  <autoFilter ref="A4:P634"/>
  <mergeCells count="12">
    <mergeCell ref="F14:I14"/>
    <mergeCell ref="A8:N8"/>
    <mergeCell ref="A12:A13"/>
    <mergeCell ref="B12:B13"/>
    <mergeCell ref="C12:C13"/>
    <mergeCell ref="D12:D13"/>
    <mergeCell ref="E12:E13"/>
    <mergeCell ref="F12:I13"/>
    <mergeCell ref="J12:J13"/>
    <mergeCell ref="N12:N13"/>
    <mergeCell ref="L12:M12"/>
    <mergeCell ref="K12:K13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1" fitToHeight="0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workbookViewId="0">
      <selection activeCell="C2" sqref="C2"/>
    </sheetView>
  </sheetViews>
  <sheetFormatPr defaultColWidth="9.140625" defaultRowHeight="12.75"/>
  <cols>
    <col min="1" max="1" width="33.28515625" style="563" customWidth="1"/>
    <col min="2" max="2" width="66.42578125" style="563" customWidth="1"/>
    <col min="3" max="3" width="20" style="563" customWidth="1"/>
    <col min="4" max="4" width="9.140625" style="20"/>
    <col min="5" max="5" width="17.7109375" style="20" customWidth="1"/>
    <col min="6" max="6" width="19.85546875" style="20" customWidth="1"/>
    <col min="7" max="7" width="10.85546875" style="20" bestFit="1" customWidth="1"/>
    <col min="8" max="16384" width="9.140625" style="20"/>
  </cols>
  <sheetData>
    <row r="1" spans="1:6" s="165" customFormat="1" ht="18.75">
      <c r="C1" s="172" t="s">
        <v>979</v>
      </c>
    </row>
    <row r="2" spans="1:6" s="165" customFormat="1" ht="18.75">
      <c r="C2" s="172" t="s">
        <v>1035</v>
      </c>
    </row>
    <row r="4" spans="1:6" ht="18.75">
      <c r="C4" s="172" t="s">
        <v>571</v>
      </c>
    </row>
    <row r="5" spans="1:6" ht="18.75">
      <c r="C5" s="455" t="s">
        <v>914</v>
      </c>
    </row>
    <row r="6" spans="1:6" ht="17.45" customHeight="1">
      <c r="A6" s="588"/>
      <c r="B6" s="588"/>
      <c r="C6" s="588"/>
    </row>
    <row r="7" spans="1:6" s="55" customFormat="1" ht="18" customHeight="1">
      <c r="A7" s="165"/>
      <c r="B7" s="165"/>
      <c r="C7" s="172"/>
    </row>
    <row r="8" spans="1:6" s="55" customFormat="1" ht="36" customHeight="1">
      <c r="A8" s="894" t="s">
        <v>1009</v>
      </c>
      <c r="B8" s="895"/>
      <c r="C8" s="895"/>
    </row>
    <row r="9" spans="1:6" ht="18.75">
      <c r="A9" s="588"/>
      <c r="B9" s="588"/>
      <c r="C9" s="588"/>
      <c r="E9" s="79"/>
      <c r="F9" s="45"/>
    </row>
    <row r="10" spans="1:6" ht="18.75">
      <c r="A10" s="588"/>
      <c r="B10" s="588"/>
      <c r="C10" s="623" t="s">
        <v>261</v>
      </c>
    </row>
    <row r="11" spans="1:6" ht="58.9" customHeight="1">
      <c r="A11" s="590" t="s">
        <v>31</v>
      </c>
      <c r="B11" s="624" t="s">
        <v>880</v>
      </c>
      <c r="C11" s="624" t="s">
        <v>33</v>
      </c>
      <c r="E11" s="46"/>
      <c r="F11" s="46"/>
    </row>
    <row r="12" spans="1:6" ht="18" customHeight="1">
      <c r="A12" s="599">
        <v>1</v>
      </c>
      <c r="B12" s="625">
        <v>2</v>
      </c>
      <c r="C12" s="626">
        <v>3</v>
      </c>
      <c r="E12" s="46"/>
      <c r="F12" s="46"/>
    </row>
    <row r="13" spans="1:6" ht="37.15" customHeight="1">
      <c r="A13" s="627" t="s">
        <v>262</v>
      </c>
      <c r="B13" s="628" t="s">
        <v>263</v>
      </c>
      <c r="C13" s="629">
        <f>C18+C14</f>
        <v>45854.462640000042</v>
      </c>
      <c r="E13" s="64"/>
      <c r="F13" s="24"/>
    </row>
    <row r="14" spans="1:6" ht="50.25" customHeight="1">
      <c r="A14" s="630" t="s">
        <v>480</v>
      </c>
      <c r="B14" s="631" t="s">
        <v>865</v>
      </c>
      <c r="C14" s="632">
        <f>C15</f>
        <v>-6816</v>
      </c>
      <c r="E14" s="64"/>
      <c r="F14" s="24"/>
    </row>
    <row r="15" spans="1:6" ht="57" customHeight="1">
      <c r="A15" s="633" t="s">
        <v>481</v>
      </c>
      <c r="B15" s="634" t="s">
        <v>862</v>
      </c>
      <c r="C15" s="635">
        <f>-C16</f>
        <v>-6816</v>
      </c>
      <c r="E15" s="64"/>
      <c r="F15" s="24"/>
    </row>
    <row r="16" spans="1:6" ht="63" customHeight="1">
      <c r="A16" s="633" t="s">
        <v>482</v>
      </c>
      <c r="B16" s="634" t="s">
        <v>863</v>
      </c>
      <c r="C16" s="635">
        <f>C17</f>
        <v>6816</v>
      </c>
      <c r="E16" s="64"/>
      <c r="F16" s="24"/>
    </row>
    <row r="17" spans="1:8" ht="75.75" customHeight="1">
      <c r="A17" s="633" t="s">
        <v>483</v>
      </c>
      <c r="B17" s="634" t="s">
        <v>864</v>
      </c>
      <c r="C17" s="635">
        <v>6816</v>
      </c>
      <c r="E17" s="64"/>
      <c r="F17" s="24"/>
    </row>
    <row r="18" spans="1:8" s="25" customFormat="1" ht="34.9" customHeight="1">
      <c r="A18" s="630" t="s">
        <v>264</v>
      </c>
      <c r="B18" s="636" t="s">
        <v>265</v>
      </c>
      <c r="C18" s="632">
        <f>C23-C19</f>
        <v>52670.462640000042</v>
      </c>
      <c r="F18" s="26"/>
      <c r="G18" s="27"/>
    </row>
    <row r="19" spans="1:8" s="21" customFormat="1" ht="18.75">
      <c r="A19" s="633" t="s">
        <v>266</v>
      </c>
      <c r="B19" s="637" t="s">
        <v>267</v>
      </c>
      <c r="C19" s="638">
        <f>C20</f>
        <v>1640242.487</v>
      </c>
    </row>
    <row r="20" spans="1:8" s="21" customFormat="1" ht="18.75">
      <c r="A20" s="633" t="s">
        <v>268</v>
      </c>
      <c r="B20" s="637" t="s">
        <v>269</v>
      </c>
      <c r="C20" s="638">
        <f>C21</f>
        <v>1640242.487</v>
      </c>
    </row>
    <row r="21" spans="1:8" s="21" customFormat="1" ht="20.25" customHeight="1">
      <c r="A21" s="633" t="s">
        <v>389</v>
      </c>
      <c r="B21" s="639" t="s">
        <v>270</v>
      </c>
      <c r="C21" s="519">
        <f>C22</f>
        <v>1640242.487</v>
      </c>
    </row>
    <row r="22" spans="1:8" s="21" customFormat="1" ht="37.5" customHeight="1">
      <c r="A22" s="633" t="s">
        <v>271</v>
      </c>
      <c r="B22" s="639" t="s">
        <v>13</v>
      </c>
      <c r="C22" s="519">
        <f>'прил. 2 (поступл.21)'!C44+'прил. 2 (поступл.21)'!C40+'прил. 2 (поступл.21)'!C41+'прил. 2 (поступл.21)'!C42+'прил. 2 (поступл.21)'!C43</f>
        <v>1640242.487</v>
      </c>
    </row>
    <row r="23" spans="1:8" s="21" customFormat="1" ht="18.75">
      <c r="A23" s="633" t="s">
        <v>272</v>
      </c>
      <c r="B23" s="639" t="s">
        <v>273</v>
      </c>
      <c r="C23" s="519">
        <f>C24</f>
        <v>1692912.94964</v>
      </c>
    </row>
    <row r="24" spans="1:8" s="21" customFormat="1" ht="18.75">
      <c r="A24" s="633" t="s">
        <v>274</v>
      </c>
      <c r="B24" s="639" t="s">
        <v>275</v>
      </c>
      <c r="C24" s="519">
        <f>C25</f>
        <v>1692912.94964</v>
      </c>
    </row>
    <row r="25" spans="1:8" s="21" customFormat="1" ht="22.15" customHeight="1">
      <c r="A25" s="633" t="s">
        <v>276</v>
      </c>
      <c r="B25" s="639" t="s">
        <v>277</v>
      </c>
      <c r="C25" s="519">
        <f>C26</f>
        <v>1692912.94964</v>
      </c>
    </row>
    <row r="26" spans="1:8" s="21" customFormat="1" ht="37.5">
      <c r="A26" s="640" t="s">
        <v>278</v>
      </c>
      <c r="B26" s="641" t="s">
        <v>15</v>
      </c>
      <c r="C26" s="520">
        <f>'прил12(ведом 21)'!M14+C17+'прил. 2 (поступл.21)'!C40+'прил. 2 (поступл.21)'!C41+'прил. 2 (поступл.21)'!C42+'прил. 2 (поступл.21)'!C43</f>
        <v>1692912.94964</v>
      </c>
    </row>
    <row r="27" spans="1:8" s="21" customFormat="1" ht="18.75">
      <c r="A27" s="642"/>
      <c r="B27" s="643"/>
      <c r="C27" s="644"/>
    </row>
    <row r="28" spans="1:8" s="21" customFormat="1" ht="18.75">
      <c r="A28" s="642"/>
      <c r="B28" s="643"/>
      <c r="C28" s="644"/>
    </row>
    <row r="29" spans="1:8" s="14" customFormat="1" ht="18.75">
      <c r="A29" s="344" t="s">
        <v>467</v>
      </c>
      <c r="B29" s="253"/>
      <c r="C29" s="254"/>
      <c r="D29" s="17"/>
      <c r="E29" s="17"/>
      <c r="F29" s="18"/>
      <c r="G29" s="19"/>
      <c r="H29" s="15"/>
    </row>
    <row r="30" spans="1:8" s="14" customFormat="1" ht="18.75">
      <c r="A30" s="344" t="s">
        <v>468</v>
      </c>
      <c r="B30" s="253"/>
      <c r="C30" s="254"/>
      <c r="D30" s="17"/>
      <c r="E30" s="17"/>
      <c r="F30" s="18"/>
      <c r="G30" s="19"/>
      <c r="H30" s="15"/>
    </row>
    <row r="31" spans="1:8" s="14" customFormat="1" ht="18.75">
      <c r="A31" s="345" t="s">
        <v>469</v>
      </c>
      <c r="B31" s="253"/>
      <c r="C31" s="346" t="s">
        <v>494</v>
      </c>
      <c r="D31" s="17"/>
      <c r="E31" s="17"/>
      <c r="F31" s="18"/>
    </row>
  </sheetData>
  <mergeCells count="1">
    <mergeCell ref="A8:C8"/>
  </mergeCells>
  <printOptions horizontalCentered="1"/>
  <pageMargins left="1.1811023622047245" right="0.39370078740157483" top="0.62992125984251968" bottom="0.19685039370078741" header="0" footer="0"/>
  <pageSetup paperSize="9" scale="70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G31"/>
  <sheetViews>
    <sheetView workbookViewId="0">
      <selection activeCell="D2" sqref="D2"/>
    </sheetView>
  </sheetViews>
  <sheetFormatPr defaultColWidth="9.140625" defaultRowHeight="12.75"/>
  <cols>
    <col min="1" max="1" width="33.28515625" style="20" customWidth="1"/>
    <col min="2" max="2" width="52.140625" style="20" customWidth="1"/>
    <col min="3" max="3" width="14.140625" style="20" customWidth="1"/>
    <col min="4" max="4" width="14.42578125" style="20" customWidth="1"/>
    <col min="5" max="5" width="17.7109375" style="20" customWidth="1"/>
    <col min="6" max="6" width="19.85546875" style="20" customWidth="1"/>
    <col min="7" max="7" width="10.85546875" style="20" bestFit="1" customWidth="1"/>
    <col min="8" max="16384" width="9.140625" style="20"/>
  </cols>
  <sheetData>
    <row r="1" spans="1:6" ht="18.75">
      <c r="D1" s="1" t="s">
        <v>493</v>
      </c>
    </row>
    <row r="2" spans="1:6" ht="18.75">
      <c r="D2" s="1" t="s">
        <v>1041</v>
      </c>
    </row>
    <row r="4" spans="1:6" ht="18.75">
      <c r="D4" s="1" t="s">
        <v>572</v>
      </c>
    </row>
    <row r="5" spans="1:6" ht="18.75">
      <c r="D5" s="455" t="s">
        <v>914</v>
      </c>
    </row>
    <row r="6" spans="1:6" ht="17.45" customHeight="1">
      <c r="A6" s="10"/>
      <c r="B6" s="10"/>
      <c r="C6" s="10"/>
    </row>
    <row r="7" spans="1:6" s="55" customFormat="1" ht="45" customHeight="1">
      <c r="A7" s="899" t="s">
        <v>1010</v>
      </c>
      <c r="B7" s="899"/>
      <c r="C7" s="899"/>
      <c r="D7" s="899"/>
    </row>
    <row r="8" spans="1:6" ht="18" customHeight="1">
      <c r="A8" s="10"/>
      <c r="B8" s="10"/>
      <c r="C8" s="10"/>
      <c r="E8" s="79"/>
      <c r="F8" s="45"/>
    </row>
    <row r="9" spans="1:6" ht="18.75">
      <c r="A9" s="10"/>
      <c r="B9" s="10"/>
      <c r="D9" s="22" t="s">
        <v>261</v>
      </c>
    </row>
    <row r="10" spans="1:6" ht="16.149999999999999" customHeight="1">
      <c r="A10" s="898" t="s">
        <v>31</v>
      </c>
      <c r="B10" s="898" t="s">
        <v>880</v>
      </c>
      <c r="C10" s="896" t="s">
        <v>33</v>
      </c>
      <c r="D10" s="897"/>
    </row>
    <row r="11" spans="1:6" ht="55.5" customHeight="1">
      <c r="A11" s="898"/>
      <c r="B11" s="898"/>
      <c r="C11" s="31" t="s">
        <v>580</v>
      </c>
      <c r="D11" s="31" t="s">
        <v>773</v>
      </c>
      <c r="E11" s="46"/>
      <c r="F11" s="46"/>
    </row>
    <row r="12" spans="1:6" ht="18" customHeight="1">
      <c r="A12" s="51">
        <v>1</v>
      </c>
      <c r="B12" s="52">
        <v>2</v>
      </c>
      <c r="C12" s="53">
        <v>3</v>
      </c>
      <c r="D12" s="53">
        <v>4</v>
      </c>
      <c r="E12" s="46"/>
      <c r="F12" s="46"/>
    </row>
    <row r="13" spans="1:6" ht="56.25">
      <c r="A13" s="56" t="s">
        <v>262</v>
      </c>
      <c r="B13" s="65" t="s">
        <v>263</v>
      </c>
      <c r="C13" s="50">
        <f>C18+C14</f>
        <v>-10224</v>
      </c>
      <c r="D13" s="50">
        <f>D18+D14</f>
        <v>0</v>
      </c>
      <c r="E13" s="23"/>
      <c r="F13" s="24"/>
    </row>
    <row r="14" spans="1:6" ht="56.25">
      <c r="A14" s="57" t="s">
        <v>480</v>
      </c>
      <c r="B14" s="106" t="s">
        <v>865</v>
      </c>
      <c r="C14" s="50">
        <f>C15</f>
        <v>-10224</v>
      </c>
      <c r="D14" s="50">
        <f>D15</f>
        <v>0</v>
      </c>
      <c r="E14" s="23"/>
      <c r="F14" s="24"/>
    </row>
    <row r="15" spans="1:6" ht="59.25" customHeight="1">
      <c r="A15" s="58" t="s">
        <v>481</v>
      </c>
      <c r="B15" s="107" t="s">
        <v>862</v>
      </c>
      <c r="C15" s="108">
        <f>-C16</f>
        <v>-10224</v>
      </c>
      <c r="D15" s="108">
        <f>-D16</f>
        <v>0</v>
      </c>
      <c r="E15" s="23"/>
      <c r="F15" s="24"/>
    </row>
    <row r="16" spans="1:6" ht="77.25" customHeight="1">
      <c r="A16" s="58" t="s">
        <v>482</v>
      </c>
      <c r="B16" s="107" t="s">
        <v>863</v>
      </c>
      <c r="C16" s="80">
        <f>C17</f>
        <v>10224</v>
      </c>
      <c r="D16" s="80">
        <f>D17</f>
        <v>0</v>
      </c>
      <c r="E16" s="23"/>
      <c r="F16" s="24"/>
    </row>
    <row r="17" spans="1:7" ht="75" customHeight="1">
      <c r="A17" s="58" t="s">
        <v>483</v>
      </c>
      <c r="B17" s="107" t="s">
        <v>864</v>
      </c>
      <c r="C17" s="80">
        <v>10224</v>
      </c>
      <c r="D17" s="80">
        <v>0</v>
      </c>
      <c r="E17" s="23"/>
      <c r="F17" s="24"/>
    </row>
    <row r="18" spans="1:7" s="25" customFormat="1" ht="37.5">
      <c r="A18" s="57" t="s">
        <v>264</v>
      </c>
      <c r="B18" s="66" t="s">
        <v>265</v>
      </c>
      <c r="C18" s="50">
        <f>C23-C19</f>
        <v>0</v>
      </c>
      <c r="D18" s="63">
        <f>D23-D19</f>
        <v>0</v>
      </c>
      <c r="F18" s="26"/>
      <c r="G18" s="27"/>
    </row>
    <row r="19" spans="1:7" s="21" customFormat="1" ht="18.75">
      <c r="A19" s="58" t="s">
        <v>266</v>
      </c>
      <c r="B19" s="107" t="s">
        <v>267</v>
      </c>
      <c r="C19" s="521">
        <f t="shared" ref="C19:D21" si="0">C20</f>
        <v>1582091.3000000003</v>
      </c>
      <c r="D19" s="518">
        <f t="shared" si="0"/>
        <v>1512134.5</v>
      </c>
    </row>
    <row r="20" spans="1:7" s="21" customFormat="1" ht="21.75" customHeight="1">
      <c r="A20" s="58" t="s">
        <v>268</v>
      </c>
      <c r="B20" s="107" t="s">
        <v>269</v>
      </c>
      <c r="C20" s="521">
        <f t="shared" si="0"/>
        <v>1582091.3000000003</v>
      </c>
      <c r="D20" s="518">
        <f t="shared" si="0"/>
        <v>1512134.5</v>
      </c>
    </row>
    <row r="21" spans="1:7" s="21" customFormat="1" ht="37.5" customHeight="1">
      <c r="A21" s="58" t="s">
        <v>389</v>
      </c>
      <c r="B21" s="107" t="s">
        <v>270</v>
      </c>
      <c r="C21" s="521">
        <f t="shared" si="0"/>
        <v>1582091.3000000003</v>
      </c>
      <c r="D21" s="518">
        <f t="shared" si="0"/>
        <v>1512134.5</v>
      </c>
    </row>
    <row r="22" spans="1:7" s="21" customFormat="1" ht="39.75" customHeight="1">
      <c r="A22" s="58" t="s">
        <v>271</v>
      </c>
      <c r="B22" s="107" t="s">
        <v>13</v>
      </c>
      <c r="C22" s="521">
        <f>'прил. 3 (поступл. 22-23)'!C40</f>
        <v>1582091.3000000003</v>
      </c>
      <c r="D22" s="518">
        <f>'прил. 3 (поступл. 22-23)'!D40</f>
        <v>1512134.5</v>
      </c>
    </row>
    <row r="23" spans="1:7" s="21" customFormat="1" ht="18.75">
      <c r="A23" s="58" t="s">
        <v>272</v>
      </c>
      <c r="B23" s="107" t="s">
        <v>273</v>
      </c>
      <c r="C23" s="521">
        <f t="shared" ref="C23:D25" si="1">C24</f>
        <v>1582091.3</v>
      </c>
      <c r="D23" s="521">
        <f t="shared" si="1"/>
        <v>1512134.5</v>
      </c>
    </row>
    <row r="24" spans="1:7" s="21" customFormat="1" ht="37.5">
      <c r="A24" s="58" t="s">
        <v>274</v>
      </c>
      <c r="B24" s="107" t="s">
        <v>275</v>
      </c>
      <c r="C24" s="521">
        <f t="shared" si="1"/>
        <v>1582091.3</v>
      </c>
      <c r="D24" s="518">
        <f t="shared" si="1"/>
        <v>1512134.5</v>
      </c>
    </row>
    <row r="25" spans="1:7" s="21" customFormat="1" ht="37.5">
      <c r="A25" s="58" t="s">
        <v>276</v>
      </c>
      <c r="B25" s="107" t="s">
        <v>277</v>
      </c>
      <c r="C25" s="521">
        <f t="shared" si="1"/>
        <v>1582091.3</v>
      </c>
      <c r="D25" s="518">
        <f t="shared" si="1"/>
        <v>1512134.5</v>
      </c>
    </row>
    <row r="26" spans="1:7" s="21" customFormat="1" ht="39" customHeight="1">
      <c r="A26" s="59" t="s">
        <v>278</v>
      </c>
      <c r="B26" s="522" t="s">
        <v>15</v>
      </c>
      <c r="C26" s="523">
        <f>'прил13(ведом 22-23)'!M15+'прил.15 (Источники 22-23)'!C17</f>
        <v>1582091.3</v>
      </c>
      <c r="D26" s="523">
        <f>'прил13(ведом 22-23)'!N15+'прил.15 (Источники 22-23)'!D17</f>
        <v>1512134.5</v>
      </c>
    </row>
    <row r="27" spans="1:7" s="21" customFormat="1" ht="18.75">
      <c r="A27" s="60"/>
      <c r="B27" s="62"/>
      <c r="C27" s="81"/>
      <c r="D27" s="81"/>
    </row>
    <row r="28" spans="1:7" ht="18.75">
      <c r="A28" s="10"/>
      <c r="B28" s="10"/>
      <c r="C28" s="10"/>
    </row>
    <row r="29" spans="1:7" s="49" customFormat="1" ht="18.75">
      <c r="A29" s="67" t="s">
        <v>467</v>
      </c>
      <c r="B29" s="16"/>
      <c r="C29" s="17"/>
    </row>
    <row r="30" spans="1:7" s="49" customFormat="1" ht="18.75">
      <c r="A30" s="67" t="s">
        <v>468</v>
      </c>
      <c r="B30" s="16"/>
      <c r="C30" s="17"/>
    </row>
    <row r="31" spans="1:7" s="49" customFormat="1" ht="18.75">
      <c r="A31" s="68" t="s">
        <v>469</v>
      </c>
      <c r="B31" s="16"/>
      <c r="D31" s="13" t="s">
        <v>494</v>
      </c>
    </row>
  </sheetData>
  <mergeCells count="4">
    <mergeCell ref="C10:D10"/>
    <mergeCell ref="A10:A11"/>
    <mergeCell ref="B10:B11"/>
    <mergeCell ref="A7:D7"/>
  </mergeCells>
  <printOptions horizontalCentered="1"/>
  <pageMargins left="1.1811023622047245" right="0.39370078740157483" top="0.78740157480314965" bottom="0.59055118110236227" header="0" footer="0"/>
  <pageSetup paperSize="9" scale="74" fitToHeight="0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0"/>
  <sheetViews>
    <sheetView workbookViewId="0">
      <selection activeCell="B2" sqref="B2"/>
    </sheetView>
  </sheetViews>
  <sheetFormatPr defaultColWidth="8.85546875" defaultRowHeight="18.75"/>
  <cols>
    <col min="1" max="1" width="73.7109375" style="164" customWidth="1"/>
    <col min="2" max="2" width="17.28515625" style="164" customWidth="1"/>
    <col min="3" max="16384" width="8.85546875" style="164"/>
  </cols>
  <sheetData>
    <row r="1" spans="1:3">
      <c r="B1" s="172" t="s">
        <v>539</v>
      </c>
    </row>
    <row r="2" spans="1:3">
      <c r="B2" s="172" t="s">
        <v>1035</v>
      </c>
    </row>
    <row r="4" spans="1:3">
      <c r="B4" s="172" t="s">
        <v>573</v>
      </c>
    </row>
    <row r="5" spans="1:3">
      <c r="B5" s="455" t="s">
        <v>914</v>
      </c>
    </row>
    <row r="8" spans="1:3" ht="57" customHeight="1">
      <c r="A8" s="900" t="s">
        <v>782</v>
      </c>
      <c r="B8" s="900"/>
      <c r="C8" s="693"/>
    </row>
    <row r="9" spans="1:3" ht="16.899999999999999" customHeight="1">
      <c r="A9" s="690"/>
      <c r="B9" s="690"/>
      <c r="C9" s="693"/>
    </row>
    <row r="10" spans="1:3">
      <c r="B10" s="172" t="s">
        <v>42</v>
      </c>
    </row>
    <row r="11" spans="1:3" ht="31.9" customHeight="1">
      <c r="A11" s="460" t="s">
        <v>297</v>
      </c>
      <c r="B11" s="460" t="s">
        <v>33</v>
      </c>
    </row>
    <row r="12" spans="1:3">
      <c r="A12" s="188">
        <v>1</v>
      </c>
      <c r="B12" s="188">
        <v>2</v>
      </c>
    </row>
    <row r="13" spans="1:3" ht="22.9" customHeight="1">
      <c r="A13" s="694" t="s">
        <v>369</v>
      </c>
      <c r="B13" s="695">
        <f>SUM(B14:B15)</f>
        <v>30077.121999999999</v>
      </c>
    </row>
    <row r="14" spans="1:3">
      <c r="A14" s="153" t="s">
        <v>298</v>
      </c>
      <c r="B14" s="657">
        <f>'прил12(ведом 21)'!M276</f>
        <v>5500</v>
      </c>
    </row>
    <row r="15" spans="1:3" ht="37.5">
      <c r="A15" s="696" t="s">
        <v>688</v>
      </c>
      <c r="B15" s="657">
        <f>'прил12(ведом 21)'!M99+'прил12(ведом 21)'!M101++'прил12(ведом 21)'!M109+'прил12(ведом 21)'!M218+'прил12(ведом 21)'!M221+'прил12(ведом 21)'!M224+'прил12(ведом 21)'!M227+'прил12(ведом 21)'!M230+'прил12(ведом 21)'!M233+'прил12(ведом 21)'!M236+'прил12(ведом 21)'!M282+'прил12(ведом 21)'!M246+'прил12(ведом 21)'!M239+'прил12(ведом 21)'!M242</f>
        <v>24577.121999999999</v>
      </c>
    </row>
    <row r="18" spans="1:8" s="250" customFormat="1">
      <c r="A18" s="344" t="s">
        <v>467</v>
      </c>
      <c r="B18" s="253"/>
      <c r="C18" s="254"/>
      <c r="D18" s="254"/>
      <c r="E18" s="254"/>
      <c r="F18" s="178"/>
      <c r="G18" s="343"/>
      <c r="H18" s="394"/>
    </row>
    <row r="19" spans="1:8" s="250" customFormat="1">
      <c r="A19" s="344" t="s">
        <v>468</v>
      </c>
      <c r="B19" s="253"/>
      <c r="C19" s="254"/>
      <c r="D19" s="254"/>
      <c r="E19" s="254"/>
      <c r="F19" s="178"/>
      <c r="G19" s="343"/>
      <c r="H19" s="394"/>
    </row>
    <row r="20" spans="1:8" s="250" customFormat="1">
      <c r="A20" s="345" t="s">
        <v>469</v>
      </c>
      <c r="B20" s="346" t="s">
        <v>494</v>
      </c>
      <c r="D20" s="254"/>
      <c r="E20" s="254"/>
      <c r="F20" s="178"/>
    </row>
  </sheetData>
  <mergeCells count="1">
    <mergeCell ref="A8:B8"/>
  </mergeCells>
  <printOptions horizontalCentered="1"/>
  <pageMargins left="1.1811023622047245" right="0.39370078740157483" top="0.78740157480314965" bottom="0.78740157480314965" header="0.31496062992125984" footer="0.31496062992125984"/>
  <pageSetup paperSize="9" scale="93" fitToHeight="0"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H21"/>
  <sheetViews>
    <sheetView workbookViewId="0">
      <selection activeCell="C2" sqref="C2"/>
    </sheetView>
  </sheetViews>
  <sheetFormatPr defaultColWidth="8.85546875" defaultRowHeight="18.75"/>
  <cols>
    <col min="1" max="1" width="73.7109375" style="33" customWidth="1"/>
    <col min="2" max="2" width="14.85546875" style="33" customWidth="1"/>
    <col min="3" max="3" width="14.28515625" style="33" customWidth="1"/>
    <col min="4" max="16384" width="8.85546875" style="33"/>
  </cols>
  <sheetData>
    <row r="1" spans="1:3">
      <c r="C1" s="29" t="s">
        <v>426</v>
      </c>
    </row>
    <row r="2" spans="1:3">
      <c r="C2" s="172" t="s">
        <v>1035</v>
      </c>
    </row>
    <row r="4" spans="1:3">
      <c r="C4" s="29" t="s">
        <v>426</v>
      </c>
    </row>
    <row r="5" spans="1:3">
      <c r="C5" s="455" t="s">
        <v>914</v>
      </c>
    </row>
    <row r="8" spans="1:3" ht="42.6" customHeight="1">
      <c r="A8" s="901" t="s">
        <v>783</v>
      </c>
      <c r="B8" s="901"/>
      <c r="C8" s="901"/>
    </row>
    <row r="9" spans="1:3" ht="16.899999999999999" customHeight="1">
      <c r="A9" s="69"/>
      <c r="B9" s="69"/>
      <c r="C9" s="75"/>
    </row>
    <row r="10" spans="1:3">
      <c r="C10" s="1" t="s">
        <v>42</v>
      </c>
    </row>
    <row r="11" spans="1:3">
      <c r="A11" s="903" t="s">
        <v>297</v>
      </c>
      <c r="B11" s="902" t="s">
        <v>33</v>
      </c>
      <c r="C11" s="902"/>
    </row>
    <row r="12" spans="1:3" ht="23.45" customHeight="1">
      <c r="A12" s="904"/>
      <c r="B12" s="31" t="s">
        <v>580</v>
      </c>
      <c r="C12" s="31" t="s">
        <v>773</v>
      </c>
    </row>
    <row r="13" spans="1:3">
      <c r="A13" s="54">
        <v>1</v>
      </c>
      <c r="B13" s="54">
        <v>2</v>
      </c>
      <c r="C13" s="54">
        <v>3</v>
      </c>
    </row>
    <row r="14" spans="1:3" ht="18" customHeight="1">
      <c r="A14" s="76" t="s">
        <v>369</v>
      </c>
      <c r="B14" s="77">
        <f>SUM(B15:B16)</f>
        <v>8575.2999999999993</v>
      </c>
      <c r="C14" s="77">
        <f>SUM(C15:C16)</f>
        <v>8575.2999999999993</v>
      </c>
    </row>
    <row r="15" spans="1:3">
      <c r="A15" s="32" t="s">
        <v>298</v>
      </c>
      <c r="B15" s="78">
        <f>'прил13(ведом 22-23)'!M202</f>
        <v>5500</v>
      </c>
      <c r="C15" s="78">
        <f>'прил13(ведом 22-23)'!N202</f>
        <v>5500</v>
      </c>
    </row>
    <row r="16" spans="1:3" ht="37.5">
      <c r="A16" s="34" t="s">
        <v>688</v>
      </c>
      <c r="B16" s="78">
        <f>'прил13(ведом 22-23)'!M92</f>
        <v>3075.3</v>
      </c>
      <c r="C16" s="78">
        <f>'прил13(ведом 22-23)'!N92</f>
        <v>3075.3</v>
      </c>
    </row>
    <row r="17" spans="1:8">
      <c r="A17" s="2"/>
      <c r="B17" s="166"/>
    </row>
    <row r="19" spans="1:8" s="14" customFormat="1">
      <c r="A19" s="67" t="s">
        <v>467</v>
      </c>
      <c r="B19" s="16"/>
      <c r="C19" s="17"/>
      <c r="D19" s="17"/>
      <c r="E19" s="17"/>
      <c r="F19" s="18"/>
      <c r="G19" s="19"/>
      <c r="H19" s="15"/>
    </row>
    <row r="20" spans="1:8" s="14" customFormat="1">
      <c r="A20" s="67" t="s">
        <v>468</v>
      </c>
      <c r="B20" s="16"/>
      <c r="C20" s="17"/>
      <c r="D20" s="17"/>
      <c r="E20" s="17"/>
      <c r="F20" s="18"/>
      <c r="G20" s="19"/>
      <c r="H20" s="15"/>
    </row>
    <row r="21" spans="1:8" s="14" customFormat="1">
      <c r="A21" s="68" t="s">
        <v>469</v>
      </c>
      <c r="C21" s="13" t="s">
        <v>494</v>
      </c>
      <c r="D21" s="17"/>
      <c r="E21" s="17"/>
      <c r="F21" s="18"/>
    </row>
  </sheetData>
  <mergeCells count="3">
    <mergeCell ref="A8:C8"/>
    <mergeCell ref="B11:C11"/>
    <mergeCell ref="A11:A12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J34"/>
  <sheetViews>
    <sheetView workbookViewId="0">
      <selection sqref="A1:XFD3"/>
    </sheetView>
  </sheetViews>
  <sheetFormatPr defaultColWidth="8.85546875" defaultRowHeight="12.75"/>
  <cols>
    <col min="1" max="1" width="7.42578125" style="74" customWidth="1"/>
    <col min="2" max="3" width="8.85546875" style="74"/>
    <col min="4" max="4" width="6.5703125" style="74" customWidth="1"/>
    <col min="5" max="5" width="37.42578125" style="74" customWidth="1"/>
    <col min="6" max="6" width="15.28515625" style="74" customWidth="1"/>
    <col min="7" max="7" width="9.5703125" style="74" bestFit="1" customWidth="1"/>
    <col min="8" max="8" width="9.85546875" style="74" customWidth="1"/>
    <col min="9" max="9" width="8.85546875" style="74"/>
    <col min="10" max="10" width="11.85546875" style="74" bestFit="1" customWidth="1"/>
    <col min="11" max="16384" width="8.85546875" style="74"/>
  </cols>
  <sheetData>
    <row r="1" spans="1:10" ht="18" customHeight="1">
      <c r="F1" s="3" t="s">
        <v>427</v>
      </c>
    </row>
    <row r="2" spans="1:10" ht="16.149999999999999" customHeight="1">
      <c r="F2" s="455" t="s">
        <v>914</v>
      </c>
    </row>
    <row r="3" spans="1:10" ht="18" customHeight="1"/>
    <row r="4" spans="1:10" s="6" customFormat="1" ht="18.75">
      <c r="F4" s="7"/>
    </row>
    <row r="5" spans="1:10" s="6" customFormat="1" ht="61.5" customHeight="1">
      <c r="A5" s="905" t="s">
        <v>876</v>
      </c>
      <c r="B5" s="905"/>
      <c r="C5" s="905"/>
      <c r="D5" s="905"/>
      <c r="E5" s="905"/>
      <c r="F5" s="905"/>
    </row>
    <row r="6" spans="1:10" s="6" customFormat="1" ht="18.75"/>
    <row r="7" spans="1:10" s="6" customFormat="1" ht="18.75">
      <c r="F7" s="28" t="s">
        <v>261</v>
      </c>
    </row>
    <row r="8" spans="1:10" s="6" customFormat="1" ht="43.5" customHeight="1">
      <c r="A8" s="70" t="s">
        <v>182</v>
      </c>
      <c r="B8" s="906" t="s">
        <v>149</v>
      </c>
      <c r="C8" s="907"/>
      <c r="D8" s="907"/>
      <c r="E8" s="908"/>
      <c r="F8" s="36" t="s">
        <v>33</v>
      </c>
      <c r="G8" s="37"/>
      <c r="H8" s="37"/>
      <c r="I8" s="37"/>
      <c r="J8" s="38"/>
    </row>
    <row r="9" spans="1:10" s="6" customFormat="1" ht="16.899999999999999" customHeight="1">
      <c r="A9" s="70">
        <v>1</v>
      </c>
      <c r="B9" s="906">
        <v>2</v>
      </c>
      <c r="C9" s="912"/>
      <c r="D9" s="912"/>
      <c r="E9" s="913"/>
      <c r="F9" s="36">
        <v>3</v>
      </c>
      <c r="G9" s="37"/>
      <c r="H9" s="37"/>
      <c r="I9" s="37"/>
      <c r="J9" s="38"/>
    </row>
    <row r="10" spans="1:10" s="6" customFormat="1" ht="18.75">
      <c r="A10" s="8">
        <v>1</v>
      </c>
      <c r="B10" s="39" t="s">
        <v>610</v>
      </c>
      <c r="C10" s="39"/>
      <c r="D10" s="39"/>
      <c r="E10" s="39"/>
      <c r="F10" s="40">
        <v>1131.5</v>
      </c>
      <c r="G10" s="37"/>
      <c r="H10" s="37"/>
      <c r="I10" s="37"/>
      <c r="J10" s="41"/>
    </row>
    <row r="11" spans="1:10" s="6" customFormat="1" ht="18.75">
      <c r="A11" s="8">
        <v>2</v>
      </c>
      <c r="B11" s="39" t="s">
        <v>282</v>
      </c>
      <c r="C11" s="39"/>
      <c r="D11" s="39"/>
      <c r="E11" s="39"/>
      <c r="F11" s="40">
        <v>827.5</v>
      </c>
      <c r="G11" s="37"/>
      <c r="H11" s="37"/>
      <c r="I11" s="37"/>
      <c r="J11" s="41"/>
    </row>
    <row r="12" spans="1:10" s="6" customFormat="1" ht="18.75">
      <c r="A12" s="8">
        <v>3</v>
      </c>
      <c r="B12" s="39" t="s">
        <v>283</v>
      </c>
      <c r="C12" s="39"/>
      <c r="D12" s="39"/>
      <c r="E12" s="39"/>
      <c r="F12" s="40">
        <v>159.80000000000001</v>
      </c>
      <c r="G12" s="37"/>
      <c r="H12" s="37"/>
      <c r="I12" s="37"/>
      <c r="J12" s="41"/>
    </row>
    <row r="13" spans="1:10" s="6" customFormat="1" ht="18.75">
      <c r="A13" s="8">
        <v>4</v>
      </c>
      <c r="B13" s="39" t="s">
        <v>284</v>
      </c>
      <c r="C13" s="39"/>
      <c r="D13" s="39"/>
      <c r="E13" s="39"/>
      <c r="F13" s="40">
        <v>556.1</v>
      </c>
      <c r="G13" s="37"/>
      <c r="H13" s="37"/>
      <c r="I13" s="37"/>
      <c r="J13" s="41"/>
    </row>
    <row r="14" spans="1:10" s="6" customFormat="1" ht="18.75">
      <c r="A14" s="8">
        <v>5</v>
      </c>
      <c r="B14" s="39" t="s">
        <v>375</v>
      </c>
      <c r="C14" s="39"/>
      <c r="D14" s="39"/>
      <c r="E14" s="39"/>
      <c r="F14" s="40">
        <v>462</v>
      </c>
      <c r="G14" s="37"/>
      <c r="H14" s="37"/>
      <c r="I14" s="37"/>
      <c r="J14" s="41"/>
    </row>
    <row r="15" spans="1:10" s="6" customFormat="1" ht="18.75">
      <c r="A15" s="8">
        <v>6</v>
      </c>
      <c r="B15" s="39" t="s">
        <v>285</v>
      </c>
      <c r="C15" s="39"/>
      <c r="D15" s="39"/>
      <c r="E15" s="39"/>
      <c r="F15" s="40">
        <v>196.2</v>
      </c>
      <c r="G15" s="37"/>
      <c r="H15" s="37"/>
      <c r="I15" s="37"/>
      <c r="J15" s="41"/>
    </row>
    <row r="16" spans="1:10" s="6" customFormat="1" ht="18.75">
      <c r="A16" s="8">
        <v>7</v>
      </c>
      <c r="B16" s="39" t="s">
        <v>286</v>
      </c>
      <c r="C16" s="39"/>
      <c r="D16" s="39"/>
      <c r="E16" s="39"/>
      <c r="F16" s="40">
        <v>487.5</v>
      </c>
      <c r="G16" s="37"/>
      <c r="H16" s="37"/>
      <c r="I16" s="37"/>
      <c r="J16" s="41"/>
    </row>
    <row r="17" spans="1:10" s="6" customFormat="1" ht="18.75">
      <c r="A17" s="8">
        <v>8</v>
      </c>
      <c r="B17" s="39" t="s">
        <v>287</v>
      </c>
      <c r="C17" s="39"/>
      <c r="D17" s="39"/>
      <c r="E17" s="39"/>
      <c r="F17" s="40">
        <v>420.4</v>
      </c>
      <c r="G17" s="37"/>
      <c r="H17" s="37"/>
      <c r="I17" s="37"/>
      <c r="J17" s="41"/>
    </row>
    <row r="18" spans="1:10" s="6" customFormat="1" ht="18.75">
      <c r="A18" s="8">
        <v>9</v>
      </c>
      <c r="B18" s="39" t="s">
        <v>288</v>
      </c>
      <c r="C18" s="39"/>
      <c r="D18" s="39"/>
      <c r="E18" s="39"/>
      <c r="F18" s="40">
        <v>895.9</v>
      </c>
      <c r="G18" s="37"/>
      <c r="H18" s="37"/>
      <c r="I18" s="37"/>
      <c r="J18" s="41"/>
    </row>
    <row r="19" spans="1:10" s="6" customFormat="1" ht="18.75">
      <c r="A19" s="8">
        <v>10</v>
      </c>
      <c r="B19" s="39" t="s">
        <v>289</v>
      </c>
      <c r="C19" s="39"/>
      <c r="D19" s="39"/>
      <c r="E19" s="39"/>
      <c r="F19" s="40">
        <v>363.1</v>
      </c>
      <c r="G19" s="37"/>
      <c r="H19" s="37"/>
      <c r="I19" s="37"/>
      <c r="J19" s="41"/>
    </row>
    <row r="20" spans="1:10" s="6" customFormat="1" ht="26.45" customHeight="1">
      <c r="A20" s="39"/>
      <c r="B20" s="909" t="s">
        <v>369</v>
      </c>
      <c r="C20" s="910"/>
      <c r="D20" s="910"/>
      <c r="E20" s="911"/>
      <c r="F20" s="42">
        <f>SUM(F10:F19)</f>
        <v>5500</v>
      </c>
      <c r="G20" s="37"/>
      <c r="H20" s="37"/>
      <c r="I20" s="37"/>
      <c r="J20" s="43"/>
    </row>
    <row r="21" spans="1:10" s="6" customFormat="1" ht="18.75">
      <c r="F21" s="7"/>
    </row>
    <row r="22" spans="1:10" s="6" customFormat="1" ht="18.75">
      <c r="F22" s="7"/>
    </row>
    <row r="23" spans="1:10" s="14" customFormat="1" ht="18.75">
      <c r="A23" s="67" t="s">
        <v>467</v>
      </c>
      <c r="B23" s="16"/>
      <c r="C23" s="17"/>
      <c r="D23" s="17"/>
      <c r="E23" s="17"/>
      <c r="F23" s="18"/>
      <c r="G23" s="19"/>
      <c r="H23" s="15"/>
    </row>
    <row r="24" spans="1:10" s="14" customFormat="1" ht="18.75">
      <c r="A24" s="67" t="s">
        <v>468</v>
      </c>
      <c r="B24" s="16"/>
      <c r="C24" s="17"/>
      <c r="D24" s="17"/>
      <c r="E24" s="17"/>
      <c r="F24" s="18"/>
      <c r="G24" s="19"/>
      <c r="H24" s="15"/>
    </row>
    <row r="25" spans="1:10" s="14" customFormat="1" ht="18.75">
      <c r="A25" s="68" t="s">
        <v>469</v>
      </c>
      <c r="D25" s="17"/>
      <c r="E25" s="17"/>
      <c r="F25" s="13" t="s">
        <v>494</v>
      </c>
    </row>
    <row r="26" spans="1:10" s="6" customFormat="1" ht="18.75">
      <c r="F26" s="7"/>
    </row>
    <row r="27" spans="1:10" s="6" customFormat="1" ht="18.75">
      <c r="F27" s="7"/>
    </row>
    <row r="28" spans="1:10" s="6" customFormat="1" ht="18.75">
      <c r="F28" s="7"/>
    </row>
    <row r="29" spans="1:10" s="6" customFormat="1" ht="18.75">
      <c r="F29" s="7"/>
    </row>
    <row r="30" spans="1:10" s="6" customFormat="1" ht="18.75">
      <c r="F30" s="44"/>
    </row>
    <row r="31" spans="1:10" s="6" customFormat="1" ht="18.75">
      <c r="F31" s="7"/>
    </row>
    <row r="32" spans="1:10" s="6" customFormat="1" ht="18.75">
      <c r="F32" s="7"/>
    </row>
    <row r="33" spans="1:6" s="6" customFormat="1" ht="18.75">
      <c r="A33" s="5"/>
      <c r="B33" s="5"/>
      <c r="C33" s="5"/>
      <c r="D33" s="5"/>
      <c r="F33" s="7"/>
    </row>
    <row r="34" spans="1:6" s="6" customFormat="1" ht="18.75">
      <c r="A34" s="5"/>
      <c r="B34" s="5"/>
      <c r="C34" s="5"/>
      <c r="D34" s="5"/>
      <c r="F34" s="28"/>
    </row>
  </sheetData>
  <mergeCells count="4">
    <mergeCell ref="A5:F5"/>
    <mergeCell ref="B8:E8"/>
    <mergeCell ref="B20:E20"/>
    <mergeCell ref="B9:E9"/>
  </mergeCells>
  <printOptions horizontalCentered="1"/>
  <pageMargins left="1.1811023622047245" right="0.39370078740157483" top="0.78740157480314965" bottom="0.78740157480314965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J35"/>
  <sheetViews>
    <sheetView workbookViewId="0">
      <selection activeCell="E1" sqref="E1"/>
    </sheetView>
  </sheetViews>
  <sheetFormatPr defaultColWidth="8.85546875" defaultRowHeight="12.75"/>
  <cols>
    <col min="1" max="1" width="7.42578125" style="74" customWidth="1"/>
    <col min="2" max="3" width="8.85546875" style="74"/>
    <col min="4" max="4" width="6.5703125" style="74" customWidth="1"/>
    <col min="5" max="5" width="24.7109375" style="74" customWidth="1"/>
    <col min="6" max="6" width="14.28515625" style="74" customWidth="1"/>
    <col min="7" max="7" width="13.5703125" style="74" customWidth="1"/>
    <col min="8" max="8" width="9.85546875" style="74" customWidth="1"/>
    <col min="9" max="9" width="8.85546875" style="74"/>
    <col min="10" max="10" width="11.85546875" style="74" bestFit="1" customWidth="1"/>
    <col min="11" max="16384" width="8.85546875" style="74"/>
  </cols>
  <sheetData>
    <row r="1" spans="1:10" ht="18" customHeight="1">
      <c r="G1" s="3" t="s">
        <v>574</v>
      </c>
    </row>
    <row r="2" spans="1:10" ht="16.149999999999999" customHeight="1">
      <c r="G2" s="455" t="s">
        <v>914</v>
      </c>
    </row>
    <row r="3" spans="1:10" ht="18" customHeight="1"/>
    <row r="4" spans="1:10" s="6" customFormat="1" ht="18.75">
      <c r="F4" s="7"/>
    </row>
    <row r="5" spans="1:10" s="6" customFormat="1" ht="59.25" customHeight="1">
      <c r="A5" s="905" t="s">
        <v>875</v>
      </c>
      <c r="B5" s="905"/>
      <c r="C5" s="905"/>
      <c r="D5" s="905"/>
      <c r="E5" s="905"/>
      <c r="F5" s="905"/>
      <c r="G5" s="905"/>
    </row>
    <row r="6" spans="1:10" s="6" customFormat="1" ht="18.75"/>
    <row r="7" spans="1:10" s="6" customFormat="1" ht="18.75">
      <c r="G7" s="28" t="s">
        <v>261</v>
      </c>
    </row>
    <row r="8" spans="1:10" s="6" customFormat="1" ht="18.75">
      <c r="A8" s="914" t="s">
        <v>182</v>
      </c>
      <c r="B8" s="914" t="s">
        <v>149</v>
      </c>
      <c r="C8" s="914"/>
      <c r="D8" s="914"/>
      <c r="E8" s="914"/>
      <c r="F8" s="902" t="s">
        <v>33</v>
      </c>
      <c r="G8" s="902"/>
    </row>
    <row r="9" spans="1:10" s="6" customFormat="1" ht="27.6" customHeight="1">
      <c r="A9" s="914"/>
      <c r="B9" s="914"/>
      <c r="C9" s="914"/>
      <c r="D9" s="914"/>
      <c r="E9" s="914"/>
      <c r="F9" s="31" t="s">
        <v>580</v>
      </c>
      <c r="G9" s="31" t="s">
        <v>773</v>
      </c>
      <c r="H9" s="37"/>
      <c r="I9" s="37"/>
      <c r="J9" s="38"/>
    </row>
    <row r="10" spans="1:10" s="6" customFormat="1" ht="16.899999999999999" customHeight="1">
      <c r="A10" s="70">
        <v>1</v>
      </c>
      <c r="B10" s="906">
        <v>2</v>
      </c>
      <c r="C10" s="912"/>
      <c r="D10" s="912"/>
      <c r="E10" s="913"/>
      <c r="F10" s="36">
        <v>3</v>
      </c>
      <c r="G10" s="36">
        <v>4</v>
      </c>
      <c r="H10" s="37"/>
      <c r="I10" s="37"/>
      <c r="J10" s="38"/>
    </row>
    <row r="11" spans="1:10" s="6" customFormat="1" ht="18.75">
      <c r="A11" s="8">
        <v>1</v>
      </c>
      <c r="B11" s="39" t="s">
        <v>610</v>
      </c>
      <c r="C11" s="39"/>
      <c r="D11" s="39"/>
      <c r="E11" s="39"/>
      <c r="F11" s="40">
        <v>821.4</v>
      </c>
      <c r="G11" s="40">
        <v>835.9</v>
      </c>
      <c r="H11" s="37"/>
      <c r="I11" s="37"/>
      <c r="J11" s="41"/>
    </row>
    <row r="12" spans="1:10" s="6" customFormat="1" ht="18.75">
      <c r="A12" s="8">
        <v>2</v>
      </c>
      <c r="B12" s="39" t="s">
        <v>282</v>
      </c>
      <c r="C12" s="39"/>
      <c r="D12" s="39"/>
      <c r="E12" s="39"/>
      <c r="F12" s="40">
        <v>953</v>
      </c>
      <c r="G12" s="40">
        <v>910.2</v>
      </c>
      <c r="H12" s="37"/>
      <c r="I12" s="37"/>
      <c r="J12" s="41"/>
    </row>
    <row r="13" spans="1:10" s="6" customFormat="1" ht="18.75">
      <c r="A13" s="8">
        <v>3</v>
      </c>
      <c r="B13" s="39" t="s">
        <v>283</v>
      </c>
      <c r="C13" s="39"/>
      <c r="D13" s="39"/>
      <c r="E13" s="39"/>
      <c r="F13" s="40">
        <v>273.8</v>
      </c>
      <c r="G13" s="40">
        <v>290</v>
      </c>
      <c r="H13" s="37"/>
      <c r="I13" s="37"/>
      <c r="J13" s="41"/>
    </row>
    <row r="14" spans="1:10" s="6" customFormat="1" ht="18.75">
      <c r="A14" s="8">
        <v>4</v>
      </c>
      <c r="B14" s="39" t="s">
        <v>284</v>
      </c>
      <c r="C14" s="39"/>
      <c r="D14" s="39"/>
      <c r="E14" s="39"/>
      <c r="F14" s="40">
        <v>507.6</v>
      </c>
      <c r="G14" s="40">
        <v>558.9</v>
      </c>
      <c r="H14" s="37"/>
      <c r="I14" s="37"/>
      <c r="J14" s="41"/>
    </row>
    <row r="15" spans="1:10" s="6" customFormat="1" ht="18.75">
      <c r="A15" s="8">
        <v>5</v>
      </c>
      <c r="B15" s="39" t="s">
        <v>375</v>
      </c>
      <c r="C15" s="39"/>
      <c r="D15" s="39"/>
      <c r="E15" s="39"/>
      <c r="F15" s="40">
        <v>296</v>
      </c>
      <c r="G15" s="40">
        <v>366.2</v>
      </c>
      <c r="H15" s="37"/>
      <c r="I15" s="37"/>
      <c r="J15" s="41"/>
    </row>
    <row r="16" spans="1:10" s="6" customFormat="1" ht="18.75">
      <c r="A16" s="8">
        <v>6</v>
      </c>
      <c r="B16" s="39" t="s">
        <v>285</v>
      </c>
      <c r="C16" s="39"/>
      <c r="D16" s="39"/>
      <c r="E16" s="39"/>
      <c r="F16" s="40">
        <v>117.8</v>
      </c>
      <c r="G16" s="40">
        <v>315.89999999999998</v>
      </c>
      <c r="H16" s="37"/>
      <c r="I16" s="37"/>
      <c r="J16" s="41"/>
    </row>
    <row r="17" spans="1:10" s="6" customFormat="1" ht="18.75">
      <c r="A17" s="8">
        <v>7</v>
      </c>
      <c r="B17" s="39" t="s">
        <v>286</v>
      </c>
      <c r="C17" s="39"/>
      <c r="D17" s="39"/>
      <c r="E17" s="39"/>
      <c r="F17" s="40">
        <v>634.20000000000005</v>
      </c>
      <c r="G17" s="40">
        <v>494.1</v>
      </c>
      <c r="H17" s="37"/>
      <c r="I17" s="37"/>
      <c r="J17" s="41"/>
    </row>
    <row r="18" spans="1:10" s="6" customFormat="1" ht="18.75">
      <c r="A18" s="8">
        <v>8</v>
      </c>
      <c r="B18" s="39" t="s">
        <v>287</v>
      </c>
      <c r="C18" s="39"/>
      <c r="D18" s="39"/>
      <c r="E18" s="39"/>
      <c r="F18" s="40">
        <v>365.3</v>
      </c>
      <c r="G18" s="40">
        <v>413.1</v>
      </c>
      <c r="H18" s="37"/>
      <c r="I18" s="37"/>
      <c r="J18" s="41"/>
    </row>
    <row r="19" spans="1:10" s="6" customFormat="1" ht="18.75">
      <c r="A19" s="8">
        <v>9</v>
      </c>
      <c r="B19" s="39" t="s">
        <v>288</v>
      </c>
      <c r="C19" s="39"/>
      <c r="D19" s="39"/>
      <c r="E19" s="39"/>
      <c r="F19" s="40">
        <v>1027.3</v>
      </c>
      <c r="G19" s="40">
        <v>897.5</v>
      </c>
      <c r="H19" s="37"/>
      <c r="I19" s="37"/>
      <c r="J19" s="41"/>
    </row>
    <row r="20" spans="1:10" s="6" customFormat="1" ht="18.75">
      <c r="A20" s="8">
        <v>10</v>
      </c>
      <c r="B20" s="39" t="s">
        <v>289</v>
      </c>
      <c r="C20" s="39"/>
      <c r="D20" s="39"/>
      <c r="E20" s="39"/>
      <c r="F20" s="40">
        <v>503.6</v>
      </c>
      <c r="G20" s="40">
        <v>418.2</v>
      </c>
      <c r="H20" s="37"/>
      <c r="I20" s="37"/>
      <c r="J20" s="41"/>
    </row>
    <row r="21" spans="1:10" s="6" customFormat="1" ht="26.45" customHeight="1">
      <c r="A21" s="39"/>
      <c r="B21" s="909" t="s">
        <v>369</v>
      </c>
      <c r="C21" s="910"/>
      <c r="D21" s="910"/>
      <c r="E21" s="911"/>
      <c r="F21" s="42">
        <f>SUM(F11:F20)</f>
        <v>5500.0000000000009</v>
      </c>
      <c r="G21" s="42">
        <f>SUM(G11:G20)</f>
        <v>5500</v>
      </c>
      <c r="H21" s="37"/>
      <c r="I21" s="37"/>
      <c r="J21" s="43"/>
    </row>
    <row r="22" spans="1:10" s="6" customFormat="1" ht="18.75">
      <c r="F22" s="7"/>
    </row>
    <row r="23" spans="1:10" s="6" customFormat="1" ht="18.75">
      <c r="F23" s="7"/>
    </row>
    <row r="24" spans="1:10" s="14" customFormat="1" ht="18.75">
      <c r="A24" s="67" t="s">
        <v>467</v>
      </c>
      <c r="B24" s="16"/>
      <c r="C24" s="17"/>
      <c r="D24" s="17"/>
      <c r="E24" s="17"/>
      <c r="F24" s="18"/>
      <c r="G24" s="19"/>
      <c r="H24" s="15"/>
    </row>
    <row r="25" spans="1:10" s="14" customFormat="1" ht="18.75">
      <c r="A25" s="67" t="s">
        <v>468</v>
      </c>
      <c r="B25" s="16"/>
      <c r="C25" s="17"/>
      <c r="D25" s="17"/>
      <c r="E25" s="17"/>
      <c r="F25" s="18"/>
      <c r="G25" s="19"/>
      <c r="H25" s="15"/>
    </row>
    <row r="26" spans="1:10" s="14" customFormat="1" ht="18.75">
      <c r="A26" s="68" t="s">
        <v>469</v>
      </c>
      <c r="D26" s="17"/>
      <c r="E26" s="17"/>
      <c r="G26" s="13" t="s">
        <v>494</v>
      </c>
    </row>
    <row r="27" spans="1:10" s="6" customFormat="1" ht="18.75">
      <c r="F27" s="7"/>
    </row>
    <row r="28" spans="1:10" s="6" customFormat="1" ht="18.75">
      <c r="F28" s="7"/>
    </row>
    <row r="29" spans="1:10" s="6" customFormat="1" ht="18.75">
      <c r="F29" s="7"/>
    </row>
    <row r="30" spans="1:10" s="6" customFormat="1" ht="18.75">
      <c r="F30" s="7"/>
    </row>
    <row r="31" spans="1:10" s="6" customFormat="1" ht="18.75">
      <c r="F31" s="44"/>
    </row>
    <row r="32" spans="1:10" s="6" customFormat="1" ht="18.75">
      <c r="F32" s="7"/>
    </row>
    <row r="33" spans="1:6" s="6" customFormat="1" ht="18.75">
      <c r="F33" s="7"/>
    </row>
    <row r="34" spans="1:6" s="6" customFormat="1" ht="18.75">
      <c r="A34" s="5"/>
      <c r="B34" s="5"/>
      <c r="C34" s="5"/>
      <c r="D34" s="5"/>
      <c r="F34" s="7"/>
    </row>
    <row r="35" spans="1:6" s="6" customFormat="1" ht="18.75">
      <c r="A35" s="5"/>
      <c r="B35" s="5"/>
      <c r="C35" s="5"/>
      <c r="D35" s="5"/>
      <c r="F35" s="28"/>
    </row>
  </sheetData>
  <mergeCells count="6">
    <mergeCell ref="B10:E10"/>
    <mergeCell ref="B21:E21"/>
    <mergeCell ref="A5:G5"/>
    <mergeCell ref="F8:G8"/>
    <mergeCell ref="A8:A9"/>
    <mergeCell ref="B8:E9"/>
  </mergeCells>
  <printOptions horizontalCentered="1"/>
  <pageMargins left="1.1811023622047245" right="0.39370078740157483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37"/>
  <sheetViews>
    <sheetView zoomScale="80" zoomScaleNormal="80" zoomScaleSheetLayoutView="50" workbookViewId="0">
      <selection activeCell="C2" sqref="C2"/>
    </sheetView>
  </sheetViews>
  <sheetFormatPr defaultColWidth="9.140625" defaultRowHeight="18.75"/>
  <cols>
    <col min="1" max="1" width="29.5703125" style="476" customWidth="1"/>
    <col min="2" max="2" width="60.140625" style="672" customWidth="1"/>
    <col min="3" max="3" width="15.5703125" style="474" customWidth="1"/>
    <col min="4" max="16384" width="9.140625" style="476"/>
  </cols>
  <sheetData>
    <row r="1" spans="1:5">
      <c r="C1" s="172" t="s">
        <v>376</v>
      </c>
    </row>
    <row r="2" spans="1:5">
      <c r="C2" s="404" t="s">
        <v>1035</v>
      </c>
    </row>
    <row r="4" spans="1:5">
      <c r="C4" s="172" t="s">
        <v>376</v>
      </c>
    </row>
    <row r="5" spans="1:5">
      <c r="C5" s="455" t="s">
        <v>914</v>
      </c>
    </row>
    <row r="6" spans="1:5" ht="12.75" customHeight="1"/>
    <row r="7" spans="1:5" ht="11.25" customHeight="1"/>
    <row r="8" spans="1:5" ht="36" customHeight="1">
      <c r="A8" s="833" t="s">
        <v>776</v>
      </c>
      <c r="B8" s="833"/>
      <c r="C8" s="833"/>
    </row>
    <row r="10" spans="1:5">
      <c r="C10" s="468" t="s">
        <v>42</v>
      </c>
    </row>
    <row r="11" spans="1:5" ht="20.45" customHeight="1">
      <c r="A11" s="673" t="s">
        <v>31</v>
      </c>
      <c r="B11" s="674" t="s">
        <v>32</v>
      </c>
      <c r="C11" s="469" t="s">
        <v>33</v>
      </c>
    </row>
    <row r="12" spans="1:5">
      <c r="A12" s="673">
        <v>1</v>
      </c>
      <c r="B12" s="674">
        <v>2</v>
      </c>
      <c r="C12" s="470">
        <v>3</v>
      </c>
    </row>
    <row r="13" spans="1:5">
      <c r="A13" s="220" t="s">
        <v>156</v>
      </c>
      <c r="B13" s="221" t="s">
        <v>157</v>
      </c>
      <c r="C13" s="222">
        <f>SUM(C14:C32)-C23</f>
        <v>487977.30000000005</v>
      </c>
      <c r="E13" s="675"/>
    </row>
    <row r="14" spans="1:5">
      <c r="A14" s="171" t="s">
        <v>158</v>
      </c>
      <c r="B14" s="201" t="s">
        <v>159</v>
      </c>
      <c r="C14" s="223">
        <v>5000</v>
      </c>
      <c r="E14" s="517"/>
    </row>
    <row r="15" spans="1:5">
      <c r="A15" s="188" t="s">
        <v>160</v>
      </c>
      <c r="B15" s="224" t="s">
        <v>161</v>
      </c>
      <c r="C15" s="223">
        <v>336422.5</v>
      </c>
      <c r="E15" s="517"/>
    </row>
    <row r="16" spans="1:5" ht="173.25" customHeight="1">
      <c r="A16" s="168" t="s">
        <v>162</v>
      </c>
      <c r="B16" s="232" t="s">
        <v>823</v>
      </c>
      <c r="C16" s="223">
        <v>5728.2</v>
      </c>
      <c r="E16" s="517"/>
    </row>
    <row r="17" spans="1:5" ht="37.5">
      <c r="A17" s="171" t="s">
        <v>365</v>
      </c>
      <c r="B17" s="202" t="s">
        <v>366</v>
      </c>
      <c r="C17" s="815">
        <f>57050+2000+4663.7</f>
        <v>63713.7</v>
      </c>
      <c r="E17" s="517"/>
    </row>
    <row r="18" spans="1:5" ht="37.5">
      <c r="A18" s="171" t="s">
        <v>163</v>
      </c>
      <c r="B18" s="202" t="s">
        <v>392</v>
      </c>
      <c r="C18" s="223">
        <v>3800</v>
      </c>
      <c r="E18" s="517"/>
    </row>
    <row r="19" spans="1:5">
      <c r="A19" s="171" t="s">
        <v>164</v>
      </c>
      <c r="B19" s="224" t="s">
        <v>165</v>
      </c>
      <c r="C19" s="223">
        <f>105+63.7</f>
        <v>168.7</v>
      </c>
      <c r="E19" s="517"/>
    </row>
    <row r="20" spans="1:5" ht="37.5">
      <c r="A20" s="171" t="s">
        <v>166</v>
      </c>
      <c r="B20" s="202" t="s">
        <v>167</v>
      </c>
      <c r="C20" s="223">
        <f>200+17934.1</f>
        <v>18134.099999999999</v>
      </c>
      <c r="E20" s="517"/>
    </row>
    <row r="21" spans="1:5">
      <c r="A21" s="171" t="s">
        <v>678</v>
      </c>
      <c r="B21" s="202" t="s">
        <v>679</v>
      </c>
      <c r="C21" s="223">
        <v>3600</v>
      </c>
      <c r="E21" s="517"/>
    </row>
    <row r="22" spans="1:5">
      <c r="A22" s="171" t="s">
        <v>168</v>
      </c>
      <c r="B22" s="224" t="s">
        <v>169</v>
      </c>
      <c r="C22" s="223">
        <v>9240</v>
      </c>
      <c r="E22" s="517"/>
    </row>
    <row r="23" spans="1:5" ht="62.25" customHeight="1">
      <c r="A23" s="171" t="s">
        <v>906</v>
      </c>
      <c r="B23" s="202" t="s">
        <v>907</v>
      </c>
      <c r="C23" s="223">
        <f>C24+C25+C26+C27+C28</f>
        <v>25753.5</v>
      </c>
      <c r="E23" s="517"/>
    </row>
    <row r="24" spans="1:5" ht="78" customHeight="1">
      <c r="A24" s="171" t="s">
        <v>170</v>
      </c>
      <c r="B24" s="225" t="s">
        <v>908</v>
      </c>
      <c r="C24" s="223">
        <f>31+132.5</f>
        <v>163.5</v>
      </c>
      <c r="E24" s="517"/>
    </row>
    <row r="25" spans="1:5" ht="99" customHeight="1">
      <c r="A25" s="171" t="s">
        <v>171</v>
      </c>
      <c r="B25" s="202" t="s">
        <v>909</v>
      </c>
      <c r="C25" s="223">
        <f>23124+1097.4+78.6</f>
        <v>24300</v>
      </c>
      <c r="E25" s="517"/>
    </row>
    <row r="26" spans="1:5" ht="63" customHeight="1">
      <c r="A26" s="171" t="s">
        <v>362</v>
      </c>
      <c r="B26" s="202" t="s">
        <v>910</v>
      </c>
      <c r="C26" s="223">
        <v>1156</v>
      </c>
      <c r="E26" s="517"/>
    </row>
    <row r="27" spans="1:5" ht="87.6" customHeight="1">
      <c r="A27" s="171" t="s">
        <v>172</v>
      </c>
      <c r="B27" s="202" t="s">
        <v>911</v>
      </c>
      <c r="C27" s="223">
        <v>10</v>
      </c>
      <c r="E27" s="517"/>
    </row>
    <row r="28" spans="1:5" ht="122.25" customHeight="1">
      <c r="A28" s="171" t="s">
        <v>421</v>
      </c>
      <c r="B28" s="202" t="s">
        <v>912</v>
      </c>
      <c r="C28" s="223">
        <v>124</v>
      </c>
      <c r="E28" s="517"/>
    </row>
    <row r="29" spans="1:5" ht="37.5">
      <c r="A29" s="171" t="s">
        <v>173</v>
      </c>
      <c r="B29" s="202" t="s">
        <v>174</v>
      </c>
      <c r="C29" s="223">
        <f>276+274</f>
        <v>550</v>
      </c>
      <c r="E29" s="517"/>
    </row>
    <row r="30" spans="1:5" ht="37.5">
      <c r="A30" s="171" t="s">
        <v>492</v>
      </c>
      <c r="B30" s="533" t="s">
        <v>565</v>
      </c>
      <c r="C30" s="223">
        <f>1458.3+332.4</f>
        <v>1790.6999999999998</v>
      </c>
      <c r="E30" s="517"/>
    </row>
    <row r="31" spans="1:5" ht="37.5">
      <c r="A31" s="171" t="s">
        <v>175</v>
      </c>
      <c r="B31" s="202" t="s">
        <v>176</v>
      </c>
      <c r="C31" s="223">
        <f>5735+41.3+5395+404.6</f>
        <v>11575.9</v>
      </c>
      <c r="E31" s="517"/>
    </row>
    <row r="32" spans="1:5" ht="22.5" customHeight="1">
      <c r="A32" s="168" t="s">
        <v>177</v>
      </c>
      <c r="B32" s="202" t="s">
        <v>178</v>
      </c>
      <c r="C32" s="223">
        <f>175+2325</f>
        <v>2500</v>
      </c>
      <c r="E32" s="517"/>
    </row>
    <row r="33" spans="1:8">
      <c r="A33" s="284" t="s">
        <v>34</v>
      </c>
      <c r="B33" s="577" t="s">
        <v>367</v>
      </c>
      <c r="C33" s="471">
        <f>C34+C39-C40-C41-C42-C43</f>
        <v>1148012.2123</v>
      </c>
    </row>
    <row r="34" spans="1:8" ht="40.5" customHeight="1">
      <c r="A34" s="261" t="s">
        <v>35</v>
      </c>
      <c r="B34" s="579" t="s">
        <v>36</v>
      </c>
      <c r="C34" s="472">
        <f>C35+C36+C37+C38</f>
        <v>1152238.2</v>
      </c>
    </row>
    <row r="35" spans="1:8" s="581" customFormat="1" ht="37.5">
      <c r="A35" s="261" t="s">
        <v>554</v>
      </c>
      <c r="B35" s="580" t="s">
        <v>413</v>
      </c>
      <c r="C35" s="472">
        <f>'прил.4 (пост.безв.21)'!C15</f>
        <v>212954.6</v>
      </c>
    </row>
    <row r="36" spans="1:8" s="581" customFormat="1" ht="45.75" customHeight="1">
      <c r="A36" s="122" t="s">
        <v>556</v>
      </c>
      <c r="B36" s="534" t="s">
        <v>359</v>
      </c>
      <c r="C36" s="472">
        <f>'прил.4 (пост.безв.21)'!C20</f>
        <v>101140</v>
      </c>
    </row>
    <row r="37" spans="1:8" ht="37.5">
      <c r="A37" s="676" t="s">
        <v>558</v>
      </c>
      <c r="B37" s="580" t="s">
        <v>412</v>
      </c>
      <c r="C37" s="472">
        <f>'прил.4 (пост.безв.21)'!C35</f>
        <v>791435.79999999981</v>
      </c>
    </row>
    <row r="38" spans="1:8">
      <c r="A38" s="261" t="s">
        <v>579</v>
      </c>
      <c r="B38" s="579" t="s">
        <v>179</v>
      </c>
      <c r="C38" s="472">
        <f>'прил.6 (безв.от пос.21) (2)'!C13+'прил.4 (пост.безв.21)'!C71</f>
        <v>46707.799999999996</v>
      </c>
    </row>
    <row r="39" spans="1:8" ht="93.75">
      <c r="A39" s="691" t="s">
        <v>594</v>
      </c>
      <c r="B39" s="170" t="s">
        <v>456</v>
      </c>
      <c r="C39" s="472">
        <v>26.986999999999998</v>
      </c>
    </row>
    <row r="40" spans="1:8" ht="150">
      <c r="A40" s="806" t="s">
        <v>870</v>
      </c>
      <c r="B40" s="807" t="s">
        <v>1031</v>
      </c>
      <c r="C40" s="808">
        <v>0.12476</v>
      </c>
    </row>
    <row r="41" spans="1:8" ht="112.5">
      <c r="A41" s="806" t="s">
        <v>985</v>
      </c>
      <c r="B41" s="807" t="s">
        <v>987</v>
      </c>
      <c r="C41" s="808">
        <v>2549.8816000000002</v>
      </c>
    </row>
    <row r="42" spans="1:8" ht="131.25">
      <c r="A42" s="806" t="s">
        <v>986</v>
      </c>
      <c r="B42" s="807" t="s">
        <v>988</v>
      </c>
      <c r="C42" s="808">
        <v>475.17777000000001</v>
      </c>
    </row>
    <row r="43" spans="1:8" ht="75">
      <c r="A43" s="806" t="s">
        <v>564</v>
      </c>
      <c r="B43" s="807" t="s">
        <v>457</v>
      </c>
      <c r="C43" s="808">
        <v>1227.7905699999999</v>
      </c>
    </row>
    <row r="44" spans="1:8">
      <c r="A44" s="677"/>
      <c r="B44" s="577" t="s">
        <v>180</v>
      </c>
      <c r="C44" s="473">
        <f>C33+C13</f>
        <v>1635989.5123000001</v>
      </c>
    </row>
    <row r="45" spans="1:8" ht="60.6" customHeight="1">
      <c r="A45" s="834" t="s">
        <v>368</v>
      </c>
      <c r="B45" s="834"/>
      <c r="C45" s="834"/>
    </row>
    <row r="46" spans="1:8">
      <c r="A46" s="678"/>
    </row>
    <row r="47" spans="1:8">
      <c r="A47" s="678"/>
    </row>
    <row r="48" spans="1:8" s="250" customFormat="1">
      <c r="A48" s="344" t="s">
        <v>467</v>
      </c>
      <c r="B48" s="253"/>
      <c r="C48" s="254"/>
      <c r="D48" s="254"/>
      <c r="E48" s="254"/>
      <c r="F48" s="178"/>
      <c r="G48" s="343"/>
      <c r="H48" s="394"/>
    </row>
    <row r="49" spans="1:8" s="250" customFormat="1">
      <c r="A49" s="344" t="s">
        <v>468</v>
      </c>
      <c r="B49" s="253"/>
      <c r="C49" s="254"/>
      <c r="D49" s="254"/>
      <c r="E49" s="254"/>
      <c r="F49" s="178"/>
      <c r="G49" s="343"/>
      <c r="H49" s="394"/>
    </row>
    <row r="50" spans="1:8" s="250" customFormat="1">
      <c r="A50" s="345" t="s">
        <v>469</v>
      </c>
      <c r="B50" s="253"/>
      <c r="C50" s="346" t="s">
        <v>494</v>
      </c>
      <c r="D50" s="254"/>
      <c r="E50" s="254"/>
      <c r="F50" s="178"/>
    </row>
    <row r="52" spans="1:8">
      <c r="B52" s="679"/>
      <c r="C52" s="475"/>
    </row>
    <row r="53" spans="1:8">
      <c r="B53" s="679"/>
      <c r="C53" s="475"/>
    </row>
    <row r="60" spans="1:8">
      <c r="B60" s="476"/>
      <c r="C60" s="476"/>
    </row>
    <row r="61" spans="1:8">
      <c r="B61" s="476"/>
      <c r="C61" s="476"/>
    </row>
    <row r="62" spans="1:8">
      <c r="B62" s="476"/>
      <c r="C62" s="476"/>
    </row>
    <row r="63" spans="1:8">
      <c r="B63" s="476"/>
      <c r="C63" s="476"/>
    </row>
    <row r="64" spans="1:8">
      <c r="B64" s="476"/>
      <c r="C64" s="476"/>
    </row>
    <row r="65" spans="2:3">
      <c r="B65" s="476"/>
      <c r="C65" s="476"/>
    </row>
    <row r="66" spans="2:3">
      <c r="B66" s="476"/>
      <c r="C66" s="476"/>
    </row>
    <row r="67" spans="2:3">
      <c r="B67" s="476"/>
      <c r="C67" s="476"/>
    </row>
    <row r="68" spans="2:3">
      <c r="B68" s="476"/>
      <c r="C68" s="476"/>
    </row>
    <row r="69" spans="2:3">
      <c r="B69" s="476"/>
      <c r="C69" s="476"/>
    </row>
    <row r="70" spans="2:3">
      <c r="B70" s="476"/>
      <c r="C70" s="476"/>
    </row>
    <row r="71" spans="2:3">
      <c r="B71" s="476"/>
      <c r="C71" s="476"/>
    </row>
    <row r="72" spans="2:3">
      <c r="B72" s="476"/>
      <c r="C72" s="476"/>
    </row>
    <row r="73" spans="2:3">
      <c r="B73" s="476"/>
      <c r="C73" s="476"/>
    </row>
    <row r="74" spans="2:3">
      <c r="B74" s="476"/>
      <c r="C74" s="476"/>
    </row>
    <row r="75" spans="2:3">
      <c r="B75" s="476"/>
      <c r="C75" s="476"/>
    </row>
    <row r="76" spans="2:3">
      <c r="B76" s="476"/>
      <c r="C76" s="476"/>
    </row>
    <row r="77" spans="2:3">
      <c r="B77" s="476"/>
      <c r="C77" s="476"/>
    </row>
    <row r="78" spans="2:3">
      <c r="B78" s="476"/>
      <c r="C78" s="476"/>
    </row>
    <row r="79" spans="2:3">
      <c r="B79" s="476"/>
      <c r="C79" s="476"/>
    </row>
    <row r="80" spans="2:3">
      <c r="B80" s="476"/>
      <c r="C80" s="476"/>
    </row>
    <row r="81" spans="2:3">
      <c r="B81" s="476"/>
      <c r="C81" s="476"/>
    </row>
    <row r="82" spans="2:3">
      <c r="B82" s="476"/>
      <c r="C82" s="476"/>
    </row>
    <row r="83" spans="2:3">
      <c r="B83" s="476"/>
      <c r="C83" s="476"/>
    </row>
    <row r="84" spans="2:3">
      <c r="B84" s="476"/>
      <c r="C84" s="476"/>
    </row>
    <row r="85" spans="2:3">
      <c r="B85" s="476"/>
      <c r="C85" s="476"/>
    </row>
    <row r="86" spans="2:3">
      <c r="B86" s="476"/>
      <c r="C86" s="476"/>
    </row>
    <row r="87" spans="2:3">
      <c r="B87" s="476"/>
      <c r="C87" s="476"/>
    </row>
    <row r="88" spans="2:3">
      <c r="B88" s="476"/>
      <c r="C88" s="476"/>
    </row>
    <row r="89" spans="2:3">
      <c r="B89" s="476"/>
      <c r="C89" s="476"/>
    </row>
    <row r="90" spans="2:3">
      <c r="B90" s="476"/>
      <c r="C90" s="476"/>
    </row>
    <row r="91" spans="2:3">
      <c r="B91" s="476"/>
      <c r="C91" s="476"/>
    </row>
    <row r="92" spans="2:3">
      <c r="B92" s="476"/>
      <c r="C92" s="476"/>
    </row>
    <row r="93" spans="2:3">
      <c r="B93" s="476"/>
      <c r="C93" s="476"/>
    </row>
    <row r="94" spans="2:3">
      <c r="B94" s="476"/>
      <c r="C94" s="476"/>
    </row>
    <row r="95" spans="2:3">
      <c r="B95" s="476"/>
      <c r="C95" s="476"/>
    </row>
    <row r="96" spans="2:3">
      <c r="B96" s="476"/>
      <c r="C96" s="476"/>
    </row>
    <row r="97" spans="2:3">
      <c r="B97" s="476"/>
      <c r="C97" s="476"/>
    </row>
    <row r="98" spans="2:3">
      <c r="B98" s="476"/>
      <c r="C98" s="476"/>
    </row>
    <row r="99" spans="2:3">
      <c r="B99" s="476"/>
      <c r="C99" s="476"/>
    </row>
    <row r="100" spans="2:3">
      <c r="B100" s="476"/>
      <c r="C100" s="476"/>
    </row>
    <row r="101" spans="2:3">
      <c r="B101" s="476"/>
      <c r="C101" s="476"/>
    </row>
    <row r="102" spans="2:3">
      <c r="B102" s="476"/>
      <c r="C102" s="476"/>
    </row>
    <row r="103" spans="2:3">
      <c r="B103" s="476"/>
      <c r="C103" s="476"/>
    </row>
    <row r="104" spans="2:3">
      <c r="B104" s="476"/>
      <c r="C104" s="476"/>
    </row>
    <row r="105" spans="2:3">
      <c r="B105" s="476"/>
      <c r="C105" s="476"/>
    </row>
    <row r="106" spans="2:3">
      <c r="B106" s="476"/>
      <c r="C106" s="476"/>
    </row>
    <row r="107" spans="2:3">
      <c r="B107" s="476"/>
      <c r="C107" s="476"/>
    </row>
    <row r="108" spans="2:3">
      <c r="B108" s="476"/>
      <c r="C108" s="476"/>
    </row>
    <row r="109" spans="2:3">
      <c r="B109" s="476"/>
      <c r="C109" s="476"/>
    </row>
    <row r="110" spans="2:3">
      <c r="B110" s="476"/>
      <c r="C110" s="476"/>
    </row>
    <row r="111" spans="2:3">
      <c r="B111" s="476"/>
      <c r="C111" s="476"/>
    </row>
    <row r="112" spans="2:3">
      <c r="B112" s="476"/>
      <c r="C112" s="476"/>
    </row>
    <row r="113" spans="2:3">
      <c r="B113" s="476"/>
      <c r="C113" s="476"/>
    </row>
    <row r="114" spans="2:3">
      <c r="B114" s="476"/>
      <c r="C114" s="476"/>
    </row>
    <row r="115" spans="2:3">
      <c r="B115" s="476"/>
      <c r="C115" s="476"/>
    </row>
    <row r="116" spans="2:3">
      <c r="B116" s="476"/>
      <c r="C116" s="476"/>
    </row>
    <row r="117" spans="2:3">
      <c r="B117" s="476"/>
      <c r="C117" s="476"/>
    </row>
    <row r="118" spans="2:3">
      <c r="B118" s="476"/>
      <c r="C118" s="476"/>
    </row>
    <row r="119" spans="2:3">
      <c r="B119" s="476"/>
      <c r="C119" s="476"/>
    </row>
    <row r="120" spans="2:3">
      <c r="B120" s="476"/>
      <c r="C120" s="476"/>
    </row>
    <row r="121" spans="2:3">
      <c r="B121" s="476"/>
      <c r="C121" s="476"/>
    </row>
    <row r="122" spans="2:3">
      <c r="B122" s="476"/>
      <c r="C122" s="476"/>
    </row>
    <row r="123" spans="2:3">
      <c r="B123" s="476"/>
      <c r="C123" s="476"/>
    </row>
    <row r="124" spans="2:3">
      <c r="B124" s="476"/>
      <c r="C124" s="476"/>
    </row>
    <row r="125" spans="2:3">
      <c r="B125" s="476"/>
      <c r="C125" s="476"/>
    </row>
    <row r="126" spans="2:3">
      <c r="B126" s="476"/>
      <c r="C126" s="476"/>
    </row>
    <row r="127" spans="2:3">
      <c r="B127" s="476"/>
      <c r="C127" s="476"/>
    </row>
    <row r="128" spans="2:3">
      <c r="B128" s="476"/>
      <c r="C128" s="476"/>
    </row>
    <row r="129" spans="2:3">
      <c r="B129" s="476"/>
      <c r="C129" s="476"/>
    </row>
    <row r="130" spans="2:3">
      <c r="B130" s="476"/>
      <c r="C130" s="476"/>
    </row>
    <row r="131" spans="2:3">
      <c r="B131" s="476"/>
      <c r="C131" s="476"/>
    </row>
    <row r="132" spans="2:3">
      <c r="B132" s="476"/>
      <c r="C132" s="476"/>
    </row>
    <row r="133" spans="2:3">
      <c r="B133" s="476"/>
      <c r="C133" s="476"/>
    </row>
    <row r="134" spans="2:3">
      <c r="B134" s="476"/>
      <c r="C134" s="476"/>
    </row>
    <row r="135" spans="2:3">
      <c r="B135" s="476"/>
      <c r="C135" s="476"/>
    </row>
    <row r="136" spans="2:3">
      <c r="B136" s="476"/>
      <c r="C136" s="476"/>
    </row>
    <row r="137" spans="2:3">
      <c r="B137" s="476"/>
      <c r="C137" s="476"/>
    </row>
  </sheetData>
  <mergeCells count="2">
    <mergeCell ref="A8:C8"/>
    <mergeCell ref="A45:C45"/>
  </mergeCells>
  <printOptions horizontalCentered="1"/>
  <pageMargins left="1.1811023622047245" right="0.39370078740157483" top="0.78740157480314965" bottom="0.78740157480314965" header="0.39370078740157483" footer="0.39370078740157483"/>
  <pageSetup paperSize="9" scale="81" fitToHeight="0" orientation="portrait" blackAndWhite="1" errors="blank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H35"/>
  <sheetViews>
    <sheetView tabSelected="1" zoomScale="90" zoomScaleNormal="90" zoomScaleSheetLayoutView="75" workbookViewId="0">
      <selection activeCell="D2" sqref="D2"/>
    </sheetView>
  </sheetViews>
  <sheetFormatPr defaultColWidth="9.140625" defaultRowHeight="18.75"/>
  <cols>
    <col min="1" max="1" width="4.85546875" style="10" customWidth="1"/>
    <col min="2" max="2" width="76" style="35" customWidth="1"/>
    <col min="3" max="3" width="12" style="35" customWidth="1"/>
    <col min="4" max="4" width="12.5703125" style="10" customWidth="1"/>
    <col min="5" max="16384" width="9.140625" style="10"/>
  </cols>
  <sheetData>
    <row r="1" spans="1:8" s="563" customFormat="1">
      <c r="D1" s="172" t="s">
        <v>575</v>
      </c>
    </row>
    <row r="2" spans="1:8" s="563" customFormat="1">
      <c r="D2" s="172" t="s">
        <v>1036</v>
      </c>
    </row>
    <row r="4" spans="1:8">
      <c r="D4" s="1" t="s">
        <v>575</v>
      </c>
    </row>
    <row r="5" spans="1:8">
      <c r="D5" s="455" t="s">
        <v>914</v>
      </c>
    </row>
    <row r="6" spans="1:8" s="20" customFormat="1" ht="17.45" customHeight="1">
      <c r="A6" s="10"/>
      <c r="B6" s="10"/>
      <c r="C6" s="10"/>
    </row>
    <row r="8" spans="1:8" s="82" customFormat="1">
      <c r="A8" s="917" t="s">
        <v>680</v>
      </c>
      <c r="B8" s="918"/>
      <c r="C8" s="918"/>
      <c r="D8" s="918"/>
    </row>
    <row r="9" spans="1:8" s="82" customFormat="1" ht="20.45" customHeight="1">
      <c r="A9" s="919" t="s">
        <v>832</v>
      </c>
      <c r="B9" s="920"/>
      <c r="C9" s="920"/>
      <c r="D9" s="920"/>
    </row>
    <row r="10" spans="1:8" s="82" customFormat="1">
      <c r="A10" s="83"/>
      <c r="B10" s="84"/>
      <c r="C10" s="84"/>
    </row>
    <row r="11" spans="1:8" s="82" customFormat="1" ht="36" customHeight="1">
      <c r="A11" s="921" t="s">
        <v>785</v>
      </c>
      <c r="B11" s="922"/>
      <c r="C11" s="922"/>
      <c r="D11" s="922"/>
    </row>
    <row r="12" spans="1:8" s="82" customFormat="1">
      <c r="A12" s="83"/>
      <c r="B12" s="84"/>
      <c r="C12" s="84"/>
    </row>
    <row r="13" spans="1:8" s="82" customFormat="1">
      <c r="A13" s="83"/>
      <c r="B13" s="84"/>
      <c r="C13" s="84"/>
      <c r="D13" s="85" t="s">
        <v>279</v>
      </c>
    </row>
    <row r="14" spans="1:8" s="82" customFormat="1" ht="37.5">
      <c r="A14" s="86" t="s">
        <v>280</v>
      </c>
      <c r="B14" s="87" t="s">
        <v>449</v>
      </c>
      <c r="C14" s="88"/>
      <c r="D14" s="88" t="s">
        <v>290</v>
      </c>
    </row>
    <row r="15" spans="1:8" s="82" customFormat="1">
      <c r="A15" s="86">
        <v>1</v>
      </c>
      <c r="B15" s="86">
        <v>2</v>
      </c>
      <c r="C15" s="89"/>
      <c r="D15" s="88">
        <v>3</v>
      </c>
    </row>
    <row r="16" spans="1:8" s="82" customFormat="1" ht="56.25">
      <c r="A16" s="923" t="s">
        <v>281</v>
      </c>
      <c r="B16" s="90" t="s">
        <v>824</v>
      </c>
      <c r="C16" s="91"/>
      <c r="D16" s="109">
        <f>D18-D19</f>
        <v>-6816</v>
      </c>
      <c r="F16" s="92"/>
      <c r="G16" s="92"/>
      <c r="H16" s="92"/>
    </row>
    <row r="17" spans="1:8" s="82" customFormat="1">
      <c r="A17" s="924"/>
      <c r="B17" s="93" t="s">
        <v>184</v>
      </c>
      <c r="C17" s="94"/>
      <c r="D17" s="110"/>
      <c r="F17" s="92"/>
      <c r="G17" s="92"/>
      <c r="H17" s="92"/>
    </row>
    <row r="18" spans="1:8" s="82" customFormat="1">
      <c r="A18" s="924"/>
      <c r="B18" s="93" t="s">
        <v>825</v>
      </c>
      <c r="C18" s="94"/>
      <c r="D18" s="110">
        <v>0</v>
      </c>
      <c r="F18" s="95"/>
      <c r="G18" s="95"/>
      <c r="H18" s="92"/>
    </row>
    <row r="19" spans="1:8" s="82" customFormat="1">
      <c r="A19" s="924"/>
      <c r="B19" s="96" t="s">
        <v>291</v>
      </c>
      <c r="C19" s="97"/>
      <c r="D19" s="235">
        <v>6816</v>
      </c>
    </row>
    <row r="20" spans="1:8" s="82" customFormat="1">
      <c r="B20" s="161"/>
      <c r="C20" s="161"/>
      <c r="D20" s="98"/>
    </row>
    <row r="21" spans="1:8" s="82" customFormat="1" ht="42" customHeight="1">
      <c r="A21" s="925" t="s">
        <v>784</v>
      </c>
      <c r="B21" s="926"/>
      <c r="C21" s="926"/>
      <c r="D21" s="926"/>
    </row>
    <row r="22" spans="1:8" s="82" customFormat="1">
      <c r="A22" s="83"/>
      <c r="B22" s="84"/>
      <c r="C22" s="84"/>
    </row>
    <row r="23" spans="1:8" s="82" customFormat="1">
      <c r="A23" s="83"/>
      <c r="B23" s="84"/>
      <c r="C23" s="84"/>
      <c r="D23" s="85" t="s">
        <v>279</v>
      </c>
    </row>
    <row r="24" spans="1:8" s="82" customFormat="1" ht="21.6" customHeight="1">
      <c r="A24" s="927" t="s">
        <v>280</v>
      </c>
      <c r="B24" s="927" t="s">
        <v>449</v>
      </c>
      <c r="C24" s="915" t="s">
        <v>290</v>
      </c>
      <c r="D24" s="915"/>
    </row>
    <row r="25" spans="1:8" s="82" customFormat="1" ht="25.15" customHeight="1">
      <c r="A25" s="927"/>
      <c r="B25" s="927"/>
      <c r="C25" s="162" t="s">
        <v>580</v>
      </c>
      <c r="D25" s="162" t="s">
        <v>773</v>
      </c>
    </row>
    <row r="26" spans="1:8" s="82" customFormat="1">
      <c r="A26" s="162">
        <v>1</v>
      </c>
      <c r="B26" s="162">
        <v>2</v>
      </c>
      <c r="C26" s="162">
        <v>3</v>
      </c>
      <c r="D26" s="162">
        <v>4</v>
      </c>
    </row>
    <row r="27" spans="1:8" s="82" customFormat="1" ht="56.25" customHeight="1">
      <c r="A27" s="916" t="s">
        <v>281</v>
      </c>
      <c r="B27" s="99" t="s">
        <v>824</v>
      </c>
      <c r="C27" s="109">
        <f>C29-C30</f>
        <v>-10224</v>
      </c>
      <c r="D27" s="236">
        <f>D29-D30</f>
        <v>0</v>
      </c>
    </row>
    <row r="28" spans="1:8" s="82" customFormat="1" ht="17.100000000000001" customHeight="1">
      <c r="A28" s="916"/>
      <c r="B28" s="100" t="s">
        <v>184</v>
      </c>
      <c r="C28" s="110"/>
      <c r="D28" s="237"/>
    </row>
    <row r="29" spans="1:8" s="82" customFormat="1" ht="17.100000000000001" customHeight="1">
      <c r="A29" s="916"/>
      <c r="B29" s="100" t="s">
        <v>825</v>
      </c>
      <c r="C29" s="110">
        <v>0</v>
      </c>
      <c r="D29" s="237">
        <v>0</v>
      </c>
    </row>
    <row r="30" spans="1:8" s="82" customFormat="1" ht="18" customHeight="1">
      <c r="A30" s="916"/>
      <c r="B30" s="101" t="s">
        <v>291</v>
      </c>
      <c r="C30" s="111">
        <v>10224</v>
      </c>
      <c r="D30" s="238">
        <v>0</v>
      </c>
    </row>
    <row r="31" spans="1:8" ht="16.5" customHeight="1">
      <c r="A31" s="71"/>
      <c r="B31" s="72"/>
      <c r="C31" s="72"/>
      <c r="D31" s="73"/>
    </row>
    <row r="33" spans="1:8" s="14" customFormat="1">
      <c r="A33" s="67" t="s">
        <v>467</v>
      </c>
      <c r="B33" s="16"/>
      <c r="C33" s="17"/>
      <c r="D33" s="17"/>
      <c r="E33" s="17"/>
      <c r="F33" s="18"/>
      <c r="G33" s="19"/>
      <c r="H33" s="15"/>
    </row>
    <row r="34" spans="1:8" s="14" customFormat="1">
      <c r="A34" s="67" t="s">
        <v>468</v>
      </c>
      <c r="B34" s="16"/>
      <c r="C34" s="17"/>
      <c r="E34" s="17"/>
      <c r="F34" s="18"/>
      <c r="G34" s="19"/>
      <c r="H34" s="15"/>
    </row>
    <row r="35" spans="1:8" s="14" customFormat="1">
      <c r="A35" s="68" t="s">
        <v>469</v>
      </c>
      <c r="D35" s="13" t="s">
        <v>494</v>
      </c>
      <c r="E35" s="17"/>
    </row>
  </sheetData>
  <mergeCells count="9">
    <mergeCell ref="C24:D24"/>
    <mergeCell ref="A27:A30"/>
    <mergeCell ref="A8:D8"/>
    <mergeCell ref="A9:D9"/>
    <mergeCell ref="A11:D11"/>
    <mergeCell ref="A16:A19"/>
    <mergeCell ref="A21:D21"/>
    <mergeCell ref="A24:A25"/>
    <mergeCell ref="B24:B25"/>
  </mergeCells>
  <printOptions horizontalCentered="1"/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2:K26"/>
  <sheetViews>
    <sheetView zoomScale="80" zoomScaleNormal="80" zoomScaleSheetLayoutView="75" workbookViewId="0">
      <selection sqref="A1:XFD2"/>
    </sheetView>
  </sheetViews>
  <sheetFormatPr defaultColWidth="9.140625" defaultRowHeight="18.75"/>
  <cols>
    <col min="1" max="1" width="5.28515625" style="33" customWidth="1"/>
    <col min="2" max="2" width="7" style="33" customWidth="1"/>
    <col min="3" max="3" width="11.28515625" style="33" customWidth="1"/>
    <col min="4" max="4" width="18.140625" style="33" customWidth="1"/>
    <col min="5" max="5" width="7" style="33" customWidth="1"/>
    <col min="6" max="6" width="6.7109375" style="33" customWidth="1"/>
    <col min="7" max="7" width="7.7109375" style="33" customWidth="1"/>
    <col min="8" max="8" width="16.28515625" style="33" customWidth="1"/>
    <col min="9" max="9" width="20.140625" style="33" customWidth="1"/>
    <col min="10" max="10" width="14.42578125" style="33" customWidth="1"/>
    <col min="11" max="11" width="13" style="33" customWidth="1"/>
    <col min="12" max="16384" width="9.140625" style="33"/>
  </cols>
  <sheetData>
    <row r="2" spans="1:11">
      <c r="F2" s="2"/>
      <c r="G2" s="2"/>
      <c r="J2" s="30" t="s">
        <v>576</v>
      </c>
      <c r="K2" s="30"/>
    </row>
    <row r="3" spans="1:11">
      <c r="F3" s="2"/>
      <c r="G3" s="2"/>
      <c r="J3" s="455" t="s">
        <v>914</v>
      </c>
      <c r="K3" s="4"/>
    </row>
    <row r="6" spans="1:11">
      <c r="A6" s="930" t="s">
        <v>292</v>
      </c>
      <c r="B6" s="931"/>
      <c r="C6" s="931"/>
      <c r="D6" s="931"/>
      <c r="E6" s="931"/>
      <c r="F6" s="931"/>
      <c r="G6" s="931"/>
      <c r="H6" s="931"/>
      <c r="I6" s="931"/>
      <c r="J6" s="931"/>
    </row>
    <row r="7" spans="1:11">
      <c r="A7" s="930" t="s">
        <v>828</v>
      </c>
      <c r="B7" s="931"/>
      <c r="C7" s="931"/>
      <c r="D7" s="931"/>
      <c r="E7" s="931"/>
      <c r="F7" s="931"/>
      <c r="G7" s="931"/>
      <c r="H7" s="931"/>
      <c r="I7" s="931"/>
      <c r="J7" s="931"/>
    </row>
    <row r="8" spans="1:11">
      <c r="A8" s="102"/>
      <c r="B8" s="102"/>
      <c r="C8" s="103"/>
      <c r="D8" s="103"/>
      <c r="E8" s="103"/>
      <c r="F8" s="103"/>
      <c r="G8" s="103"/>
      <c r="H8" s="103"/>
      <c r="I8" s="103"/>
      <c r="J8" s="103"/>
    </row>
    <row r="9" spans="1:11" ht="39" customHeight="1">
      <c r="A9" s="932" t="s">
        <v>786</v>
      </c>
      <c r="B9" s="933"/>
      <c r="C9" s="933"/>
      <c r="D9" s="933"/>
      <c r="E9" s="933"/>
      <c r="F9" s="933"/>
      <c r="G9" s="933"/>
      <c r="H9" s="933"/>
      <c r="I9" s="933"/>
      <c r="J9" s="933"/>
    </row>
    <row r="10" spans="1:11">
      <c r="A10" s="102"/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1" ht="42" customHeight="1">
      <c r="A11" s="937" t="s">
        <v>182</v>
      </c>
      <c r="B11" s="939" t="s">
        <v>450</v>
      </c>
      <c r="C11" s="940"/>
      <c r="D11" s="943" t="s">
        <v>727</v>
      </c>
      <c r="E11" s="945" t="s">
        <v>293</v>
      </c>
      <c r="F11" s="946"/>
      <c r="G11" s="947"/>
      <c r="H11" s="934" t="s">
        <v>827</v>
      </c>
      <c r="I11" s="935"/>
      <c r="J11" s="936"/>
    </row>
    <row r="12" spans="1:11" ht="187.5">
      <c r="A12" s="938"/>
      <c r="B12" s="941"/>
      <c r="C12" s="942"/>
      <c r="D12" s="944"/>
      <c r="E12" s="555" t="s">
        <v>553</v>
      </c>
      <c r="F12" s="555" t="s">
        <v>580</v>
      </c>
      <c r="G12" s="555" t="s">
        <v>773</v>
      </c>
      <c r="H12" s="561" t="s">
        <v>728</v>
      </c>
      <c r="I12" s="561" t="s">
        <v>826</v>
      </c>
      <c r="J12" s="561" t="s">
        <v>294</v>
      </c>
    </row>
    <row r="13" spans="1:11">
      <c r="A13" s="556">
        <v>1</v>
      </c>
      <c r="B13" s="928">
        <v>2</v>
      </c>
      <c r="C13" s="929"/>
      <c r="D13" s="556">
        <v>3</v>
      </c>
      <c r="E13" s="556">
        <v>4</v>
      </c>
      <c r="F13" s="556">
        <v>5</v>
      </c>
      <c r="G13" s="556">
        <v>6</v>
      </c>
      <c r="H13" s="556">
        <v>7</v>
      </c>
      <c r="I13" s="556">
        <v>8</v>
      </c>
      <c r="J13" s="556">
        <v>9</v>
      </c>
    </row>
    <row r="14" spans="1:11">
      <c r="A14" s="104"/>
      <c r="B14" s="928" t="s">
        <v>295</v>
      </c>
      <c r="C14" s="929"/>
      <c r="D14" s="556" t="s">
        <v>295</v>
      </c>
      <c r="E14" s="556" t="s">
        <v>295</v>
      </c>
      <c r="F14" s="556" t="s">
        <v>295</v>
      </c>
      <c r="G14" s="556" t="s">
        <v>295</v>
      </c>
      <c r="H14" s="556" t="s">
        <v>295</v>
      </c>
      <c r="I14" s="556" t="s">
        <v>295</v>
      </c>
      <c r="J14" s="556" t="s">
        <v>295</v>
      </c>
    </row>
    <row r="15" spans="1:11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1" ht="59.25" customHeight="1">
      <c r="A16" s="932" t="s">
        <v>829</v>
      </c>
      <c r="B16" s="933"/>
      <c r="C16" s="933"/>
      <c r="D16" s="933"/>
      <c r="E16" s="933"/>
      <c r="F16" s="933"/>
      <c r="G16" s="933"/>
      <c r="H16" s="933"/>
      <c r="I16" s="933"/>
      <c r="J16" s="933"/>
    </row>
    <row r="17" spans="1:10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>
      <c r="A18" s="939" t="s">
        <v>296</v>
      </c>
      <c r="B18" s="948"/>
      <c r="C18" s="948"/>
      <c r="D18" s="948"/>
      <c r="E18" s="948"/>
      <c r="F18" s="948"/>
      <c r="G18" s="948"/>
      <c r="H18" s="951" t="s">
        <v>830</v>
      </c>
      <c r="I18" s="952"/>
      <c r="J18" s="952"/>
    </row>
    <row r="19" spans="1:10" ht="59.25" customHeight="1">
      <c r="A19" s="949"/>
      <c r="B19" s="950"/>
      <c r="C19" s="950"/>
      <c r="D19" s="950"/>
      <c r="E19" s="950"/>
      <c r="F19" s="950"/>
      <c r="G19" s="950"/>
      <c r="H19" s="555" t="s">
        <v>553</v>
      </c>
      <c r="I19" s="555" t="s">
        <v>580</v>
      </c>
      <c r="J19" s="555" t="s">
        <v>773</v>
      </c>
    </row>
    <row r="20" spans="1:10">
      <c r="A20" s="951">
        <v>1</v>
      </c>
      <c r="B20" s="953"/>
      <c r="C20" s="953"/>
      <c r="D20" s="953"/>
      <c r="E20" s="953"/>
      <c r="F20" s="953"/>
      <c r="G20" s="953"/>
      <c r="H20" s="105">
        <v>2</v>
      </c>
      <c r="I20" s="105">
        <v>3</v>
      </c>
      <c r="J20" s="105">
        <v>4</v>
      </c>
    </row>
    <row r="21" spans="1:10">
      <c r="A21" s="954" t="s">
        <v>295</v>
      </c>
      <c r="B21" s="955"/>
      <c r="C21" s="955"/>
      <c r="D21" s="955"/>
      <c r="E21" s="955"/>
      <c r="F21" s="955"/>
      <c r="G21" s="955"/>
      <c r="H21" s="556" t="s">
        <v>295</v>
      </c>
      <c r="I21" s="556" t="s">
        <v>295</v>
      </c>
      <c r="J21" s="556" t="s">
        <v>295</v>
      </c>
    </row>
    <row r="24" spans="1:10">
      <c r="A24" s="67" t="s">
        <v>467</v>
      </c>
      <c r="B24" s="16"/>
      <c r="C24" s="17"/>
      <c r="D24" s="17"/>
      <c r="E24" s="17"/>
      <c r="F24" s="18"/>
      <c r="G24" s="19"/>
      <c r="H24" s="15"/>
      <c r="I24" s="14"/>
      <c r="J24" s="14"/>
    </row>
    <row r="25" spans="1:10">
      <c r="A25" s="67" t="s">
        <v>468</v>
      </c>
      <c r="B25" s="16"/>
      <c r="C25" s="17"/>
      <c r="D25" s="14"/>
      <c r="E25" s="17"/>
      <c r="F25" s="18"/>
      <c r="G25" s="19"/>
      <c r="H25" s="15"/>
      <c r="I25" s="14"/>
      <c r="J25" s="14"/>
    </row>
    <row r="26" spans="1:10" ht="22.5" customHeight="1">
      <c r="A26" s="68" t="s">
        <v>469</v>
      </c>
      <c r="B26" s="14"/>
      <c r="C26" s="14"/>
      <c r="D26" s="14"/>
      <c r="E26" s="17"/>
      <c r="F26" s="14"/>
      <c r="G26" s="14"/>
      <c r="H26" s="14"/>
      <c r="I26" s="14"/>
      <c r="J26" s="13" t="s">
        <v>494</v>
      </c>
    </row>
  </sheetData>
  <mergeCells count="15">
    <mergeCell ref="A16:J16"/>
    <mergeCell ref="A18:G19"/>
    <mergeCell ref="H18:J18"/>
    <mergeCell ref="A20:G20"/>
    <mergeCell ref="A21:G21"/>
    <mergeCell ref="B14:C14"/>
    <mergeCell ref="A6:J6"/>
    <mergeCell ref="A7:J7"/>
    <mergeCell ref="A9:J9"/>
    <mergeCell ref="H11:J11"/>
    <mergeCell ref="B13:C13"/>
    <mergeCell ref="A11:A12"/>
    <mergeCell ref="B11:C12"/>
    <mergeCell ref="D11:D12"/>
    <mergeCell ref="E11:G11"/>
  </mergeCells>
  <printOptions horizontalCentered="1"/>
  <pageMargins left="1.1811023622047245" right="0.39370078740157483" top="0.78740157480314965" bottom="0.78740157480314965" header="0.51181102362204722" footer="0.51181102362204722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31"/>
  <sheetViews>
    <sheetView zoomScaleSheetLayoutView="80" workbookViewId="0">
      <selection activeCell="F8" sqref="F8"/>
    </sheetView>
  </sheetViews>
  <sheetFormatPr defaultRowHeight="15"/>
  <cols>
    <col min="1" max="1" width="4.85546875" customWidth="1"/>
    <col min="2" max="2" width="76" customWidth="1"/>
    <col min="3" max="3" width="12" customWidth="1"/>
    <col min="4" max="4" width="12.5703125" customWidth="1"/>
  </cols>
  <sheetData>
    <row r="2" spans="1:4" ht="18.75">
      <c r="A2" s="563"/>
      <c r="B2" s="563"/>
      <c r="C2" s="563"/>
      <c r="D2" s="172" t="s">
        <v>835</v>
      </c>
    </row>
    <row r="3" spans="1:4" ht="18.75">
      <c r="A3" s="563"/>
      <c r="B3" s="563"/>
      <c r="C3" s="563"/>
      <c r="D3" s="455" t="s">
        <v>914</v>
      </c>
    </row>
    <row r="4" spans="1:4" ht="18.75">
      <c r="A4" s="10"/>
      <c r="B4" s="35"/>
      <c r="C4" s="35"/>
      <c r="D4" s="10"/>
    </row>
    <row r="5" spans="1:4" ht="18.75">
      <c r="A5" s="10"/>
      <c r="B5" s="35"/>
      <c r="C5" s="35"/>
      <c r="D5" s="10"/>
    </row>
    <row r="6" spans="1:4" ht="15.75">
      <c r="A6" s="919" t="s">
        <v>831</v>
      </c>
      <c r="B6" s="959"/>
      <c r="C6" s="959"/>
      <c r="D6" s="959"/>
    </row>
    <row r="7" spans="1:4" ht="15.75">
      <c r="A7" s="919" t="s">
        <v>832</v>
      </c>
      <c r="B7" s="920"/>
      <c r="C7" s="920"/>
      <c r="D7" s="920"/>
    </row>
    <row r="8" spans="1:4" ht="18.75">
      <c r="A8" s="83"/>
      <c r="B8" s="84"/>
      <c r="C8" s="84"/>
      <c r="D8" s="82"/>
    </row>
    <row r="9" spans="1:4" ht="39" customHeight="1">
      <c r="A9" s="921" t="s">
        <v>833</v>
      </c>
      <c r="B9" s="922"/>
      <c r="C9" s="922"/>
      <c r="D9" s="922"/>
    </row>
    <row r="10" spans="1:4" ht="18.75">
      <c r="A10" s="83"/>
      <c r="B10" s="84"/>
      <c r="C10" s="84"/>
      <c r="D10" s="82"/>
    </row>
    <row r="11" spans="1:4" ht="15.75">
      <c r="A11" s="83"/>
      <c r="B11" s="84"/>
      <c r="C11" s="84"/>
      <c r="D11" s="85"/>
    </row>
    <row r="12" spans="1:4" ht="37.5">
      <c r="A12" s="86" t="s">
        <v>280</v>
      </c>
      <c r="B12" s="87" t="s">
        <v>449</v>
      </c>
      <c r="C12" s="88"/>
      <c r="D12" s="88" t="s">
        <v>290</v>
      </c>
    </row>
    <row r="13" spans="1:4" ht="18.75">
      <c r="A13" s="86">
        <v>1</v>
      </c>
      <c r="B13" s="86">
        <v>2</v>
      </c>
      <c r="C13" s="89"/>
      <c r="D13" s="564">
        <v>3</v>
      </c>
    </row>
    <row r="14" spans="1:4" ht="75">
      <c r="A14" s="923" t="s">
        <v>281</v>
      </c>
      <c r="B14" s="90" t="s">
        <v>834</v>
      </c>
      <c r="C14" s="565"/>
      <c r="D14" s="566"/>
    </row>
    <row r="15" spans="1:4" ht="18.75">
      <c r="A15" s="924"/>
      <c r="B15" s="93" t="s">
        <v>825</v>
      </c>
      <c r="C15" s="567"/>
      <c r="D15" s="568" t="s">
        <v>295</v>
      </c>
    </row>
    <row r="16" spans="1:4" ht="18.75">
      <c r="A16" s="924"/>
      <c r="B16" s="96" t="s">
        <v>291</v>
      </c>
      <c r="C16" s="569"/>
      <c r="D16" s="235" t="s">
        <v>295</v>
      </c>
    </row>
    <row r="17" spans="1:4" ht="18.75">
      <c r="A17" s="82"/>
      <c r="B17" s="557"/>
      <c r="C17" s="557"/>
      <c r="D17" s="98"/>
    </row>
    <row r="18" spans="1:4" ht="43.5" customHeight="1">
      <c r="A18" s="925" t="s">
        <v>877</v>
      </c>
      <c r="B18" s="926"/>
      <c r="C18" s="926"/>
      <c r="D18" s="926"/>
    </row>
    <row r="19" spans="1:4" ht="18.75">
      <c r="A19" s="83"/>
      <c r="B19" s="84"/>
      <c r="C19" s="84"/>
      <c r="D19" s="82"/>
    </row>
    <row r="20" spans="1:4" ht="15.75">
      <c r="A20" s="83"/>
      <c r="B20" s="84"/>
      <c r="C20" s="84"/>
      <c r="D20" s="85"/>
    </row>
    <row r="21" spans="1:4" ht="18.75">
      <c r="A21" s="960" t="s">
        <v>280</v>
      </c>
      <c r="B21" s="927" t="s">
        <v>449</v>
      </c>
      <c r="C21" s="915" t="s">
        <v>290</v>
      </c>
      <c r="D21" s="915"/>
    </row>
    <row r="22" spans="1:4" ht="18.75">
      <c r="A22" s="961"/>
      <c r="B22" s="927"/>
      <c r="C22" s="558" t="s">
        <v>580</v>
      </c>
      <c r="D22" s="558" t="s">
        <v>773</v>
      </c>
    </row>
    <row r="23" spans="1:4" ht="18.75">
      <c r="A23" s="558">
        <v>1</v>
      </c>
      <c r="B23" s="558">
        <v>2</v>
      </c>
      <c r="C23" s="564">
        <v>3</v>
      </c>
      <c r="D23" s="564">
        <v>4</v>
      </c>
    </row>
    <row r="24" spans="1:4" ht="75">
      <c r="A24" s="956" t="s">
        <v>281</v>
      </c>
      <c r="B24" s="90" t="s">
        <v>834</v>
      </c>
      <c r="C24" s="109"/>
      <c r="D24" s="570"/>
    </row>
    <row r="25" spans="1:4" ht="18.75">
      <c r="A25" s="957"/>
      <c r="B25" s="93" t="s">
        <v>825</v>
      </c>
      <c r="C25" s="110" t="s">
        <v>295</v>
      </c>
      <c r="D25" s="571" t="s">
        <v>295</v>
      </c>
    </row>
    <row r="26" spans="1:4" ht="18.75">
      <c r="A26" s="958"/>
      <c r="B26" s="96" t="s">
        <v>291</v>
      </c>
      <c r="C26" s="111" t="s">
        <v>295</v>
      </c>
      <c r="D26" s="572" t="s">
        <v>295</v>
      </c>
    </row>
    <row r="27" spans="1:4" ht="18.75">
      <c r="A27" s="71"/>
      <c r="B27" s="72"/>
      <c r="C27" s="72"/>
      <c r="D27" s="73"/>
    </row>
    <row r="28" spans="1:4" ht="18.75">
      <c r="A28" s="10"/>
      <c r="B28" s="35"/>
      <c r="C28" s="35"/>
      <c r="D28" s="10"/>
    </row>
    <row r="29" spans="1:4" ht="18.75">
      <c r="A29" s="67" t="s">
        <v>467</v>
      </c>
      <c r="B29" s="16"/>
      <c r="C29" s="17"/>
      <c r="D29" s="17"/>
    </row>
    <row r="30" spans="1:4" ht="18.75">
      <c r="A30" s="67" t="s">
        <v>468</v>
      </c>
      <c r="B30" s="16"/>
      <c r="C30" s="17"/>
      <c r="D30" s="14"/>
    </row>
    <row r="31" spans="1:4" ht="18.75">
      <c r="A31" s="68" t="s">
        <v>469</v>
      </c>
      <c r="B31" s="14"/>
      <c r="C31" s="14"/>
      <c r="D31" s="13" t="s">
        <v>494</v>
      </c>
    </row>
  </sheetData>
  <mergeCells count="9">
    <mergeCell ref="A24:A26"/>
    <mergeCell ref="A6:D6"/>
    <mergeCell ref="A7:D7"/>
    <mergeCell ref="A9:D9"/>
    <mergeCell ref="A14:A16"/>
    <mergeCell ref="A18:D18"/>
    <mergeCell ref="A21:A22"/>
    <mergeCell ref="B21:B22"/>
    <mergeCell ref="C21:D21"/>
  </mergeCells>
  <pageMargins left="0.7" right="0.7" top="0.75" bottom="0.75" header="0.3" footer="0.3"/>
  <pageSetup paperSize="9" scale="8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="90" zoomScaleNormal="90" workbookViewId="0">
      <selection activeCell="P9" sqref="P9"/>
    </sheetView>
  </sheetViews>
  <sheetFormatPr defaultRowHeight="15"/>
  <cols>
    <col min="1" max="1" width="5.28515625" customWidth="1"/>
    <col min="2" max="2" width="7" customWidth="1"/>
    <col min="3" max="3" width="11.28515625" customWidth="1"/>
    <col min="4" max="4" width="18.140625" customWidth="1"/>
    <col min="5" max="5" width="7" customWidth="1"/>
    <col min="6" max="6" width="8" customWidth="1"/>
    <col min="7" max="7" width="7.7109375" customWidth="1"/>
    <col min="8" max="8" width="16.28515625" customWidth="1"/>
    <col min="9" max="9" width="20.140625" customWidth="1"/>
    <col min="10" max="10" width="14.42578125" customWidth="1"/>
  </cols>
  <sheetData>
    <row r="1" spans="1:10" ht="18.75">
      <c r="A1" s="33"/>
      <c r="B1" s="33"/>
      <c r="C1" s="33"/>
      <c r="D1" s="33"/>
      <c r="E1" s="33"/>
      <c r="F1" s="2"/>
      <c r="G1" s="2"/>
      <c r="H1" s="33"/>
      <c r="I1" s="33"/>
      <c r="J1" s="30" t="s">
        <v>838</v>
      </c>
    </row>
    <row r="2" spans="1:10" ht="18.75">
      <c r="A2" s="33"/>
      <c r="B2" s="33"/>
      <c r="C2" s="33"/>
      <c r="D2" s="33"/>
      <c r="E2" s="33"/>
      <c r="F2" s="2"/>
      <c r="G2" s="2"/>
      <c r="H2" s="33"/>
      <c r="I2" s="33"/>
      <c r="J2" s="455" t="s">
        <v>914</v>
      </c>
    </row>
    <row r="3" spans="1:10" ht="18.7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8.7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8.75">
      <c r="A5" s="930" t="s">
        <v>292</v>
      </c>
      <c r="B5" s="931"/>
      <c r="C5" s="931"/>
      <c r="D5" s="931"/>
      <c r="E5" s="931"/>
      <c r="F5" s="931"/>
      <c r="G5" s="931"/>
      <c r="H5" s="931"/>
      <c r="I5" s="931"/>
      <c r="J5" s="931"/>
    </row>
    <row r="6" spans="1:10" ht="18.75">
      <c r="A6" s="930" t="s">
        <v>836</v>
      </c>
      <c r="B6" s="931"/>
      <c r="C6" s="931"/>
      <c r="D6" s="931"/>
      <c r="E6" s="931"/>
      <c r="F6" s="931"/>
      <c r="G6" s="931"/>
      <c r="H6" s="931"/>
      <c r="I6" s="931"/>
      <c r="J6" s="931"/>
    </row>
    <row r="7" spans="1:10" ht="18.75">
      <c r="A7" s="102"/>
      <c r="B7" s="102"/>
      <c r="C7" s="103"/>
      <c r="D7" s="103"/>
      <c r="E7" s="103"/>
      <c r="F7" s="103"/>
      <c r="G7" s="103"/>
      <c r="H7" s="103"/>
      <c r="I7" s="103"/>
      <c r="J7" s="103"/>
    </row>
    <row r="8" spans="1:10" ht="42.75" customHeight="1">
      <c r="A8" s="932" t="s">
        <v>786</v>
      </c>
      <c r="B8" s="933"/>
      <c r="C8" s="933"/>
      <c r="D8" s="933"/>
      <c r="E8" s="933"/>
      <c r="F8" s="933"/>
      <c r="G8" s="933"/>
      <c r="H8" s="933"/>
      <c r="I8" s="933"/>
      <c r="J8" s="933"/>
    </row>
    <row r="9" spans="1:10" ht="18.7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10" ht="36.75" customHeight="1">
      <c r="A10" s="937" t="s">
        <v>182</v>
      </c>
      <c r="B10" s="939" t="s">
        <v>450</v>
      </c>
      <c r="C10" s="940"/>
      <c r="D10" s="943" t="s">
        <v>727</v>
      </c>
      <c r="E10" s="934" t="s">
        <v>837</v>
      </c>
      <c r="F10" s="962"/>
      <c r="G10" s="963"/>
      <c r="H10" s="934" t="s">
        <v>827</v>
      </c>
      <c r="I10" s="935"/>
      <c r="J10" s="936"/>
    </row>
    <row r="11" spans="1:10" ht="201.75" customHeight="1">
      <c r="A11" s="938"/>
      <c r="B11" s="941"/>
      <c r="C11" s="942"/>
      <c r="D11" s="944"/>
      <c r="E11" s="559" t="s">
        <v>553</v>
      </c>
      <c r="F11" s="559" t="s">
        <v>580</v>
      </c>
      <c r="G11" s="559" t="s">
        <v>773</v>
      </c>
      <c r="H11" s="561" t="s">
        <v>728</v>
      </c>
      <c r="I11" s="561" t="s">
        <v>826</v>
      </c>
      <c r="J11" s="561" t="s">
        <v>294</v>
      </c>
    </row>
    <row r="12" spans="1:10" ht="18.75">
      <c r="A12" s="560">
        <v>1</v>
      </c>
      <c r="B12" s="928">
        <v>2</v>
      </c>
      <c r="C12" s="929"/>
      <c r="D12" s="560">
        <v>3</v>
      </c>
      <c r="E12" s="560">
        <v>4</v>
      </c>
      <c r="F12" s="560">
        <v>5</v>
      </c>
      <c r="G12" s="560">
        <v>6</v>
      </c>
      <c r="H12" s="560">
        <v>7</v>
      </c>
      <c r="I12" s="560">
        <v>8</v>
      </c>
      <c r="J12" s="560">
        <v>9</v>
      </c>
    </row>
    <row r="13" spans="1:10" ht="18.75">
      <c r="A13" s="104"/>
      <c r="B13" s="928" t="s">
        <v>295</v>
      </c>
      <c r="C13" s="929"/>
      <c r="D13" s="560" t="s">
        <v>295</v>
      </c>
      <c r="E13" s="560" t="s">
        <v>295</v>
      </c>
      <c r="F13" s="560" t="s">
        <v>295</v>
      </c>
      <c r="G13" s="560" t="s">
        <v>295</v>
      </c>
      <c r="H13" s="560" t="s">
        <v>295</v>
      </c>
      <c r="I13" s="560" t="s">
        <v>295</v>
      </c>
      <c r="J13" s="560" t="s">
        <v>295</v>
      </c>
    </row>
    <row r="14" spans="1:10" ht="18.75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ht="57.75" customHeight="1">
      <c r="A15" s="932" t="s">
        <v>829</v>
      </c>
      <c r="B15" s="933"/>
      <c r="C15" s="933"/>
      <c r="D15" s="933"/>
      <c r="E15" s="933"/>
      <c r="F15" s="933"/>
      <c r="G15" s="933"/>
      <c r="H15" s="933"/>
      <c r="I15" s="933"/>
      <c r="J15" s="933"/>
    </row>
    <row r="16" spans="1:10" ht="18.75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ht="18.75">
      <c r="A17" s="939" t="s">
        <v>296</v>
      </c>
      <c r="B17" s="948"/>
      <c r="C17" s="948"/>
      <c r="D17" s="948"/>
      <c r="E17" s="948"/>
      <c r="F17" s="948"/>
      <c r="G17" s="948"/>
      <c r="H17" s="951" t="s">
        <v>290</v>
      </c>
      <c r="I17" s="952"/>
      <c r="J17" s="952"/>
    </row>
    <row r="18" spans="1:10" ht="56.25" customHeight="1">
      <c r="A18" s="949"/>
      <c r="B18" s="950"/>
      <c r="C18" s="950"/>
      <c r="D18" s="950"/>
      <c r="E18" s="950"/>
      <c r="F18" s="950"/>
      <c r="G18" s="950"/>
      <c r="H18" s="559" t="s">
        <v>553</v>
      </c>
      <c r="I18" s="559" t="s">
        <v>580</v>
      </c>
      <c r="J18" s="559" t="s">
        <v>773</v>
      </c>
    </row>
    <row r="19" spans="1:10" ht="18.75">
      <c r="A19" s="951">
        <v>1</v>
      </c>
      <c r="B19" s="953"/>
      <c r="C19" s="953"/>
      <c r="D19" s="953"/>
      <c r="E19" s="953"/>
      <c r="F19" s="953"/>
      <c r="G19" s="953"/>
      <c r="H19" s="562">
        <v>2</v>
      </c>
      <c r="I19" s="562">
        <v>3</v>
      </c>
      <c r="J19" s="562">
        <v>4</v>
      </c>
    </row>
    <row r="20" spans="1:10" ht="18.75">
      <c r="A20" s="954" t="s">
        <v>295</v>
      </c>
      <c r="B20" s="955"/>
      <c r="C20" s="955"/>
      <c r="D20" s="955"/>
      <c r="E20" s="955"/>
      <c r="F20" s="955"/>
      <c r="G20" s="955"/>
      <c r="H20" s="560" t="s">
        <v>295</v>
      </c>
      <c r="I20" s="560" t="s">
        <v>295</v>
      </c>
      <c r="J20" s="560" t="s">
        <v>295</v>
      </c>
    </row>
    <row r="21" spans="1:10" ht="18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8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8.75">
      <c r="A23" s="67" t="s">
        <v>467</v>
      </c>
      <c r="B23" s="16"/>
      <c r="C23" s="17"/>
      <c r="D23" s="17"/>
      <c r="E23" s="17"/>
      <c r="F23" s="18"/>
      <c r="G23" s="19"/>
      <c r="H23" s="15"/>
      <c r="I23" s="14"/>
      <c r="J23" s="14"/>
    </row>
    <row r="24" spans="1:10" ht="18.75">
      <c r="A24" s="67" t="s">
        <v>468</v>
      </c>
      <c r="B24" s="16"/>
      <c r="C24" s="17"/>
      <c r="D24" s="14"/>
      <c r="E24" s="17"/>
      <c r="F24" s="18"/>
      <c r="G24" s="19"/>
      <c r="H24" s="15"/>
      <c r="I24" s="14"/>
      <c r="J24" s="14"/>
    </row>
    <row r="25" spans="1:10" ht="18.75">
      <c r="A25" s="68" t="s">
        <v>469</v>
      </c>
      <c r="B25" s="14"/>
      <c r="C25" s="14"/>
      <c r="D25" s="14"/>
      <c r="E25" s="17"/>
      <c r="F25" s="14"/>
      <c r="G25" s="14"/>
      <c r="H25" s="14"/>
      <c r="I25" s="14"/>
      <c r="J25" s="13" t="s">
        <v>494</v>
      </c>
    </row>
  </sheetData>
  <mergeCells count="15">
    <mergeCell ref="A5:J5"/>
    <mergeCell ref="A6:J6"/>
    <mergeCell ref="A8:J8"/>
    <mergeCell ref="A10:A11"/>
    <mergeCell ref="B10:C11"/>
    <mergeCell ref="D10:D11"/>
    <mergeCell ref="E10:G10"/>
    <mergeCell ref="H10:J10"/>
    <mergeCell ref="A20:G20"/>
    <mergeCell ref="B12:C12"/>
    <mergeCell ref="B13:C13"/>
    <mergeCell ref="A15:J15"/>
    <mergeCell ref="A17:G18"/>
    <mergeCell ref="H17:J17"/>
    <mergeCell ref="A19:G19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H133"/>
  <sheetViews>
    <sheetView zoomScale="80" zoomScaleNormal="80" zoomScaleSheetLayoutView="75" workbookViewId="0">
      <selection activeCell="D2" sqref="D2"/>
    </sheetView>
  </sheetViews>
  <sheetFormatPr defaultColWidth="9.140625" defaultRowHeight="18.75"/>
  <cols>
    <col min="1" max="1" width="28.5703125" style="476" customWidth="1"/>
    <col min="2" max="2" width="55.28515625" style="672" customWidth="1"/>
    <col min="3" max="3" width="15.140625" style="474" customWidth="1"/>
    <col min="4" max="4" width="15.42578125" style="476" customWidth="1"/>
    <col min="5" max="16384" width="9.140625" style="476"/>
  </cols>
  <sheetData>
    <row r="1" spans="1:8" s="514" customFormat="1">
      <c r="A1" s="165"/>
      <c r="B1" s="165"/>
      <c r="C1" s="165"/>
      <c r="D1" s="404" t="s">
        <v>409</v>
      </c>
    </row>
    <row r="2" spans="1:8" s="514" customFormat="1">
      <c r="A2" s="165"/>
      <c r="B2" s="165"/>
      <c r="C2" s="165"/>
      <c r="D2" s="404" t="s">
        <v>1036</v>
      </c>
    </row>
    <row r="4" spans="1:8">
      <c r="D4" s="172" t="s">
        <v>409</v>
      </c>
    </row>
    <row r="5" spans="1:8">
      <c r="D5" s="455" t="s">
        <v>914</v>
      </c>
    </row>
    <row r="8" spans="1:8" ht="37.5" customHeight="1">
      <c r="A8" s="833" t="s">
        <v>777</v>
      </c>
      <c r="B8" s="833"/>
      <c r="C8" s="833"/>
      <c r="D8" s="833"/>
    </row>
    <row r="10" spans="1:8">
      <c r="D10" s="468" t="s">
        <v>42</v>
      </c>
    </row>
    <row r="11" spans="1:8">
      <c r="A11" s="836" t="s">
        <v>31</v>
      </c>
      <c r="B11" s="837" t="s">
        <v>32</v>
      </c>
      <c r="C11" s="835" t="s">
        <v>33</v>
      </c>
      <c r="D11" s="835"/>
    </row>
    <row r="12" spans="1:8">
      <c r="A12" s="836"/>
      <c r="B12" s="837"/>
      <c r="C12" s="469" t="s">
        <v>580</v>
      </c>
      <c r="D12" s="469" t="s">
        <v>773</v>
      </c>
    </row>
    <row r="13" spans="1:8">
      <c r="A13" s="673">
        <v>1</v>
      </c>
      <c r="B13" s="674">
        <v>2</v>
      </c>
      <c r="C13" s="470">
        <v>3</v>
      </c>
      <c r="D13" s="470">
        <v>4</v>
      </c>
    </row>
    <row r="14" spans="1:8">
      <c r="A14" s="226" t="s">
        <v>156</v>
      </c>
      <c r="B14" s="227" t="s">
        <v>157</v>
      </c>
      <c r="C14" s="477">
        <f>SUM(C15:C33)-C24</f>
        <v>428204.4</v>
      </c>
      <c r="D14" s="477">
        <f>SUM(D15:D33)-D24</f>
        <v>440392.89999999997</v>
      </c>
      <c r="F14" s="517"/>
      <c r="G14" s="675"/>
      <c r="H14" s="517"/>
    </row>
    <row r="15" spans="1:8" s="576" customFormat="1">
      <c r="A15" s="228" t="s">
        <v>158</v>
      </c>
      <c r="B15" s="229" t="s">
        <v>159</v>
      </c>
      <c r="C15" s="478">
        <v>5100</v>
      </c>
      <c r="D15" s="479">
        <v>5200</v>
      </c>
    </row>
    <row r="16" spans="1:8" s="576" customFormat="1">
      <c r="A16" s="228" t="s">
        <v>160</v>
      </c>
      <c r="B16" s="230" t="s">
        <v>161</v>
      </c>
      <c r="C16" s="478">
        <v>307168.2</v>
      </c>
      <c r="D16" s="479">
        <v>312586.5</v>
      </c>
    </row>
    <row r="17" spans="1:4" s="576" customFormat="1" ht="180" customHeight="1">
      <c r="A17" s="231" t="s">
        <v>162</v>
      </c>
      <c r="B17" s="232" t="s">
        <v>823</v>
      </c>
      <c r="C17" s="478">
        <v>5907.9</v>
      </c>
      <c r="D17" s="479">
        <v>6835.1</v>
      </c>
    </row>
    <row r="18" spans="1:4" s="576" customFormat="1" ht="37.5">
      <c r="A18" s="228" t="s">
        <v>365</v>
      </c>
      <c r="B18" s="232" t="s">
        <v>366</v>
      </c>
      <c r="C18" s="478">
        <v>61040</v>
      </c>
      <c r="D18" s="479">
        <v>65310</v>
      </c>
    </row>
    <row r="19" spans="1:4" s="576" customFormat="1" ht="37.5">
      <c r="A19" s="228" t="s">
        <v>163</v>
      </c>
      <c r="B19" s="232" t="s">
        <v>392</v>
      </c>
      <c r="C19" s="478">
        <v>200</v>
      </c>
      <c r="D19" s="479">
        <v>100</v>
      </c>
    </row>
    <row r="20" spans="1:4" s="576" customFormat="1">
      <c r="A20" s="228" t="s">
        <v>164</v>
      </c>
      <c r="B20" s="230" t="s">
        <v>165</v>
      </c>
      <c r="C20" s="478">
        <v>125</v>
      </c>
      <c r="D20" s="479">
        <v>150</v>
      </c>
    </row>
    <row r="21" spans="1:4" s="576" customFormat="1" ht="37.5">
      <c r="A21" s="228" t="s">
        <v>166</v>
      </c>
      <c r="B21" s="232" t="s">
        <v>167</v>
      </c>
      <c r="C21" s="478">
        <v>300</v>
      </c>
      <c r="D21" s="479">
        <v>400</v>
      </c>
    </row>
    <row r="22" spans="1:4" s="576" customFormat="1">
      <c r="A22" s="228" t="s">
        <v>678</v>
      </c>
      <c r="B22" s="232" t="s">
        <v>679</v>
      </c>
      <c r="C22" s="478">
        <v>3672</v>
      </c>
      <c r="D22" s="479">
        <v>3744</v>
      </c>
    </row>
    <row r="23" spans="1:4" s="576" customFormat="1">
      <c r="A23" s="228" t="s">
        <v>168</v>
      </c>
      <c r="B23" s="230" t="s">
        <v>169</v>
      </c>
      <c r="C23" s="478">
        <v>9700</v>
      </c>
      <c r="D23" s="479">
        <v>10190</v>
      </c>
    </row>
    <row r="24" spans="1:4" s="576" customFormat="1" ht="61.5" customHeight="1">
      <c r="A24" s="171" t="s">
        <v>906</v>
      </c>
      <c r="B24" s="202" t="s">
        <v>907</v>
      </c>
      <c r="C24" s="478">
        <f>C25+C26+C27+C28+C29</f>
        <v>28953</v>
      </c>
      <c r="D24" s="478">
        <f>D25+D26+D27+D28+D29</f>
        <v>30012</v>
      </c>
    </row>
    <row r="25" spans="1:4" s="576" customFormat="1" ht="101.25" customHeight="1">
      <c r="A25" s="228" t="s">
        <v>170</v>
      </c>
      <c r="B25" s="233" t="s">
        <v>908</v>
      </c>
      <c r="C25" s="478">
        <v>74</v>
      </c>
      <c r="D25" s="480">
        <v>74</v>
      </c>
    </row>
    <row r="26" spans="1:4" s="576" customFormat="1" ht="117.75" customHeight="1">
      <c r="A26" s="228" t="s">
        <v>171</v>
      </c>
      <c r="B26" s="232" t="s">
        <v>909</v>
      </c>
      <c r="C26" s="478">
        <v>27724</v>
      </c>
      <c r="D26" s="479">
        <v>28924</v>
      </c>
    </row>
    <row r="27" spans="1:4" s="576" customFormat="1" ht="65.25" customHeight="1">
      <c r="A27" s="228" t="s">
        <v>362</v>
      </c>
      <c r="B27" s="232" t="s">
        <v>910</v>
      </c>
      <c r="C27" s="478">
        <v>1021</v>
      </c>
      <c r="D27" s="479">
        <v>880</v>
      </c>
    </row>
    <row r="28" spans="1:4" s="576" customFormat="1" ht="99.75" customHeight="1">
      <c r="A28" s="228" t="s">
        <v>172</v>
      </c>
      <c r="B28" s="232" t="s">
        <v>911</v>
      </c>
      <c r="C28" s="478">
        <v>10</v>
      </c>
      <c r="D28" s="479">
        <v>10</v>
      </c>
    </row>
    <row r="29" spans="1:4" s="576" customFormat="1" ht="138" customHeight="1">
      <c r="A29" s="228" t="s">
        <v>421</v>
      </c>
      <c r="B29" s="232" t="s">
        <v>912</v>
      </c>
      <c r="C29" s="478">
        <v>124</v>
      </c>
      <c r="D29" s="479">
        <v>124</v>
      </c>
    </row>
    <row r="30" spans="1:4" s="576" customFormat="1" ht="37.5">
      <c r="A30" s="228" t="s">
        <v>173</v>
      </c>
      <c r="B30" s="232" t="s">
        <v>174</v>
      </c>
      <c r="C30" s="478">
        <v>276</v>
      </c>
      <c r="D30" s="479">
        <v>276</v>
      </c>
    </row>
    <row r="31" spans="1:4" s="576" customFormat="1" ht="37.5">
      <c r="A31" s="228" t="s">
        <v>492</v>
      </c>
      <c r="B31" s="234" t="s">
        <v>565</v>
      </c>
      <c r="C31" s="478">
        <v>724.3</v>
      </c>
      <c r="D31" s="479">
        <v>724.3</v>
      </c>
    </row>
    <row r="32" spans="1:4" s="576" customFormat="1" ht="37.5">
      <c r="A32" s="228" t="s">
        <v>175</v>
      </c>
      <c r="B32" s="232" t="s">
        <v>176</v>
      </c>
      <c r="C32" s="478">
        <v>4863</v>
      </c>
      <c r="D32" s="479">
        <v>4690</v>
      </c>
    </row>
    <row r="33" spans="1:8" s="576" customFormat="1">
      <c r="A33" s="231" t="s">
        <v>177</v>
      </c>
      <c r="B33" s="232" t="s">
        <v>178</v>
      </c>
      <c r="C33" s="478">
        <v>175</v>
      </c>
      <c r="D33" s="479">
        <v>175</v>
      </c>
    </row>
    <row r="34" spans="1:8">
      <c r="A34" s="284" t="s">
        <v>34</v>
      </c>
      <c r="B34" s="577" t="s">
        <v>367</v>
      </c>
      <c r="C34" s="578">
        <f>C35</f>
        <v>1153886.9000000001</v>
      </c>
      <c r="D34" s="578">
        <f>D35</f>
        <v>1071741.6000000001</v>
      </c>
    </row>
    <row r="35" spans="1:8" ht="56.25">
      <c r="A35" s="261" t="s">
        <v>35</v>
      </c>
      <c r="B35" s="579" t="s">
        <v>36</v>
      </c>
      <c r="C35" s="480">
        <f>C36+C37+C38+C39</f>
        <v>1153886.9000000001</v>
      </c>
      <c r="D35" s="480">
        <f>D36+D37+D38+D39</f>
        <v>1071741.6000000001</v>
      </c>
    </row>
    <row r="36" spans="1:8" s="581" customFormat="1" ht="37.5">
      <c r="A36" s="261" t="s">
        <v>554</v>
      </c>
      <c r="B36" s="580" t="s">
        <v>413</v>
      </c>
      <c r="C36" s="480">
        <f>'прил.5 (пост.безв.22-23)'!C15</f>
        <v>166399.6</v>
      </c>
      <c r="D36" s="480">
        <f>'прил.5 (пост.безв.22-23)'!D15</f>
        <v>169604.1</v>
      </c>
    </row>
    <row r="37" spans="1:8" s="581" customFormat="1" ht="56.25">
      <c r="A37" s="122" t="s">
        <v>556</v>
      </c>
      <c r="B37" s="534" t="s">
        <v>359</v>
      </c>
      <c r="C37" s="480">
        <f>'прил.5 (пост.безв.22-23)'!C18</f>
        <v>172790.2</v>
      </c>
      <c r="D37" s="480">
        <f>'прил.5 (пост.безв.22-23)'!D18</f>
        <v>86071.4</v>
      </c>
    </row>
    <row r="38" spans="1:8" ht="37.5">
      <c r="A38" s="676" t="s">
        <v>558</v>
      </c>
      <c r="B38" s="580" t="s">
        <v>412</v>
      </c>
      <c r="C38" s="480">
        <f>'прил.5 (пост.безв.22-23)'!C37</f>
        <v>778136.9</v>
      </c>
      <c r="D38" s="480">
        <f>'прил.5 (пост.безв.22-23)'!D37</f>
        <v>779505.9</v>
      </c>
    </row>
    <row r="39" spans="1:8">
      <c r="A39" s="261" t="s">
        <v>579</v>
      </c>
      <c r="B39" s="579" t="s">
        <v>179</v>
      </c>
      <c r="C39" s="480">
        <f>'прил.5 (пост.безв.22-23)'!C72</f>
        <v>36560.199999999997</v>
      </c>
      <c r="D39" s="480">
        <f>'прил.5 (пост.безв.22-23)'!D72</f>
        <v>36560.199999999997</v>
      </c>
    </row>
    <row r="40" spans="1:8">
      <c r="A40" s="677"/>
      <c r="B40" s="577" t="s">
        <v>180</v>
      </c>
      <c r="C40" s="473">
        <f>C34+C14</f>
        <v>1582091.3000000003</v>
      </c>
      <c r="D40" s="473">
        <f>D34+D14</f>
        <v>1512134.5</v>
      </c>
    </row>
    <row r="41" spans="1:8" ht="55.15" customHeight="1">
      <c r="A41" s="838" t="s">
        <v>368</v>
      </c>
      <c r="B41" s="838"/>
      <c r="C41" s="838"/>
      <c r="D41" s="838"/>
    </row>
    <row r="42" spans="1:8">
      <c r="A42" s="678"/>
    </row>
    <row r="43" spans="1:8">
      <c r="A43" s="678"/>
    </row>
    <row r="44" spans="1:8" s="250" customFormat="1">
      <c r="A44" s="344" t="s">
        <v>467</v>
      </c>
      <c r="B44" s="253"/>
      <c r="C44" s="254"/>
      <c r="D44" s="254"/>
      <c r="E44" s="254"/>
      <c r="F44" s="178"/>
      <c r="G44" s="343"/>
      <c r="H44" s="394"/>
    </row>
    <row r="45" spans="1:8" s="250" customFormat="1">
      <c r="A45" s="344" t="s">
        <v>468</v>
      </c>
      <c r="B45" s="253"/>
      <c r="C45" s="254"/>
      <c r="D45" s="254"/>
      <c r="E45" s="254"/>
      <c r="F45" s="178"/>
      <c r="G45" s="343"/>
      <c r="H45" s="394"/>
    </row>
    <row r="46" spans="1:8" s="250" customFormat="1">
      <c r="A46" s="345" t="s">
        <v>469</v>
      </c>
      <c r="B46" s="253"/>
      <c r="D46" s="346" t="s">
        <v>494</v>
      </c>
      <c r="E46" s="254"/>
      <c r="F46" s="178"/>
    </row>
    <row r="48" spans="1:8">
      <c r="B48" s="679"/>
      <c r="C48" s="475"/>
    </row>
    <row r="49" spans="2:3">
      <c r="B49" s="679"/>
      <c r="C49" s="475"/>
    </row>
    <row r="56" spans="2:3">
      <c r="B56" s="476"/>
      <c r="C56" s="476"/>
    </row>
    <row r="57" spans="2:3">
      <c r="B57" s="476"/>
      <c r="C57" s="476"/>
    </row>
    <row r="58" spans="2:3">
      <c r="B58" s="476"/>
      <c r="C58" s="476"/>
    </row>
    <row r="59" spans="2:3">
      <c r="B59" s="476"/>
      <c r="C59" s="476"/>
    </row>
    <row r="60" spans="2:3">
      <c r="B60" s="476"/>
      <c r="C60" s="476"/>
    </row>
    <row r="61" spans="2:3">
      <c r="B61" s="476"/>
      <c r="C61" s="476"/>
    </row>
    <row r="62" spans="2:3">
      <c r="B62" s="476"/>
      <c r="C62" s="476"/>
    </row>
    <row r="63" spans="2:3">
      <c r="B63" s="476"/>
      <c r="C63" s="476"/>
    </row>
    <row r="64" spans="2:3">
      <c r="B64" s="476"/>
      <c r="C64" s="476"/>
    </row>
    <row r="65" spans="2:3">
      <c r="B65" s="476"/>
      <c r="C65" s="476"/>
    </row>
    <row r="66" spans="2:3">
      <c r="B66" s="476"/>
      <c r="C66" s="476"/>
    </row>
    <row r="67" spans="2:3">
      <c r="B67" s="476"/>
      <c r="C67" s="476"/>
    </row>
    <row r="68" spans="2:3">
      <c r="B68" s="476"/>
      <c r="C68" s="476"/>
    </row>
    <row r="69" spans="2:3">
      <c r="B69" s="476"/>
      <c r="C69" s="476"/>
    </row>
    <row r="70" spans="2:3">
      <c r="B70" s="476"/>
      <c r="C70" s="476"/>
    </row>
    <row r="71" spans="2:3">
      <c r="B71" s="476"/>
      <c r="C71" s="476"/>
    </row>
    <row r="72" spans="2:3">
      <c r="B72" s="476"/>
      <c r="C72" s="476"/>
    </row>
    <row r="73" spans="2:3">
      <c r="B73" s="476"/>
      <c r="C73" s="476"/>
    </row>
    <row r="74" spans="2:3">
      <c r="B74" s="476"/>
      <c r="C74" s="476"/>
    </row>
    <row r="75" spans="2:3">
      <c r="B75" s="476"/>
      <c r="C75" s="476"/>
    </row>
    <row r="76" spans="2:3">
      <c r="B76" s="476"/>
      <c r="C76" s="476"/>
    </row>
    <row r="77" spans="2:3">
      <c r="B77" s="476"/>
      <c r="C77" s="476"/>
    </row>
    <row r="78" spans="2:3">
      <c r="B78" s="476"/>
      <c r="C78" s="476"/>
    </row>
    <row r="79" spans="2:3">
      <c r="B79" s="476"/>
      <c r="C79" s="476"/>
    </row>
    <row r="80" spans="2:3">
      <c r="B80" s="476"/>
      <c r="C80" s="476"/>
    </row>
    <row r="81" spans="2:3">
      <c r="B81" s="476"/>
      <c r="C81" s="476"/>
    </row>
    <row r="82" spans="2:3">
      <c r="B82" s="476"/>
      <c r="C82" s="476"/>
    </row>
    <row r="83" spans="2:3">
      <c r="B83" s="476"/>
      <c r="C83" s="476"/>
    </row>
    <row r="84" spans="2:3">
      <c r="B84" s="476"/>
      <c r="C84" s="476"/>
    </row>
    <row r="85" spans="2:3">
      <c r="B85" s="476"/>
      <c r="C85" s="476"/>
    </row>
    <row r="86" spans="2:3">
      <c r="B86" s="476"/>
      <c r="C86" s="476"/>
    </row>
    <row r="87" spans="2:3">
      <c r="B87" s="476"/>
      <c r="C87" s="476"/>
    </row>
    <row r="88" spans="2:3">
      <c r="B88" s="476"/>
      <c r="C88" s="476"/>
    </row>
    <row r="89" spans="2:3">
      <c r="B89" s="476"/>
      <c r="C89" s="476"/>
    </row>
    <row r="90" spans="2:3">
      <c r="B90" s="476"/>
      <c r="C90" s="476"/>
    </row>
    <row r="91" spans="2:3">
      <c r="B91" s="476"/>
      <c r="C91" s="476"/>
    </row>
    <row r="92" spans="2:3">
      <c r="B92" s="476"/>
      <c r="C92" s="476"/>
    </row>
    <row r="93" spans="2:3">
      <c r="B93" s="476"/>
      <c r="C93" s="476"/>
    </row>
    <row r="94" spans="2:3">
      <c r="B94" s="476"/>
      <c r="C94" s="476"/>
    </row>
    <row r="95" spans="2:3">
      <c r="B95" s="476"/>
      <c r="C95" s="476"/>
    </row>
    <row r="96" spans="2:3">
      <c r="B96" s="476"/>
      <c r="C96" s="476"/>
    </row>
    <row r="97" spans="2:3">
      <c r="B97" s="476"/>
      <c r="C97" s="476"/>
    </row>
    <row r="98" spans="2:3">
      <c r="B98" s="476"/>
      <c r="C98" s="476"/>
    </row>
    <row r="99" spans="2:3">
      <c r="B99" s="476"/>
      <c r="C99" s="476"/>
    </row>
    <row r="100" spans="2:3">
      <c r="B100" s="476"/>
      <c r="C100" s="476"/>
    </row>
    <row r="101" spans="2:3">
      <c r="B101" s="476"/>
      <c r="C101" s="476"/>
    </row>
    <row r="102" spans="2:3">
      <c r="B102" s="476"/>
      <c r="C102" s="476"/>
    </row>
    <row r="103" spans="2:3">
      <c r="B103" s="476"/>
      <c r="C103" s="476"/>
    </row>
    <row r="104" spans="2:3">
      <c r="B104" s="476"/>
      <c r="C104" s="476"/>
    </row>
    <row r="105" spans="2:3">
      <c r="B105" s="476"/>
      <c r="C105" s="476"/>
    </row>
    <row r="106" spans="2:3">
      <c r="B106" s="476"/>
      <c r="C106" s="476"/>
    </row>
    <row r="107" spans="2:3">
      <c r="B107" s="476"/>
      <c r="C107" s="476"/>
    </row>
    <row r="108" spans="2:3">
      <c r="B108" s="476"/>
      <c r="C108" s="476"/>
    </row>
    <row r="109" spans="2:3">
      <c r="B109" s="476"/>
      <c r="C109" s="476"/>
    </row>
    <row r="110" spans="2:3">
      <c r="B110" s="476"/>
      <c r="C110" s="476"/>
    </row>
    <row r="111" spans="2:3">
      <c r="B111" s="476"/>
      <c r="C111" s="476"/>
    </row>
    <row r="112" spans="2:3">
      <c r="B112" s="476"/>
      <c r="C112" s="476"/>
    </row>
    <row r="113" spans="2:3">
      <c r="B113" s="476"/>
      <c r="C113" s="476"/>
    </row>
    <row r="114" spans="2:3">
      <c r="B114" s="476"/>
      <c r="C114" s="476"/>
    </row>
    <row r="115" spans="2:3">
      <c r="B115" s="476"/>
      <c r="C115" s="476"/>
    </row>
    <row r="116" spans="2:3">
      <c r="B116" s="476"/>
      <c r="C116" s="476"/>
    </row>
    <row r="117" spans="2:3">
      <c r="B117" s="476"/>
      <c r="C117" s="476"/>
    </row>
    <row r="118" spans="2:3">
      <c r="B118" s="476"/>
      <c r="C118" s="476"/>
    </row>
    <row r="119" spans="2:3">
      <c r="B119" s="476"/>
      <c r="C119" s="476"/>
    </row>
    <row r="120" spans="2:3">
      <c r="B120" s="476"/>
      <c r="C120" s="476"/>
    </row>
    <row r="121" spans="2:3">
      <c r="B121" s="476"/>
      <c r="C121" s="476"/>
    </row>
    <row r="122" spans="2:3">
      <c r="B122" s="476"/>
      <c r="C122" s="476"/>
    </row>
    <row r="123" spans="2:3">
      <c r="B123" s="476"/>
      <c r="C123" s="476"/>
    </row>
    <row r="124" spans="2:3">
      <c r="B124" s="476"/>
      <c r="C124" s="476"/>
    </row>
    <row r="125" spans="2:3">
      <c r="B125" s="476"/>
      <c r="C125" s="476"/>
    </row>
    <row r="126" spans="2:3">
      <c r="B126" s="476"/>
      <c r="C126" s="476"/>
    </row>
    <row r="127" spans="2:3">
      <c r="B127" s="476"/>
      <c r="C127" s="476"/>
    </row>
    <row r="128" spans="2:3">
      <c r="B128" s="476"/>
      <c r="C128" s="476"/>
    </row>
    <row r="129" spans="2:3">
      <c r="B129" s="476"/>
      <c r="C129" s="476"/>
    </row>
    <row r="130" spans="2:3">
      <c r="B130" s="476"/>
      <c r="C130" s="476"/>
    </row>
    <row r="131" spans="2:3">
      <c r="B131" s="476"/>
      <c r="C131" s="476"/>
    </row>
    <row r="132" spans="2:3">
      <c r="B132" s="476"/>
      <c r="C132" s="476"/>
    </row>
    <row r="133" spans="2:3">
      <c r="B133" s="476"/>
      <c r="C133" s="476"/>
    </row>
  </sheetData>
  <mergeCells count="5">
    <mergeCell ref="C11:D11"/>
    <mergeCell ref="A11:A12"/>
    <mergeCell ref="B11:B12"/>
    <mergeCell ref="A41:D41"/>
    <mergeCell ref="A8:D8"/>
  </mergeCells>
  <printOptions horizontalCentered="1"/>
  <pageMargins left="1.1811023622047245" right="0.39370078740157483" top="0.78740157480314965" bottom="0.78740157480314965" header="0.39370078740157483" footer="0.39370078740157483"/>
  <pageSetup paperSize="9" scale="72" fitToHeight="0" orientation="portrait" blackAndWhite="1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3"/>
  <sheetViews>
    <sheetView zoomScale="70" zoomScaleNormal="70" workbookViewId="0">
      <selection activeCell="F25" sqref="F25"/>
    </sheetView>
  </sheetViews>
  <sheetFormatPr defaultColWidth="8.85546875" defaultRowHeight="18.75"/>
  <cols>
    <col min="1" max="1" width="28.140625" style="199" customWidth="1"/>
    <col min="2" max="2" width="72.7109375" style="199" customWidth="1"/>
    <col min="3" max="3" width="15" style="198" customWidth="1"/>
    <col min="4" max="4" width="11.28515625" style="184" customWidth="1"/>
    <col min="5" max="16384" width="8.85546875" style="164"/>
  </cols>
  <sheetData>
    <row r="1" spans="1:4">
      <c r="C1" s="172" t="s">
        <v>409</v>
      </c>
    </row>
    <row r="2" spans="1:4">
      <c r="C2" s="404" t="s">
        <v>1037</v>
      </c>
    </row>
    <row r="4" spans="1:4">
      <c r="C4" s="172" t="s">
        <v>537</v>
      </c>
    </row>
    <row r="5" spans="1:4">
      <c r="C5" s="455" t="s">
        <v>914</v>
      </c>
    </row>
    <row r="6" spans="1:4" ht="25.9" customHeight="1"/>
    <row r="7" spans="1:4" ht="15.75" customHeight="1"/>
    <row r="8" spans="1:4" ht="22.15" customHeight="1">
      <c r="A8" s="839" t="s">
        <v>778</v>
      </c>
      <c r="B8" s="839"/>
      <c r="C8" s="839"/>
    </row>
    <row r="9" spans="1:4">
      <c r="A9" s="200"/>
      <c r="B9" s="200"/>
      <c r="C9" s="185"/>
    </row>
    <row r="10" spans="1:4">
      <c r="C10" s="186" t="s">
        <v>42</v>
      </c>
    </row>
    <row r="11" spans="1:4">
      <c r="A11" s="171" t="s">
        <v>31</v>
      </c>
      <c r="B11" s="171" t="s">
        <v>32</v>
      </c>
      <c r="C11" s="187" t="s">
        <v>33</v>
      </c>
    </row>
    <row r="12" spans="1:4">
      <c r="A12" s="171">
        <v>1</v>
      </c>
      <c r="B12" s="171">
        <v>2</v>
      </c>
      <c r="C12" s="189">
        <v>3</v>
      </c>
    </row>
    <row r="13" spans="1:4" ht="23.45" customHeight="1">
      <c r="A13" s="174" t="s">
        <v>34</v>
      </c>
      <c r="B13" s="190" t="s">
        <v>367</v>
      </c>
      <c r="C13" s="191">
        <f>C14</f>
        <v>1150175.5999999999</v>
      </c>
      <c r="D13" s="488"/>
    </row>
    <row r="14" spans="1:4" ht="38.450000000000003" customHeight="1">
      <c r="A14" s="171" t="s">
        <v>35</v>
      </c>
      <c r="B14" s="201" t="s">
        <v>36</v>
      </c>
      <c r="C14" s="206">
        <f>C15+C35+C20+C71</f>
        <v>1150175.5999999999</v>
      </c>
      <c r="D14" s="488"/>
    </row>
    <row r="15" spans="1:4" ht="37.9" customHeight="1">
      <c r="A15" s="171" t="s">
        <v>554</v>
      </c>
      <c r="B15" s="201" t="s">
        <v>410</v>
      </c>
      <c r="C15" s="206">
        <f>C16+C18</f>
        <v>212954.6</v>
      </c>
      <c r="D15" s="488"/>
    </row>
    <row r="16" spans="1:4" ht="21.6" customHeight="1">
      <c r="A16" s="171" t="s">
        <v>555</v>
      </c>
      <c r="B16" s="201" t="s">
        <v>37</v>
      </c>
      <c r="C16" s="206">
        <f>C17</f>
        <v>206489.1</v>
      </c>
      <c r="D16" s="488"/>
    </row>
    <row r="17" spans="1:4" ht="59.45" customHeight="1">
      <c r="A17" s="171" t="s">
        <v>545</v>
      </c>
      <c r="B17" s="201" t="s">
        <v>681</v>
      </c>
      <c r="C17" s="206">
        <v>206489.1</v>
      </c>
      <c r="D17" s="488"/>
    </row>
    <row r="18" spans="1:4" s="717" customFormat="1">
      <c r="A18" s="765" t="s">
        <v>1026</v>
      </c>
      <c r="B18" s="766" t="s">
        <v>1027</v>
      </c>
      <c r="C18" s="767">
        <f>C19</f>
        <v>6465.5</v>
      </c>
      <c r="D18" s="768"/>
    </row>
    <row r="19" spans="1:4" s="717" customFormat="1">
      <c r="A19" s="765" t="s">
        <v>748</v>
      </c>
      <c r="B19" s="766" t="s">
        <v>752</v>
      </c>
      <c r="C19" s="767">
        <v>6465.5</v>
      </c>
      <c r="D19" s="768"/>
    </row>
    <row r="20" spans="1:4" ht="39.6" customHeight="1">
      <c r="A20" s="171" t="s">
        <v>556</v>
      </c>
      <c r="B20" s="202" t="s">
        <v>454</v>
      </c>
      <c r="C20" s="206">
        <f>C21+C27+C25</f>
        <v>101140</v>
      </c>
      <c r="D20" s="488"/>
    </row>
    <row r="21" spans="1:4" ht="48" customHeight="1">
      <c r="A21" s="171" t="s">
        <v>598</v>
      </c>
      <c r="B21" s="202" t="s">
        <v>599</v>
      </c>
      <c r="C21" s="206">
        <f>C22</f>
        <v>40442</v>
      </c>
      <c r="D21" s="488"/>
    </row>
    <row r="22" spans="1:4" ht="56.45" customHeight="1">
      <c r="A22" s="171" t="s">
        <v>596</v>
      </c>
      <c r="B22" s="202" t="s">
        <v>597</v>
      </c>
      <c r="C22" s="206">
        <f>C23+C24</f>
        <v>40442</v>
      </c>
      <c r="D22" s="488"/>
    </row>
    <row r="23" spans="1:4" ht="93.75">
      <c r="A23" s="171"/>
      <c r="B23" s="583" t="s">
        <v>1021</v>
      </c>
      <c r="C23" s="208">
        <v>28442</v>
      </c>
      <c r="D23" s="488">
        <v>921</v>
      </c>
    </row>
    <row r="24" spans="1:4" ht="56.25">
      <c r="A24" s="169"/>
      <c r="B24" s="582" t="s">
        <v>794</v>
      </c>
      <c r="C24" s="207">
        <v>12000</v>
      </c>
      <c r="D24" s="488">
        <v>921</v>
      </c>
    </row>
    <row r="25" spans="1:4" s="184" customFormat="1" ht="80.25" customHeight="1">
      <c r="A25" s="169" t="s">
        <v>767</v>
      </c>
      <c r="B25" s="202" t="s">
        <v>790</v>
      </c>
      <c r="C25" s="206">
        <f>C26</f>
        <v>51871.3</v>
      </c>
      <c r="D25" s="488"/>
    </row>
    <row r="26" spans="1:4" s="184" customFormat="1" ht="79.5" customHeight="1">
      <c r="A26" s="169" t="s">
        <v>760</v>
      </c>
      <c r="B26" s="202" t="s">
        <v>761</v>
      </c>
      <c r="C26" s="206">
        <v>51871.3</v>
      </c>
      <c r="D26" s="488">
        <v>925</v>
      </c>
    </row>
    <row r="27" spans="1:4" ht="22.15" customHeight="1">
      <c r="A27" s="169" t="s">
        <v>557</v>
      </c>
      <c r="B27" s="202" t="s">
        <v>357</v>
      </c>
      <c r="C27" s="206">
        <f>C28</f>
        <v>8826.7000000000007</v>
      </c>
      <c r="D27" s="488"/>
    </row>
    <row r="28" spans="1:4" ht="37.9" customHeight="1">
      <c r="A28" s="169" t="s">
        <v>542</v>
      </c>
      <c r="B28" s="202" t="s">
        <v>358</v>
      </c>
      <c r="C28" s="206">
        <f>SUM(C29:C34)</f>
        <v>8826.7000000000007</v>
      </c>
      <c r="D28" s="488"/>
    </row>
    <row r="29" spans="1:4" ht="243.75">
      <c r="A29" s="192"/>
      <c r="B29" s="582" t="s">
        <v>1020</v>
      </c>
      <c r="C29" s="208">
        <v>40</v>
      </c>
      <c r="D29" s="489">
        <v>926</v>
      </c>
    </row>
    <row r="30" spans="1:4" ht="56.25">
      <c r="A30" s="192"/>
      <c r="B30" s="582" t="s">
        <v>581</v>
      </c>
      <c r="C30" s="208">
        <v>852.9</v>
      </c>
      <c r="D30" s="489">
        <v>929</v>
      </c>
    </row>
    <row r="31" spans="1:4" ht="75">
      <c r="A31" s="192"/>
      <c r="B31" s="583" t="s">
        <v>1014</v>
      </c>
      <c r="C31" s="208">
        <v>740</v>
      </c>
      <c r="D31" s="489">
        <v>902</v>
      </c>
    </row>
    <row r="32" spans="1:4" ht="75">
      <c r="A32" s="192"/>
      <c r="B32" s="583" t="s">
        <v>608</v>
      </c>
      <c r="C32" s="208">
        <v>570</v>
      </c>
      <c r="D32" s="489">
        <v>925</v>
      </c>
    </row>
    <row r="33" spans="1:4" ht="109.9" customHeight="1">
      <c r="A33" s="192"/>
      <c r="B33" s="583" t="s">
        <v>995</v>
      </c>
      <c r="C33" s="208">
        <v>954</v>
      </c>
      <c r="D33" s="489">
        <v>902</v>
      </c>
    </row>
    <row r="34" spans="1:4" ht="168.75">
      <c r="A34" s="192"/>
      <c r="B34" s="583" t="s">
        <v>1013</v>
      </c>
      <c r="C34" s="208">
        <v>5669.8</v>
      </c>
      <c r="D34" s="489">
        <v>925</v>
      </c>
    </row>
    <row r="35" spans="1:4" ht="37.5">
      <c r="A35" s="171" t="s">
        <v>558</v>
      </c>
      <c r="B35" s="201" t="s">
        <v>411</v>
      </c>
      <c r="C35" s="206">
        <f>C36+C61+C65+C67+C69</f>
        <v>791435.79999999981</v>
      </c>
      <c r="D35" s="488"/>
    </row>
    <row r="36" spans="1:4" ht="39" customHeight="1">
      <c r="A36" s="171" t="s">
        <v>559</v>
      </c>
      <c r="B36" s="201" t="s">
        <v>38</v>
      </c>
      <c r="C36" s="206">
        <f>C37</f>
        <v>724055.2</v>
      </c>
      <c r="D36" s="488"/>
    </row>
    <row r="37" spans="1:4" ht="56.25">
      <c r="A37" s="171" t="s">
        <v>543</v>
      </c>
      <c r="B37" s="201" t="s">
        <v>39</v>
      </c>
      <c r="C37" s="206">
        <f>SUM(C38:C48)+SUM(C50:C55)+C58+C59+C60</f>
        <v>724055.2</v>
      </c>
      <c r="D37" s="488"/>
    </row>
    <row r="38" spans="1:4" ht="152.25" customHeight="1">
      <c r="A38" s="171"/>
      <c r="B38" s="582" t="s">
        <v>600</v>
      </c>
      <c r="C38" s="208">
        <f>250-0.3</f>
        <v>249.7</v>
      </c>
      <c r="D38" s="488" t="s">
        <v>758</v>
      </c>
    </row>
    <row r="39" spans="1:4" s="193" customFormat="1" ht="59.25" customHeight="1">
      <c r="A39" s="171"/>
      <c r="B39" s="583" t="s">
        <v>40</v>
      </c>
      <c r="C39" s="209">
        <f>3472.8-31.2</f>
        <v>3441.6000000000004</v>
      </c>
      <c r="D39" s="489">
        <v>902</v>
      </c>
    </row>
    <row r="40" spans="1:4" ht="56.25">
      <c r="A40" s="171"/>
      <c r="B40" s="583" t="s">
        <v>601</v>
      </c>
      <c r="C40" s="209">
        <f>11712.9-5.6</f>
        <v>11707.3</v>
      </c>
      <c r="D40" s="489">
        <v>902</v>
      </c>
    </row>
    <row r="41" spans="1:4" s="193" customFormat="1" ht="75">
      <c r="A41" s="192"/>
      <c r="B41" s="583" t="s">
        <v>301</v>
      </c>
      <c r="C41" s="781">
        <f>2399-416</f>
        <v>1983</v>
      </c>
      <c r="D41" s="489">
        <v>925</v>
      </c>
    </row>
    <row r="42" spans="1:4" s="193" customFormat="1" ht="165" customHeight="1">
      <c r="A42" s="171"/>
      <c r="B42" s="583" t="s">
        <v>602</v>
      </c>
      <c r="C42" s="209">
        <f>642.1-5.6</f>
        <v>636.5</v>
      </c>
      <c r="D42" s="489">
        <v>902</v>
      </c>
    </row>
    <row r="43" spans="1:4" ht="80.25" customHeight="1">
      <c r="A43" s="203"/>
      <c r="B43" s="583" t="s">
        <v>41</v>
      </c>
      <c r="C43" s="209">
        <v>66</v>
      </c>
      <c r="D43" s="489">
        <v>902</v>
      </c>
    </row>
    <row r="44" spans="1:4" ht="93" customHeight="1">
      <c r="A44" s="192"/>
      <c r="B44" s="583" t="s">
        <v>788</v>
      </c>
      <c r="C44" s="209">
        <v>636.70000000000005</v>
      </c>
      <c r="D44" s="489">
        <v>953</v>
      </c>
    </row>
    <row r="45" spans="1:4" s="193" customFormat="1" ht="64.150000000000006" customHeight="1">
      <c r="A45" s="192"/>
      <c r="B45" s="583" t="s">
        <v>335</v>
      </c>
      <c r="C45" s="209">
        <v>6084</v>
      </c>
      <c r="D45" s="489">
        <v>953</v>
      </c>
    </row>
    <row r="46" spans="1:4" ht="117.6" customHeight="1">
      <c r="A46" s="192"/>
      <c r="B46" s="583" t="s">
        <v>435</v>
      </c>
      <c r="C46" s="209">
        <v>10.1</v>
      </c>
      <c r="D46" s="489">
        <v>953</v>
      </c>
    </row>
    <row r="47" spans="1:4" ht="154.5" customHeight="1">
      <c r="A47" s="171"/>
      <c r="B47" s="583" t="s">
        <v>603</v>
      </c>
      <c r="C47" s="209">
        <v>66</v>
      </c>
      <c r="D47" s="489">
        <v>902</v>
      </c>
    </row>
    <row r="48" spans="1:4" s="193" customFormat="1" ht="147.75" customHeight="1">
      <c r="A48" s="192"/>
      <c r="B48" s="583" t="s">
        <v>304</v>
      </c>
      <c r="C48" s="209">
        <f>C49</f>
        <v>1999.9</v>
      </c>
      <c r="D48" s="489"/>
    </row>
    <row r="49" spans="1:7" s="193" customFormat="1" ht="60.75" customHeight="1">
      <c r="A49" s="192" t="s">
        <v>300</v>
      </c>
      <c r="B49" s="583" t="s">
        <v>604</v>
      </c>
      <c r="C49" s="781">
        <f>2188.4-188.5</f>
        <v>1999.9</v>
      </c>
      <c r="D49" s="489">
        <v>925</v>
      </c>
    </row>
    <row r="50" spans="1:7" ht="78.75" customHeight="1">
      <c r="A50" s="192"/>
      <c r="B50" s="583" t="s">
        <v>438</v>
      </c>
      <c r="C50" s="209">
        <v>243.2</v>
      </c>
      <c r="D50" s="489">
        <v>953</v>
      </c>
    </row>
    <row r="51" spans="1:7" ht="93.75">
      <c r="A51" s="192"/>
      <c r="B51" s="583" t="s">
        <v>434</v>
      </c>
      <c r="C51" s="209">
        <v>346.7</v>
      </c>
      <c r="D51" s="489">
        <v>953</v>
      </c>
    </row>
    <row r="52" spans="1:7" ht="152.44999999999999" customHeight="1">
      <c r="A52" s="192"/>
      <c r="B52" s="583" t="s">
        <v>487</v>
      </c>
      <c r="C52" s="781">
        <f>32481.8+10813.4+9277.6+1809.8</f>
        <v>54382.6</v>
      </c>
      <c r="D52" s="489">
        <v>921</v>
      </c>
    </row>
    <row r="53" spans="1:7" ht="205.9" customHeight="1">
      <c r="A53" s="192"/>
      <c r="B53" s="583" t="s">
        <v>730</v>
      </c>
      <c r="C53" s="209">
        <v>871</v>
      </c>
      <c r="D53" s="489">
        <v>953</v>
      </c>
    </row>
    <row r="54" spans="1:7" ht="131.25" customHeight="1">
      <c r="A54" s="171"/>
      <c r="B54" s="583" t="s">
        <v>686</v>
      </c>
      <c r="C54" s="209">
        <f>187.9-3.2</f>
        <v>184.70000000000002</v>
      </c>
      <c r="D54" s="489">
        <v>902</v>
      </c>
    </row>
    <row r="55" spans="1:7" ht="99.75" customHeight="1">
      <c r="A55" s="192"/>
      <c r="B55" s="583" t="s">
        <v>414</v>
      </c>
      <c r="C55" s="209">
        <f>SUM(C56:C57)</f>
        <v>631553.80000000005</v>
      </c>
      <c r="D55" s="489"/>
    </row>
    <row r="56" spans="1:7" s="193" customFormat="1" ht="27" customHeight="1">
      <c r="A56" s="192" t="s">
        <v>300</v>
      </c>
      <c r="B56" s="583" t="s">
        <v>302</v>
      </c>
      <c r="C56" s="207">
        <v>212697.8</v>
      </c>
      <c r="D56" s="489">
        <v>925</v>
      </c>
    </row>
    <row r="57" spans="1:7" s="193" customFormat="1">
      <c r="A57" s="192"/>
      <c r="B57" s="584" t="s">
        <v>303</v>
      </c>
      <c r="C57" s="207">
        <v>418856</v>
      </c>
      <c r="D57" s="489">
        <v>925</v>
      </c>
    </row>
    <row r="58" spans="1:7" s="193" customFormat="1" ht="184.9" customHeight="1">
      <c r="A58" s="192"/>
      <c r="B58" s="585" t="s">
        <v>881</v>
      </c>
      <c r="C58" s="209">
        <v>2358</v>
      </c>
      <c r="D58" s="489">
        <v>925</v>
      </c>
    </row>
    <row r="59" spans="1:7" s="193" customFormat="1" ht="96.75" customHeight="1">
      <c r="A59" s="192"/>
      <c r="B59" s="583" t="s">
        <v>735</v>
      </c>
      <c r="C59" s="781">
        <f>6749.9+479.3</f>
        <v>7229.2</v>
      </c>
      <c r="D59" s="490">
        <v>925</v>
      </c>
    </row>
    <row r="60" spans="1:7" s="193" customFormat="1" ht="150">
      <c r="A60" s="192"/>
      <c r="B60" s="583" t="s">
        <v>996</v>
      </c>
      <c r="C60" s="209">
        <v>5.2</v>
      </c>
      <c r="D60" s="490">
        <v>953</v>
      </c>
    </row>
    <row r="61" spans="1:7" ht="57" customHeight="1">
      <c r="A61" s="169" t="s">
        <v>560</v>
      </c>
      <c r="B61" s="202" t="s">
        <v>336</v>
      </c>
      <c r="C61" s="210">
        <f>C62</f>
        <v>58601.1</v>
      </c>
      <c r="D61" s="489"/>
    </row>
    <row r="62" spans="1:7" ht="75">
      <c r="A62" s="169" t="s">
        <v>552</v>
      </c>
      <c r="B62" s="202" t="s">
        <v>337</v>
      </c>
      <c r="C62" s="210">
        <f>SUM(C63:C64)</f>
        <v>58601.1</v>
      </c>
      <c r="D62" s="489"/>
    </row>
    <row r="63" spans="1:7" ht="109.15" customHeight="1">
      <c r="A63" s="192"/>
      <c r="B63" s="583" t="s">
        <v>436</v>
      </c>
      <c r="C63" s="209">
        <v>32982</v>
      </c>
      <c r="D63" s="489">
        <v>953</v>
      </c>
    </row>
    <row r="64" spans="1:7" s="181" customFormat="1" ht="75">
      <c r="A64" s="192"/>
      <c r="B64" s="582" t="s">
        <v>437</v>
      </c>
      <c r="C64" s="209">
        <v>25619.1</v>
      </c>
      <c r="D64" s="489">
        <v>953</v>
      </c>
      <c r="E64" s="178"/>
      <c r="F64" s="179"/>
      <c r="G64" s="180"/>
    </row>
    <row r="65" spans="1:7" s="181" customFormat="1" ht="88.9" customHeight="1">
      <c r="A65" s="169" t="s">
        <v>561</v>
      </c>
      <c r="B65" s="201" t="s">
        <v>299</v>
      </c>
      <c r="C65" s="210">
        <f>C66</f>
        <v>7434.2</v>
      </c>
      <c r="D65" s="489" t="s">
        <v>471</v>
      </c>
      <c r="E65" s="178"/>
      <c r="F65" s="179"/>
      <c r="G65" s="180"/>
    </row>
    <row r="66" spans="1:7" s="181" customFormat="1" ht="95.25" customHeight="1">
      <c r="A66" s="169" t="s">
        <v>551</v>
      </c>
      <c r="B66" s="201" t="s">
        <v>24</v>
      </c>
      <c r="C66" s="805">
        <f>8034.2-600</f>
        <v>7434.2</v>
      </c>
      <c r="D66" s="490">
        <v>925</v>
      </c>
      <c r="E66" s="178"/>
    </row>
    <row r="67" spans="1:7" ht="78.75" customHeight="1">
      <c r="A67" s="171" t="s">
        <v>562</v>
      </c>
      <c r="B67" s="573" t="s">
        <v>486</v>
      </c>
      <c r="C67" s="206">
        <f>C68</f>
        <v>13.2</v>
      </c>
      <c r="D67" s="489"/>
    </row>
    <row r="68" spans="1:7" ht="87" customHeight="1">
      <c r="A68" s="171" t="s">
        <v>544</v>
      </c>
      <c r="B68" s="573" t="s">
        <v>455</v>
      </c>
      <c r="C68" s="206">
        <v>13.2</v>
      </c>
      <c r="D68" s="489">
        <v>902</v>
      </c>
    </row>
    <row r="69" spans="1:7" ht="39.75" customHeight="1">
      <c r="A69" s="171" t="s">
        <v>890</v>
      </c>
      <c r="B69" s="573" t="s">
        <v>891</v>
      </c>
      <c r="C69" s="206">
        <f>C70</f>
        <v>1332.1</v>
      </c>
      <c r="D69" s="489"/>
    </row>
    <row r="70" spans="1:7" ht="40.5" customHeight="1">
      <c r="A70" s="171" t="s">
        <v>892</v>
      </c>
      <c r="B70" s="573" t="s">
        <v>893</v>
      </c>
      <c r="C70" s="206">
        <v>1332.1</v>
      </c>
      <c r="D70" s="489">
        <v>902</v>
      </c>
    </row>
    <row r="71" spans="1:7" ht="29.25" customHeight="1">
      <c r="A71" s="171" t="s">
        <v>579</v>
      </c>
      <c r="B71" s="573" t="s">
        <v>689</v>
      </c>
      <c r="C71" s="206">
        <f>C72+C74</f>
        <v>44645.2</v>
      </c>
      <c r="D71" s="489"/>
    </row>
    <row r="72" spans="1:7" ht="75" customHeight="1">
      <c r="A72" s="171" t="s">
        <v>882</v>
      </c>
      <c r="B72" s="573" t="s">
        <v>883</v>
      </c>
      <c r="C72" s="574">
        <f>C73</f>
        <v>36560.199999999997</v>
      </c>
    </row>
    <row r="73" spans="1:7" ht="93.75">
      <c r="A73" s="171" t="s">
        <v>759</v>
      </c>
      <c r="B73" s="573" t="s">
        <v>793</v>
      </c>
      <c r="C73" s="574">
        <v>36560.199999999997</v>
      </c>
    </row>
    <row r="74" spans="1:7" ht="37.5">
      <c r="A74" s="171" t="s">
        <v>1003</v>
      </c>
      <c r="B74" s="573" t="s">
        <v>1004</v>
      </c>
      <c r="C74" s="574">
        <f>C75</f>
        <v>8085</v>
      </c>
    </row>
    <row r="75" spans="1:7" ht="37.5">
      <c r="A75" s="171" t="s">
        <v>550</v>
      </c>
      <c r="B75" s="573" t="s">
        <v>21</v>
      </c>
      <c r="C75" s="574">
        <v>8085</v>
      </c>
      <c r="D75" s="184">
        <v>925</v>
      </c>
    </row>
    <row r="76" spans="1:7">
      <c r="A76" s="217"/>
      <c r="B76" s="348"/>
      <c r="C76" s="196"/>
    </row>
    <row r="77" spans="1:7">
      <c r="A77" s="217"/>
      <c r="B77" s="348"/>
      <c r="C77" s="196"/>
    </row>
    <row r="78" spans="1:7">
      <c r="A78" s="204" t="s">
        <v>467</v>
      </c>
      <c r="B78" s="177"/>
      <c r="C78" s="178"/>
      <c r="D78" s="197"/>
    </row>
    <row r="79" spans="1:7">
      <c r="A79" s="204" t="s">
        <v>468</v>
      </c>
      <c r="B79" s="177"/>
      <c r="C79" s="178"/>
      <c r="D79" s="197"/>
    </row>
    <row r="80" spans="1:7">
      <c r="A80" s="205" t="s">
        <v>469</v>
      </c>
      <c r="B80" s="177"/>
      <c r="C80" s="183" t="s">
        <v>494</v>
      </c>
      <c r="D80" s="197"/>
    </row>
    <row r="412" spans="11:12">
      <c r="K412" s="164">
        <v>135.4</v>
      </c>
      <c r="L412" s="164">
        <v>140.9</v>
      </c>
    </row>
    <row r="413" spans="11:12">
      <c r="K413" s="164">
        <v>27088.9</v>
      </c>
      <c r="L413" s="164">
        <v>28171.4</v>
      </c>
    </row>
  </sheetData>
  <autoFilter ref="A4:D80"/>
  <mergeCells count="1">
    <mergeCell ref="A8:C8"/>
  </mergeCells>
  <printOptions horizontalCentered="1"/>
  <pageMargins left="1.1811023622047245" right="0.39370078740157483" top="0.6692913385826772" bottom="0.39370078740157483" header="0" footer="0"/>
  <pageSetup paperSize="9" scale="73" fitToHeight="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J414"/>
  <sheetViews>
    <sheetView zoomScale="80" zoomScaleNormal="80" workbookViewId="0">
      <selection activeCell="D2" sqref="D2"/>
    </sheetView>
  </sheetViews>
  <sheetFormatPr defaultColWidth="8.85546875" defaultRowHeight="18.75"/>
  <cols>
    <col min="1" max="1" width="28.7109375" style="164" customWidth="1"/>
    <col min="2" max="2" width="69.140625" style="164" customWidth="1"/>
    <col min="3" max="3" width="13.5703125" style="198" customWidth="1"/>
    <col min="4" max="4" width="14.140625" style="164" customWidth="1"/>
    <col min="5" max="5" width="12.28515625" style="212" customWidth="1"/>
    <col min="6" max="16384" width="8.85546875" style="164"/>
  </cols>
  <sheetData>
    <row r="1" spans="1:4">
      <c r="D1" s="172" t="s">
        <v>461</v>
      </c>
    </row>
    <row r="2" spans="1:4">
      <c r="D2" s="404" t="s">
        <v>1035</v>
      </c>
    </row>
    <row r="4" spans="1:4">
      <c r="D4" s="172" t="s">
        <v>461</v>
      </c>
    </row>
    <row r="5" spans="1:4">
      <c r="D5" s="455" t="s">
        <v>914</v>
      </c>
    </row>
    <row r="7" spans="1:4">
      <c r="A7" s="839" t="s">
        <v>779</v>
      </c>
      <c r="B7" s="839"/>
      <c r="C7" s="839"/>
      <c r="D7" s="839"/>
    </row>
    <row r="8" spans="1:4" ht="15" customHeight="1">
      <c r="A8" s="723"/>
      <c r="B8" s="723"/>
      <c r="C8" s="185"/>
    </row>
    <row r="9" spans="1:4">
      <c r="D9" s="186" t="s">
        <v>42</v>
      </c>
    </row>
    <row r="10" spans="1:4">
      <c r="A10" s="842" t="s">
        <v>31</v>
      </c>
      <c r="B10" s="842" t="s">
        <v>32</v>
      </c>
      <c r="C10" s="840" t="s">
        <v>33</v>
      </c>
      <c r="D10" s="841"/>
    </row>
    <row r="11" spans="1:4">
      <c r="A11" s="843"/>
      <c r="B11" s="843"/>
      <c r="C11" s="187" t="s">
        <v>580</v>
      </c>
      <c r="D11" s="187" t="s">
        <v>773</v>
      </c>
    </row>
    <row r="12" spans="1:4">
      <c r="A12" s="188">
        <v>1</v>
      </c>
      <c r="B12" s="188">
        <v>2</v>
      </c>
      <c r="C12" s="189">
        <v>3</v>
      </c>
      <c r="D12" s="189">
        <v>4</v>
      </c>
    </row>
    <row r="13" spans="1:4">
      <c r="A13" s="174" t="s">
        <v>34</v>
      </c>
      <c r="B13" s="190" t="s">
        <v>367</v>
      </c>
      <c r="C13" s="191">
        <f>C14</f>
        <v>1153886.8999999999</v>
      </c>
      <c r="D13" s="191">
        <f>D14</f>
        <v>1071741.6000000001</v>
      </c>
    </row>
    <row r="14" spans="1:4" ht="37.5">
      <c r="A14" s="171" t="s">
        <v>35</v>
      </c>
      <c r="B14" s="201" t="s">
        <v>36</v>
      </c>
      <c r="C14" s="206">
        <f>C15+C37+C18+C72</f>
        <v>1153886.8999999999</v>
      </c>
      <c r="D14" s="206">
        <f>D15+D37+D18+D72</f>
        <v>1071741.6000000001</v>
      </c>
    </row>
    <row r="15" spans="1:4" ht="37.5">
      <c r="A15" s="171" t="s">
        <v>554</v>
      </c>
      <c r="B15" s="201" t="s">
        <v>410</v>
      </c>
      <c r="C15" s="206">
        <f>C16</f>
        <v>166399.6</v>
      </c>
      <c r="D15" s="206">
        <f>D16</f>
        <v>169604.1</v>
      </c>
    </row>
    <row r="16" spans="1:4">
      <c r="A16" s="171" t="s">
        <v>555</v>
      </c>
      <c r="B16" s="201" t="s">
        <v>37</v>
      </c>
      <c r="C16" s="206">
        <f>C17</f>
        <v>166399.6</v>
      </c>
      <c r="D16" s="206">
        <f>D17</f>
        <v>169604.1</v>
      </c>
    </row>
    <row r="17" spans="1:5" ht="56.25">
      <c r="A17" s="171" t="s">
        <v>545</v>
      </c>
      <c r="B17" s="201" t="s">
        <v>681</v>
      </c>
      <c r="C17" s="206">
        <v>166399.6</v>
      </c>
      <c r="D17" s="206">
        <v>169604.1</v>
      </c>
    </row>
    <row r="18" spans="1:5" ht="37.5">
      <c r="A18" s="171" t="s">
        <v>556</v>
      </c>
      <c r="B18" s="202" t="s">
        <v>454</v>
      </c>
      <c r="C18" s="206">
        <f>C19+C31+C29+C23+C25+C27</f>
        <v>172790.2</v>
      </c>
      <c r="D18" s="206">
        <f>D19+D31+D29+D23+D25+D27</f>
        <v>86071.4</v>
      </c>
    </row>
    <row r="19" spans="1:5" ht="35.25" customHeight="1">
      <c r="A19" s="171" t="s">
        <v>598</v>
      </c>
      <c r="B19" s="202" t="s">
        <v>599</v>
      </c>
      <c r="C19" s="206">
        <f>C20</f>
        <v>106849.1</v>
      </c>
      <c r="D19" s="206">
        <f>D20</f>
        <v>0</v>
      </c>
    </row>
    <row r="20" spans="1:5" ht="56.25">
      <c r="A20" s="171" t="s">
        <v>596</v>
      </c>
      <c r="B20" s="202" t="s">
        <v>597</v>
      </c>
      <c r="C20" s="206">
        <f>C21+C22</f>
        <v>106849.1</v>
      </c>
      <c r="D20" s="206">
        <f>D21+D22</f>
        <v>0</v>
      </c>
    </row>
    <row r="21" spans="1:5" ht="112.5">
      <c r="A21" s="171"/>
      <c r="B21" s="583" t="s">
        <v>1021</v>
      </c>
      <c r="C21" s="208">
        <v>95112</v>
      </c>
      <c r="D21" s="208">
        <v>0</v>
      </c>
    </row>
    <row r="22" spans="1:5" ht="53.25" customHeight="1">
      <c r="A22" s="169"/>
      <c r="B22" s="582" t="s">
        <v>794</v>
      </c>
      <c r="C22" s="207">
        <v>11737.1</v>
      </c>
      <c r="D22" s="207">
        <v>0</v>
      </c>
      <c r="E22" s="212">
        <v>921</v>
      </c>
    </row>
    <row r="23" spans="1:5" ht="156" customHeight="1">
      <c r="A23" s="171" t="s">
        <v>801</v>
      </c>
      <c r="B23" s="201" t="s">
        <v>800</v>
      </c>
      <c r="C23" s="207">
        <f>C24</f>
        <v>0</v>
      </c>
      <c r="D23" s="207">
        <f>D24</f>
        <v>20613.5</v>
      </c>
    </row>
    <row r="24" spans="1:5" ht="150.75" customHeight="1">
      <c r="A24" s="171" t="s">
        <v>803</v>
      </c>
      <c r="B24" s="201" t="s">
        <v>802</v>
      </c>
      <c r="C24" s="207"/>
      <c r="D24" s="207">
        <f>20613.5</f>
        <v>20613.5</v>
      </c>
      <c r="E24" s="212">
        <v>902</v>
      </c>
    </row>
    <row r="25" spans="1:5" ht="112.9" customHeight="1">
      <c r="A25" s="171" t="s">
        <v>804</v>
      </c>
      <c r="B25" s="201" t="s">
        <v>806</v>
      </c>
      <c r="C25" s="207">
        <f>C26</f>
        <v>0</v>
      </c>
      <c r="D25" s="207">
        <f>D26</f>
        <v>5153.3999999999996</v>
      </c>
    </row>
    <row r="26" spans="1:5" ht="111.75" customHeight="1">
      <c r="A26" s="171" t="s">
        <v>805</v>
      </c>
      <c r="B26" s="201" t="s">
        <v>807</v>
      </c>
      <c r="C26" s="207"/>
      <c r="D26" s="207">
        <f>5153.4</f>
        <v>5153.3999999999996</v>
      </c>
      <c r="E26" s="212">
        <v>902</v>
      </c>
    </row>
    <row r="27" spans="1:5" s="184" customFormat="1" ht="56.25" customHeight="1">
      <c r="A27" s="169" t="s">
        <v>884</v>
      </c>
      <c r="B27" s="202" t="s">
        <v>885</v>
      </c>
      <c r="C27" s="206">
        <f>C28</f>
        <v>0</v>
      </c>
      <c r="D27" s="206">
        <f>D28</f>
        <v>3579.1</v>
      </c>
      <c r="E27" s="212"/>
    </row>
    <row r="28" spans="1:5" s="184" customFormat="1" ht="64.5" customHeight="1">
      <c r="A28" s="169" t="s">
        <v>886</v>
      </c>
      <c r="B28" s="202" t="s">
        <v>887</v>
      </c>
      <c r="C28" s="206">
        <v>0</v>
      </c>
      <c r="D28" s="206">
        <v>3579.1</v>
      </c>
      <c r="E28" s="212">
        <v>929</v>
      </c>
    </row>
    <row r="29" spans="1:5" s="184" customFormat="1" ht="75">
      <c r="A29" s="169" t="s">
        <v>767</v>
      </c>
      <c r="B29" s="202" t="s">
        <v>768</v>
      </c>
      <c r="C29" s="206">
        <f>C30</f>
        <v>56167.5</v>
      </c>
      <c r="D29" s="206">
        <f>D30</f>
        <v>54805.599999999999</v>
      </c>
      <c r="E29" s="212"/>
    </row>
    <row r="30" spans="1:5" s="184" customFormat="1" ht="93.75">
      <c r="A30" s="169" t="s">
        <v>760</v>
      </c>
      <c r="B30" s="202" t="s">
        <v>761</v>
      </c>
      <c r="C30" s="206">
        <v>56167.5</v>
      </c>
      <c r="D30" s="206">
        <v>54805.599999999999</v>
      </c>
      <c r="E30" s="212">
        <v>925</v>
      </c>
    </row>
    <row r="31" spans="1:5">
      <c r="A31" s="169" t="s">
        <v>557</v>
      </c>
      <c r="B31" s="202" t="s">
        <v>357</v>
      </c>
      <c r="C31" s="206">
        <f>C32</f>
        <v>9773.6</v>
      </c>
      <c r="D31" s="206">
        <f>D32</f>
        <v>1919.8</v>
      </c>
    </row>
    <row r="32" spans="1:5" ht="37.5">
      <c r="A32" s="169" t="s">
        <v>542</v>
      </c>
      <c r="B32" s="202" t="s">
        <v>358</v>
      </c>
      <c r="C32" s="206">
        <f>SUM(C33:C36)</f>
        <v>9773.6</v>
      </c>
      <c r="D32" s="206">
        <f>SUM(D33:D36)</f>
        <v>1919.8</v>
      </c>
    </row>
    <row r="33" spans="1:5" ht="93" customHeight="1">
      <c r="A33" s="192"/>
      <c r="B33" s="583" t="s">
        <v>1014</v>
      </c>
      <c r="C33" s="208">
        <v>740</v>
      </c>
      <c r="D33" s="208">
        <v>740</v>
      </c>
      <c r="E33" s="212">
        <v>902</v>
      </c>
    </row>
    <row r="34" spans="1:5" ht="72.75" customHeight="1">
      <c r="A34" s="192"/>
      <c r="B34" s="583" t="s">
        <v>607</v>
      </c>
      <c r="C34" s="208">
        <v>8140.7</v>
      </c>
      <c r="D34" s="208">
        <v>1139.8</v>
      </c>
      <c r="E34" s="212">
        <v>925</v>
      </c>
    </row>
    <row r="35" spans="1:5" ht="281.25">
      <c r="A35" s="192"/>
      <c r="B35" s="582" t="s">
        <v>1019</v>
      </c>
      <c r="C35" s="208">
        <v>40</v>
      </c>
      <c r="D35" s="208">
        <v>40</v>
      </c>
      <c r="E35" s="212">
        <v>926</v>
      </c>
    </row>
    <row r="36" spans="1:5" ht="56.25">
      <c r="A36" s="192"/>
      <c r="B36" s="582" t="s">
        <v>581</v>
      </c>
      <c r="C36" s="208">
        <v>852.9</v>
      </c>
      <c r="D36" s="208">
        <v>0</v>
      </c>
      <c r="E36" s="212">
        <v>929</v>
      </c>
    </row>
    <row r="37" spans="1:5" ht="37.5">
      <c r="A37" s="171" t="s">
        <v>558</v>
      </c>
      <c r="B37" s="201" t="s">
        <v>411</v>
      </c>
      <c r="C37" s="206">
        <f>C38+C62+C66+C68+C70</f>
        <v>778136.9</v>
      </c>
      <c r="D37" s="206">
        <f>D38+D62+D66+D68+D70</f>
        <v>779505.9</v>
      </c>
    </row>
    <row r="38" spans="1:5" ht="39.75" customHeight="1">
      <c r="A38" s="171" t="s">
        <v>559</v>
      </c>
      <c r="B38" s="201" t="s">
        <v>38</v>
      </c>
      <c r="C38" s="206">
        <f>C39</f>
        <v>700815.3</v>
      </c>
      <c r="D38" s="206">
        <f>D39</f>
        <v>700904.40000000014</v>
      </c>
    </row>
    <row r="39" spans="1:5" ht="56.25">
      <c r="A39" s="171" t="s">
        <v>543</v>
      </c>
      <c r="B39" s="201" t="s">
        <v>39</v>
      </c>
      <c r="C39" s="206">
        <f>SUM(C40:C50)+SUM(C52:C57)+C60+C61</f>
        <v>700815.3</v>
      </c>
      <c r="D39" s="206">
        <f>SUM(D40:D50)+SUM(D52:D57)+D60+D61</f>
        <v>700904.40000000014</v>
      </c>
    </row>
    <row r="40" spans="1:5" ht="183.75" customHeight="1">
      <c r="A40" s="171"/>
      <c r="B40" s="582" t="s">
        <v>600</v>
      </c>
      <c r="C40" s="208">
        <v>250</v>
      </c>
      <c r="D40" s="208">
        <v>250</v>
      </c>
      <c r="E40" s="212">
        <v>929</v>
      </c>
    </row>
    <row r="41" spans="1:5" ht="75.75" customHeight="1">
      <c r="A41" s="171"/>
      <c r="B41" s="583" t="s">
        <v>40</v>
      </c>
      <c r="C41" s="209">
        <v>3441.6</v>
      </c>
      <c r="D41" s="209">
        <v>3441.6</v>
      </c>
      <c r="E41" s="212">
        <v>902</v>
      </c>
    </row>
    <row r="42" spans="1:5" ht="56.25">
      <c r="A42" s="171"/>
      <c r="B42" s="583" t="s">
        <v>601</v>
      </c>
      <c r="C42" s="209">
        <v>11707.3</v>
      </c>
      <c r="D42" s="209">
        <f>11729.7-22.4</f>
        <v>11707.300000000001</v>
      </c>
      <c r="E42" s="212">
        <v>902</v>
      </c>
    </row>
    <row r="43" spans="1:5" ht="75">
      <c r="A43" s="192"/>
      <c r="B43" s="583" t="s">
        <v>301</v>
      </c>
      <c r="C43" s="209">
        <v>2399</v>
      </c>
      <c r="D43" s="209">
        <v>2399</v>
      </c>
      <c r="E43" s="212">
        <v>925</v>
      </c>
    </row>
    <row r="44" spans="1:5" ht="182.25" customHeight="1">
      <c r="A44" s="171"/>
      <c r="B44" s="583" t="s">
        <v>602</v>
      </c>
      <c r="C44" s="209">
        <v>636.5</v>
      </c>
      <c r="D44" s="209">
        <v>636.5</v>
      </c>
      <c r="E44" s="212">
        <v>902</v>
      </c>
    </row>
    <row r="45" spans="1:5" s="193" customFormat="1" ht="92.25" customHeight="1">
      <c r="A45" s="203"/>
      <c r="B45" s="583" t="s">
        <v>41</v>
      </c>
      <c r="C45" s="209">
        <v>66</v>
      </c>
      <c r="D45" s="209">
        <v>66</v>
      </c>
      <c r="E45" s="212">
        <v>902</v>
      </c>
    </row>
    <row r="46" spans="1:5" s="193" customFormat="1" ht="97.5" customHeight="1">
      <c r="A46" s="192"/>
      <c r="B46" s="583" t="s">
        <v>788</v>
      </c>
      <c r="C46" s="209">
        <v>636.70000000000005</v>
      </c>
      <c r="D46" s="209">
        <v>636.70000000000005</v>
      </c>
      <c r="E46" s="212">
        <v>953</v>
      </c>
    </row>
    <row r="47" spans="1:5" s="193" customFormat="1" ht="59.25" customHeight="1">
      <c r="A47" s="192"/>
      <c r="B47" s="583" t="s">
        <v>335</v>
      </c>
      <c r="C47" s="209">
        <v>6084</v>
      </c>
      <c r="D47" s="209">
        <v>6084</v>
      </c>
      <c r="E47" s="212">
        <v>953</v>
      </c>
    </row>
    <row r="48" spans="1:5" s="193" customFormat="1" ht="128.25" customHeight="1">
      <c r="A48" s="192"/>
      <c r="B48" s="583" t="s">
        <v>435</v>
      </c>
      <c r="C48" s="209">
        <v>10.1</v>
      </c>
      <c r="D48" s="209">
        <v>10.1</v>
      </c>
      <c r="E48" s="212">
        <v>953</v>
      </c>
    </row>
    <row r="49" spans="1:5" s="193" customFormat="1" ht="166.5" customHeight="1">
      <c r="A49" s="171"/>
      <c r="B49" s="583" t="s">
        <v>603</v>
      </c>
      <c r="C49" s="209">
        <v>66</v>
      </c>
      <c r="D49" s="209">
        <v>66</v>
      </c>
      <c r="E49" s="212">
        <v>902</v>
      </c>
    </row>
    <row r="50" spans="1:5" s="193" customFormat="1" ht="168.75" customHeight="1">
      <c r="A50" s="192"/>
      <c r="B50" s="583" t="s">
        <v>304</v>
      </c>
      <c r="C50" s="209">
        <f>C51</f>
        <v>2263.8000000000002</v>
      </c>
      <c r="D50" s="209">
        <f>D51</f>
        <v>2342.6999999999998</v>
      </c>
      <c r="E50" s="212"/>
    </row>
    <row r="51" spans="1:5" s="193" customFormat="1" ht="69.75" customHeight="1">
      <c r="A51" s="192" t="s">
        <v>300</v>
      </c>
      <c r="B51" s="583" t="s">
        <v>604</v>
      </c>
      <c r="C51" s="209">
        <v>2263.8000000000002</v>
      </c>
      <c r="D51" s="209">
        <v>2342.6999999999998</v>
      </c>
      <c r="E51" s="212">
        <v>925</v>
      </c>
    </row>
    <row r="52" spans="1:5" s="193" customFormat="1" ht="95.25" customHeight="1">
      <c r="A52" s="192"/>
      <c r="B52" s="583" t="s">
        <v>438</v>
      </c>
      <c r="C52" s="209">
        <v>252.9</v>
      </c>
      <c r="D52" s="209">
        <v>263.10000000000002</v>
      </c>
      <c r="E52" s="212">
        <v>953</v>
      </c>
    </row>
    <row r="53" spans="1:5" ht="114.75" customHeight="1">
      <c r="A53" s="192"/>
      <c r="B53" s="583" t="s">
        <v>434</v>
      </c>
      <c r="C53" s="209">
        <v>346.7</v>
      </c>
      <c r="D53" s="209">
        <v>346.7</v>
      </c>
      <c r="E53" s="212">
        <v>953</v>
      </c>
    </row>
    <row r="54" spans="1:5" ht="148.5" customHeight="1">
      <c r="A54" s="192"/>
      <c r="B54" s="583" t="s">
        <v>487</v>
      </c>
      <c r="C54" s="209">
        <v>30934.1</v>
      </c>
      <c r="D54" s="209">
        <f>32480.4-1546.3</f>
        <v>30934.100000000002</v>
      </c>
      <c r="E54" s="212">
        <v>921</v>
      </c>
    </row>
    <row r="55" spans="1:5" ht="245.25" customHeight="1">
      <c r="A55" s="192"/>
      <c r="B55" s="583" t="s">
        <v>730</v>
      </c>
      <c r="C55" s="209">
        <v>871</v>
      </c>
      <c r="D55" s="209">
        <v>871</v>
      </c>
      <c r="E55" s="212">
        <v>953</v>
      </c>
    </row>
    <row r="56" spans="1:5" ht="153" customHeight="1">
      <c r="A56" s="171"/>
      <c r="B56" s="583" t="s">
        <v>686</v>
      </c>
      <c r="C56" s="209">
        <v>187.9</v>
      </c>
      <c r="D56" s="209">
        <v>187.9</v>
      </c>
      <c r="E56" s="212">
        <v>902</v>
      </c>
    </row>
    <row r="57" spans="1:5" ht="96.75" customHeight="1">
      <c r="A57" s="192"/>
      <c r="B57" s="583" t="s">
        <v>414</v>
      </c>
      <c r="C57" s="209">
        <f>SUM(C58:C59)</f>
        <v>631553.80000000005</v>
      </c>
      <c r="D57" s="209">
        <f>SUM(D58:D59)</f>
        <v>631553.80000000005</v>
      </c>
    </row>
    <row r="58" spans="1:5" ht="20.25" customHeight="1">
      <c r="A58" s="192" t="s">
        <v>300</v>
      </c>
      <c r="B58" s="583" t="s">
        <v>302</v>
      </c>
      <c r="C58" s="207">
        <v>212697.8</v>
      </c>
      <c r="D58" s="207">
        <v>212697.8</v>
      </c>
      <c r="E58" s="212">
        <v>925</v>
      </c>
    </row>
    <row r="59" spans="1:5">
      <c r="A59" s="192"/>
      <c r="B59" s="584" t="s">
        <v>303</v>
      </c>
      <c r="C59" s="207">
        <v>418856</v>
      </c>
      <c r="D59" s="207">
        <v>418856</v>
      </c>
      <c r="E59" s="212">
        <v>925</v>
      </c>
    </row>
    <row r="60" spans="1:5" ht="224.25" customHeight="1">
      <c r="A60" s="192"/>
      <c r="B60" s="585" t="s">
        <v>881</v>
      </c>
      <c r="C60" s="209">
        <v>2358</v>
      </c>
      <c r="D60" s="209">
        <v>2358</v>
      </c>
      <c r="E60" s="212">
        <v>925</v>
      </c>
    </row>
    <row r="61" spans="1:5" ht="114.75" customHeight="1">
      <c r="A61" s="192"/>
      <c r="B61" s="583" t="s">
        <v>735</v>
      </c>
      <c r="C61" s="209">
        <v>6749.9</v>
      </c>
      <c r="D61" s="209">
        <v>6749.9</v>
      </c>
      <c r="E61" s="212">
        <v>925</v>
      </c>
    </row>
    <row r="62" spans="1:5" ht="56.25">
      <c r="A62" s="169" t="s">
        <v>560</v>
      </c>
      <c r="B62" s="202" t="s">
        <v>336</v>
      </c>
      <c r="C62" s="210">
        <f>C63</f>
        <v>59920.4</v>
      </c>
      <c r="D62" s="210">
        <f>D63</f>
        <v>61293</v>
      </c>
    </row>
    <row r="63" spans="1:5" ht="75">
      <c r="A63" s="169" t="s">
        <v>552</v>
      </c>
      <c r="B63" s="202" t="s">
        <v>337</v>
      </c>
      <c r="C63" s="210">
        <f>SUM(C64:C65)</f>
        <v>59920.4</v>
      </c>
      <c r="D63" s="210">
        <f>SUM(D64:D65)</f>
        <v>61293</v>
      </c>
    </row>
    <row r="64" spans="1:5" s="181" customFormat="1" ht="135" customHeight="1">
      <c r="A64" s="192"/>
      <c r="B64" s="583" t="s">
        <v>436</v>
      </c>
      <c r="C64" s="209">
        <v>34301.300000000003</v>
      </c>
      <c r="D64" s="209">
        <v>35673.9</v>
      </c>
      <c r="E64" s="212">
        <v>953</v>
      </c>
    </row>
    <row r="65" spans="1:5" s="181" customFormat="1" ht="90.75" customHeight="1">
      <c r="A65" s="192"/>
      <c r="B65" s="582" t="s">
        <v>437</v>
      </c>
      <c r="C65" s="209">
        <v>25619.1</v>
      </c>
      <c r="D65" s="209">
        <v>25619.1</v>
      </c>
      <c r="E65" s="212">
        <v>953</v>
      </c>
    </row>
    <row r="66" spans="1:5" s="181" customFormat="1" ht="98.25" customHeight="1">
      <c r="A66" s="169" t="s">
        <v>561</v>
      </c>
      <c r="B66" s="201" t="s">
        <v>299</v>
      </c>
      <c r="C66" s="210">
        <f>C67</f>
        <v>8034.2</v>
      </c>
      <c r="D66" s="210">
        <f>D67</f>
        <v>8034.2</v>
      </c>
      <c r="E66" s="212" t="s">
        <v>471</v>
      </c>
    </row>
    <row r="67" spans="1:5" ht="93" customHeight="1">
      <c r="A67" s="169" t="s">
        <v>551</v>
      </c>
      <c r="B67" s="201" t="s">
        <v>24</v>
      </c>
      <c r="C67" s="210">
        <v>8034.2</v>
      </c>
      <c r="D67" s="210">
        <v>8034.2</v>
      </c>
      <c r="E67" s="213">
        <v>925</v>
      </c>
    </row>
    <row r="68" spans="1:5" ht="79.5" customHeight="1">
      <c r="A68" s="169" t="s">
        <v>605</v>
      </c>
      <c r="B68" s="201" t="s">
        <v>606</v>
      </c>
      <c r="C68" s="210">
        <f>C69</f>
        <v>9268.6</v>
      </c>
      <c r="D68" s="210">
        <f>D69</f>
        <v>9268.6</v>
      </c>
      <c r="E68" s="213"/>
    </row>
    <row r="69" spans="1:5" ht="77.25" customHeight="1">
      <c r="A69" s="169" t="s">
        <v>548</v>
      </c>
      <c r="B69" s="201" t="s">
        <v>19</v>
      </c>
      <c r="C69" s="210">
        <v>9268.6</v>
      </c>
      <c r="D69" s="210">
        <v>9268.6</v>
      </c>
      <c r="E69" s="213">
        <v>921</v>
      </c>
    </row>
    <row r="70" spans="1:5" ht="75">
      <c r="A70" s="171" t="s">
        <v>562</v>
      </c>
      <c r="B70" s="573" t="s">
        <v>486</v>
      </c>
      <c r="C70" s="206">
        <f>C71</f>
        <v>98.4</v>
      </c>
      <c r="D70" s="206">
        <f>D71</f>
        <v>5.7</v>
      </c>
    </row>
    <row r="71" spans="1:5" ht="75" customHeight="1">
      <c r="A71" s="171" t="s">
        <v>544</v>
      </c>
      <c r="B71" s="573" t="s">
        <v>455</v>
      </c>
      <c r="C71" s="206">
        <v>98.4</v>
      </c>
      <c r="D71" s="206">
        <v>5.7</v>
      </c>
      <c r="E71" s="212">
        <v>902</v>
      </c>
    </row>
    <row r="72" spans="1:5" ht="28.5" customHeight="1">
      <c r="A72" s="171" t="s">
        <v>579</v>
      </c>
      <c r="B72" s="573" t="s">
        <v>689</v>
      </c>
      <c r="C72" s="206">
        <f>C73</f>
        <v>36560.199999999997</v>
      </c>
      <c r="D72" s="206">
        <f>D73</f>
        <v>36560.199999999997</v>
      </c>
    </row>
    <row r="73" spans="1:5" ht="90.75" customHeight="1">
      <c r="A73" s="171" t="s">
        <v>882</v>
      </c>
      <c r="B73" s="573" t="s">
        <v>883</v>
      </c>
      <c r="C73" s="206">
        <f>C74</f>
        <v>36560.199999999997</v>
      </c>
      <c r="D73" s="206">
        <f>D74</f>
        <v>36560.199999999997</v>
      </c>
    </row>
    <row r="74" spans="1:5" ht="96" customHeight="1">
      <c r="A74" s="171" t="s">
        <v>759</v>
      </c>
      <c r="B74" s="573" t="s">
        <v>793</v>
      </c>
      <c r="C74" s="206">
        <v>36560.199999999997</v>
      </c>
      <c r="D74" s="206">
        <v>36560.199999999997</v>
      </c>
      <c r="E74" s="212">
        <v>925</v>
      </c>
    </row>
    <row r="75" spans="1:5">
      <c r="A75" s="217"/>
      <c r="B75" s="348"/>
      <c r="C75" s="349"/>
      <c r="D75" s="349"/>
    </row>
    <row r="76" spans="1:5">
      <c r="A76" s="194"/>
      <c r="B76" s="195"/>
      <c r="C76" s="196"/>
    </row>
    <row r="77" spans="1:5">
      <c r="A77" s="176" t="s">
        <v>467</v>
      </c>
      <c r="B77" s="177"/>
      <c r="C77" s="178"/>
      <c r="D77" s="178"/>
      <c r="E77" s="481"/>
    </row>
    <row r="78" spans="1:5">
      <c r="A78" s="176" t="s">
        <v>468</v>
      </c>
      <c r="B78" s="177"/>
      <c r="C78" s="178"/>
      <c r="D78" s="178"/>
      <c r="E78" s="481"/>
    </row>
    <row r="79" spans="1:5">
      <c r="A79" s="182" t="s">
        <v>469</v>
      </c>
      <c r="B79" s="177"/>
      <c r="C79" s="181"/>
      <c r="D79" s="183" t="s">
        <v>494</v>
      </c>
      <c r="E79" s="481"/>
    </row>
    <row r="413" spans="9:10">
      <c r="I413" s="164">
        <v>135.4</v>
      </c>
      <c r="J413" s="164">
        <v>140.9</v>
      </c>
    </row>
    <row r="414" spans="9:10">
      <c r="I414" s="164">
        <v>27088.9</v>
      </c>
      <c r="J414" s="164">
        <v>28171.4</v>
      </c>
    </row>
  </sheetData>
  <autoFilter ref="A12:J74"/>
  <mergeCells count="4">
    <mergeCell ref="C10:D10"/>
    <mergeCell ref="A10:A11"/>
    <mergeCell ref="B10:B11"/>
    <mergeCell ref="A7:D7"/>
  </mergeCells>
  <printOptions horizontalCentered="1"/>
  <pageMargins left="1.1811023622047245" right="0.39370078740157483" top="0.6692913385826772" bottom="0.39370078740157483" header="0.31496062992125984" footer="0"/>
  <pageSetup paperSize="9" scale="67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N56"/>
  <sheetViews>
    <sheetView zoomScaleSheetLayoutView="85" workbookViewId="0">
      <selection activeCell="C2" sqref="C2"/>
    </sheetView>
  </sheetViews>
  <sheetFormatPr defaultColWidth="9.140625" defaultRowHeight="18.75"/>
  <cols>
    <col min="1" max="1" width="28.140625" style="476" customWidth="1"/>
    <col min="2" max="2" width="78.7109375" style="476" customWidth="1"/>
    <col min="3" max="3" width="16" style="672" customWidth="1"/>
    <col min="4" max="4" width="17.42578125" style="672" customWidth="1"/>
    <col min="5" max="5" width="15.140625" style="672" customWidth="1"/>
    <col min="6" max="6" width="14.28515625" style="740" customWidth="1"/>
    <col min="7" max="7" width="14.5703125" style="476" customWidth="1"/>
    <col min="8" max="8" width="20.7109375" style="476" customWidth="1"/>
    <col min="9" max="9" width="30.7109375" style="476" customWidth="1"/>
    <col min="10" max="16384" width="9.140625" style="476"/>
  </cols>
  <sheetData>
    <row r="1" spans="1:8">
      <c r="C1" s="404" t="s">
        <v>470</v>
      </c>
    </row>
    <row r="2" spans="1:8">
      <c r="C2" s="404" t="s">
        <v>1035</v>
      </c>
    </row>
    <row r="4" spans="1:8">
      <c r="C4" s="404" t="s">
        <v>470</v>
      </c>
    </row>
    <row r="5" spans="1:8">
      <c r="C5" s="455" t="s">
        <v>914</v>
      </c>
    </row>
    <row r="6" spans="1:8" ht="12.75" customHeight="1"/>
    <row r="7" spans="1:8" ht="12.75" customHeight="1">
      <c r="F7" s="587"/>
    </row>
    <row r="8" spans="1:8" ht="84.75" customHeight="1">
      <c r="A8" s="844" t="s">
        <v>780</v>
      </c>
      <c r="B8" s="844"/>
      <c r="C8" s="844"/>
      <c r="D8" s="741"/>
      <c r="E8" s="741"/>
      <c r="F8" s="741"/>
      <c r="G8" s="742"/>
      <c r="H8" s="742"/>
    </row>
    <row r="9" spans="1:8" ht="14.25" customHeight="1">
      <c r="A9" s="743"/>
      <c r="B9" s="743"/>
      <c r="C9" s="741"/>
      <c r="D9" s="741"/>
      <c r="E9" s="741"/>
      <c r="F9" s="741"/>
      <c r="G9" s="742"/>
      <c r="H9" s="742"/>
    </row>
    <row r="10" spans="1:8">
      <c r="C10" s="468" t="s">
        <v>42</v>
      </c>
      <c r="F10" s="468"/>
    </row>
    <row r="11" spans="1:8" s="164" customFormat="1">
      <c r="A11" s="171" t="s">
        <v>31</v>
      </c>
      <c r="B11" s="171" t="s">
        <v>32</v>
      </c>
      <c r="C11" s="187" t="s">
        <v>33</v>
      </c>
      <c r="D11" s="184"/>
    </row>
    <row r="12" spans="1:8" s="164" customFormat="1">
      <c r="A12" s="171">
        <v>1</v>
      </c>
      <c r="B12" s="171">
        <v>2</v>
      </c>
      <c r="C12" s="189">
        <v>3</v>
      </c>
      <c r="D12" s="184"/>
    </row>
    <row r="13" spans="1:8" s="164" customFormat="1">
      <c r="A13" s="174" t="s">
        <v>34</v>
      </c>
      <c r="B13" s="190" t="s">
        <v>367</v>
      </c>
      <c r="C13" s="191">
        <f>C14</f>
        <v>2062.6</v>
      </c>
      <c r="D13" s="211"/>
    </row>
    <row r="14" spans="1:8" s="164" customFormat="1" ht="37.5">
      <c r="A14" s="171" t="s">
        <v>35</v>
      </c>
      <c r="B14" s="201" t="s">
        <v>36</v>
      </c>
      <c r="C14" s="206">
        <f>C15</f>
        <v>2062.6</v>
      </c>
      <c r="D14" s="211"/>
    </row>
    <row r="15" spans="1:8">
      <c r="A15" s="261" t="s">
        <v>579</v>
      </c>
      <c r="B15" s="579" t="s">
        <v>689</v>
      </c>
      <c r="C15" s="744">
        <f>C16</f>
        <v>2062.6</v>
      </c>
      <c r="D15" s="476"/>
      <c r="E15" s="476"/>
      <c r="F15" s="476"/>
    </row>
    <row r="16" spans="1:8" ht="75">
      <c r="A16" s="261" t="s">
        <v>690</v>
      </c>
      <c r="B16" s="579" t="s">
        <v>691</v>
      </c>
      <c r="C16" s="744">
        <f>C17</f>
        <v>2062.6</v>
      </c>
      <c r="D16" s="476"/>
      <c r="E16" s="476"/>
      <c r="F16" s="476"/>
    </row>
    <row r="17" spans="1:6" ht="93.75">
      <c r="A17" s="261" t="s">
        <v>547</v>
      </c>
      <c r="B17" s="579" t="s">
        <v>16</v>
      </c>
      <c r="C17" s="744">
        <f>C18+C31+C41</f>
        <v>2062.6</v>
      </c>
      <c r="D17" s="476"/>
      <c r="E17" s="476"/>
      <c r="F17" s="476"/>
    </row>
    <row r="18" spans="1:6" ht="37.5">
      <c r="A18" s="261"/>
      <c r="B18" s="579" t="s">
        <v>258</v>
      </c>
      <c r="C18" s="472">
        <f>SUM(C19:C30)</f>
        <v>914.3</v>
      </c>
      <c r="D18" s="476"/>
      <c r="E18" s="476"/>
      <c r="F18" s="476"/>
    </row>
    <row r="19" spans="1:6">
      <c r="A19" s="261"/>
      <c r="B19" s="745" t="s">
        <v>370</v>
      </c>
      <c r="C19" s="746">
        <v>475</v>
      </c>
      <c r="D19" s="476"/>
      <c r="E19" s="476"/>
      <c r="F19" s="476"/>
    </row>
    <row r="20" spans="1:6">
      <c r="A20" s="261"/>
      <c r="B20" s="745" t="s">
        <v>371</v>
      </c>
      <c r="C20" s="746">
        <v>75.900000000000006</v>
      </c>
      <c r="D20" s="476"/>
      <c r="E20" s="476"/>
      <c r="F20" s="476"/>
    </row>
    <row r="21" spans="1:6">
      <c r="A21" s="261"/>
      <c r="B21" s="745" t="s">
        <v>372</v>
      </c>
      <c r="C21" s="746">
        <v>164.7</v>
      </c>
      <c r="D21" s="476"/>
      <c r="E21" s="476"/>
      <c r="F21" s="476"/>
    </row>
    <row r="22" spans="1:6">
      <c r="A22" s="261"/>
      <c r="B22" s="745" t="s">
        <v>373</v>
      </c>
      <c r="C22" s="746">
        <v>42</v>
      </c>
      <c r="D22" s="476"/>
      <c r="E22" s="476"/>
      <c r="F22" s="476"/>
    </row>
    <row r="23" spans="1:6">
      <c r="A23" s="261"/>
      <c r="B23" s="745" t="s">
        <v>283</v>
      </c>
      <c r="C23" s="746">
        <v>27.3</v>
      </c>
      <c r="D23" s="476"/>
      <c r="E23" s="476"/>
      <c r="F23" s="476"/>
    </row>
    <row r="24" spans="1:6">
      <c r="A24" s="261"/>
      <c r="B24" s="745" t="s">
        <v>374</v>
      </c>
      <c r="C24" s="746">
        <v>18.7</v>
      </c>
      <c r="D24" s="476"/>
      <c r="E24" s="476"/>
      <c r="F24" s="476"/>
    </row>
    <row r="25" spans="1:6">
      <c r="A25" s="261"/>
      <c r="B25" s="745" t="s">
        <v>375</v>
      </c>
      <c r="C25" s="746">
        <v>23.7</v>
      </c>
      <c r="D25" s="476"/>
      <c r="E25" s="476"/>
      <c r="F25" s="476"/>
    </row>
    <row r="26" spans="1:6">
      <c r="A26" s="261"/>
      <c r="B26" s="745" t="s">
        <v>285</v>
      </c>
      <c r="C26" s="746">
        <v>26.7</v>
      </c>
      <c r="D26" s="476"/>
      <c r="E26" s="476"/>
      <c r="F26" s="476"/>
    </row>
    <row r="27" spans="1:6">
      <c r="A27" s="261"/>
      <c r="B27" s="745" t="s">
        <v>286</v>
      </c>
      <c r="C27" s="746">
        <v>14.5</v>
      </c>
      <c r="D27" s="476"/>
      <c r="E27" s="476"/>
      <c r="F27" s="476"/>
    </row>
    <row r="28" spans="1:6">
      <c r="A28" s="261"/>
      <c r="B28" s="745" t="s">
        <v>287</v>
      </c>
      <c r="C28" s="746">
        <v>7.5</v>
      </c>
      <c r="D28" s="476"/>
      <c r="E28" s="476"/>
      <c r="F28" s="476"/>
    </row>
    <row r="29" spans="1:6">
      <c r="A29" s="261"/>
      <c r="B29" s="745" t="s">
        <v>288</v>
      </c>
      <c r="C29" s="746">
        <v>20.8</v>
      </c>
      <c r="D29" s="476"/>
      <c r="E29" s="476"/>
      <c r="F29" s="476"/>
    </row>
    <row r="30" spans="1:6">
      <c r="A30" s="261"/>
      <c r="B30" s="745" t="s">
        <v>289</v>
      </c>
      <c r="C30" s="746">
        <v>17.5</v>
      </c>
      <c r="D30" s="476"/>
      <c r="E30" s="476"/>
      <c r="F30" s="476"/>
    </row>
    <row r="31" spans="1:6" ht="37.5">
      <c r="A31" s="261"/>
      <c r="B31" s="579" t="s">
        <v>237</v>
      </c>
      <c r="C31" s="472">
        <f>SUM(C32:C40)</f>
        <v>441</v>
      </c>
      <c r="D31" s="476"/>
      <c r="E31" s="476"/>
      <c r="F31" s="476"/>
    </row>
    <row r="32" spans="1:6">
      <c r="A32" s="261"/>
      <c r="B32" s="745" t="s">
        <v>371</v>
      </c>
      <c r="C32" s="746">
        <v>70</v>
      </c>
      <c r="D32" s="476"/>
      <c r="E32" s="476"/>
      <c r="F32" s="476"/>
    </row>
    <row r="33" spans="1:9">
      <c r="A33" s="261"/>
      <c r="B33" s="745" t="s">
        <v>373</v>
      </c>
      <c r="C33" s="746">
        <v>60</v>
      </c>
      <c r="D33" s="476"/>
      <c r="E33" s="476"/>
      <c r="F33" s="476"/>
    </row>
    <row r="34" spans="1:9">
      <c r="A34" s="261"/>
      <c r="B34" s="745" t="s">
        <v>283</v>
      </c>
      <c r="C34" s="746">
        <v>100</v>
      </c>
      <c r="D34" s="476"/>
      <c r="E34" s="476"/>
      <c r="F34" s="476"/>
    </row>
    <row r="35" spans="1:9">
      <c r="A35" s="261"/>
      <c r="B35" s="745" t="s">
        <v>374</v>
      </c>
      <c r="C35" s="746">
        <v>66</v>
      </c>
      <c r="D35" s="476"/>
      <c r="E35" s="476"/>
      <c r="F35" s="476"/>
    </row>
    <row r="36" spans="1:9">
      <c r="A36" s="261"/>
      <c r="B36" s="745" t="s">
        <v>375</v>
      </c>
      <c r="C36" s="746">
        <v>15</v>
      </c>
      <c r="D36" s="476"/>
      <c r="E36" s="476"/>
      <c r="F36" s="476"/>
    </row>
    <row r="37" spans="1:9">
      <c r="A37" s="261"/>
      <c r="B37" s="745" t="s">
        <v>285</v>
      </c>
      <c r="C37" s="746">
        <v>15</v>
      </c>
      <c r="D37" s="476"/>
      <c r="E37" s="476"/>
      <c r="F37" s="476"/>
    </row>
    <row r="38" spans="1:9">
      <c r="A38" s="261"/>
      <c r="B38" s="745" t="s">
        <v>286</v>
      </c>
      <c r="C38" s="746">
        <v>55</v>
      </c>
      <c r="D38" s="476"/>
      <c r="E38" s="476"/>
      <c r="F38" s="476"/>
    </row>
    <row r="39" spans="1:9">
      <c r="A39" s="261"/>
      <c r="B39" s="745" t="s">
        <v>287</v>
      </c>
      <c r="C39" s="746">
        <v>5</v>
      </c>
      <c r="D39" s="476"/>
      <c r="E39" s="476"/>
      <c r="F39" s="476"/>
    </row>
    <row r="40" spans="1:9">
      <c r="A40" s="261"/>
      <c r="B40" s="745" t="s">
        <v>288</v>
      </c>
      <c r="C40" s="746">
        <v>55</v>
      </c>
      <c r="D40" s="476"/>
      <c r="E40" s="476"/>
      <c r="F40" s="476"/>
    </row>
    <row r="41" spans="1:9" ht="37.5">
      <c r="A41" s="261"/>
      <c r="B41" s="579" t="s">
        <v>463</v>
      </c>
      <c r="C41" s="472">
        <f>SUM(C42:C51)</f>
        <v>707.30000000000007</v>
      </c>
      <c r="D41" s="476"/>
      <c r="E41" s="476"/>
      <c r="F41" s="476"/>
    </row>
    <row r="42" spans="1:9">
      <c r="A42" s="261"/>
      <c r="B42" s="745" t="s">
        <v>370</v>
      </c>
      <c r="C42" s="746">
        <v>312.10000000000002</v>
      </c>
      <c r="D42" s="476"/>
      <c r="E42" s="476"/>
      <c r="F42" s="476"/>
    </row>
    <row r="43" spans="1:9">
      <c r="A43" s="747"/>
      <c r="B43" s="745" t="s">
        <v>372</v>
      </c>
      <c r="C43" s="746">
        <v>177</v>
      </c>
      <c r="F43" s="468"/>
    </row>
    <row r="44" spans="1:9">
      <c r="A44" s="747"/>
      <c r="B44" s="745" t="s">
        <v>373</v>
      </c>
      <c r="C44" s="746">
        <v>26.7</v>
      </c>
      <c r="F44" s="468"/>
    </row>
    <row r="45" spans="1:9">
      <c r="A45" s="747"/>
      <c r="B45" s="745" t="s">
        <v>283</v>
      </c>
      <c r="C45" s="746">
        <v>47.1</v>
      </c>
      <c r="F45" s="468"/>
    </row>
    <row r="46" spans="1:9">
      <c r="A46" s="747"/>
      <c r="B46" s="745" t="s">
        <v>374</v>
      </c>
      <c r="C46" s="746">
        <v>26.7</v>
      </c>
      <c r="F46" s="468"/>
    </row>
    <row r="47" spans="1:9">
      <c r="A47" s="747"/>
      <c r="B47" s="745" t="s">
        <v>375</v>
      </c>
      <c r="C47" s="746">
        <v>17.8</v>
      </c>
    </row>
    <row r="48" spans="1:9" s="250" customFormat="1">
      <c r="A48" s="748"/>
      <c r="B48" s="745" t="s">
        <v>286</v>
      </c>
      <c r="C48" s="746">
        <v>24.7</v>
      </c>
      <c r="D48" s="254"/>
      <c r="E48" s="254"/>
      <c r="F48" s="254"/>
      <c r="G48" s="178"/>
      <c r="H48" s="343"/>
      <c r="I48" s="394"/>
    </row>
    <row r="49" spans="1:14" s="250" customFormat="1">
      <c r="A49" s="748"/>
      <c r="B49" s="745" t="s">
        <v>287</v>
      </c>
      <c r="C49" s="746">
        <v>9.8000000000000007</v>
      </c>
      <c r="D49" s="254"/>
      <c r="E49" s="254"/>
      <c r="F49" s="254"/>
      <c r="G49" s="178"/>
      <c r="H49" s="343"/>
      <c r="I49" s="394"/>
    </row>
    <row r="50" spans="1:14" s="250" customFormat="1">
      <c r="A50" s="748"/>
      <c r="B50" s="745" t="s">
        <v>288</v>
      </c>
      <c r="C50" s="746">
        <v>39.6</v>
      </c>
      <c r="D50" s="254"/>
      <c r="E50" s="254"/>
      <c r="G50" s="178"/>
    </row>
    <row r="51" spans="1:14">
      <c r="A51" s="747"/>
      <c r="B51" s="745" t="s">
        <v>289</v>
      </c>
      <c r="C51" s="746">
        <v>25.8</v>
      </c>
    </row>
    <row r="52" spans="1:14" ht="14.25" customHeight="1">
      <c r="A52" s="749"/>
      <c r="B52" s="750"/>
      <c r="C52" s="751"/>
    </row>
    <row r="53" spans="1:14" ht="15" customHeight="1">
      <c r="G53" s="678"/>
      <c r="H53" s="678"/>
      <c r="I53" s="678"/>
      <c r="J53" s="752"/>
      <c r="K53" s="752"/>
      <c r="L53" s="752"/>
      <c r="M53" s="753"/>
      <c r="N53" s="752"/>
    </row>
    <row r="54" spans="1:14">
      <c r="A54" s="344" t="s">
        <v>467</v>
      </c>
      <c r="C54" s="346" t="s">
        <v>494</v>
      </c>
      <c r="D54" s="679"/>
      <c r="E54" s="679"/>
      <c r="F54" s="754"/>
    </row>
    <row r="55" spans="1:14">
      <c r="A55" s="344" t="s">
        <v>468</v>
      </c>
    </row>
    <row r="56" spans="1:14">
      <c r="A56" s="345" t="s">
        <v>469</v>
      </c>
    </row>
  </sheetData>
  <mergeCells count="1">
    <mergeCell ref="A8:C8"/>
  </mergeCells>
  <printOptions horizontalCentered="1"/>
  <pageMargins left="1.1811023622047245" right="0.39370078740157483" top="0.78740157480314965" bottom="0.78740157480314965" header="0" footer="0"/>
  <pageSetup paperSize="9" scale="69" fitToHeight="0" orientation="portrait" blackAndWhite="1" r:id="rId1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E70"/>
  <sheetViews>
    <sheetView zoomScale="80" zoomScaleNormal="80" zoomScaleSheetLayoutView="80" workbookViewId="0">
      <selection activeCell="E2" sqref="E2"/>
    </sheetView>
  </sheetViews>
  <sheetFormatPr defaultColWidth="9.140625" defaultRowHeight="18.75"/>
  <cols>
    <col min="1" max="1" width="16.7109375" style="653" customWidth="1"/>
    <col min="2" max="2" width="60.7109375" style="9" customWidth="1"/>
    <col min="3" max="3" width="13.42578125" style="9" customWidth="1"/>
    <col min="4" max="4" width="16.28515625" style="9" customWidth="1"/>
    <col min="5" max="5" width="15.7109375" style="11" customWidth="1"/>
    <col min="6" max="6" width="8.140625" style="9" customWidth="1"/>
    <col min="7" max="7" width="22.85546875" style="9" customWidth="1"/>
    <col min="8" max="16384" width="9.140625" style="9"/>
  </cols>
  <sheetData>
    <row r="1" spans="1:5" ht="18" customHeight="1">
      <c r="A1" s="845" t="s">
        <v>989</v>
      </c>
      <c r="B1" s="845"/>
      <c r="C1" s="845"/>
      <c r="D1" s="845"/>
      <c r="E1" s="845"/>
    </row>
    <row r="2" spans="1:5">
      <c r="A2" s="9"/>
      <c r="E2" s="455" t="s">
        <v>1038</v>
      </c>
    </row>
    <row r="4" spans="1:5" ht="18" customHeight="1">
      <c r="A4" s="845" t="s">
        <v>577</v>
      </c>
      <c r="B4" s="845"/>
      <c r="C4" s="845"/>
      <c r="D4" s="845"/>
      <c r="E4" s="845"/>
    </row>
    <row r="5" spans="1:5">
      <c r="A5" s="9"/>
      <c r="E5" s="455" t="s">
        <v>914</v>
      </c>
    </row>
    <row r="6" spans="1:5">
      <c r="B6" s="10"/>
      <c r="C6" s="10"/>
      <c r="D6" s="10"/>
    </row>
    <row r="7" spans="1:5">
      <c r="A7" s="851" t="s">
        <v>498</v>
      </c>
      <c r="B7" s="849"/>
      <c r="C7" s="849"/>
      <c r="D7" s="849"/>
      <c r="E7" s="849"/>
    </row>
    <row r="8" spans="1:5">
      <c r="A8" s="851" t="s">
        <v>499</v>
      </c>
      <c r="B8" s="849"/>
      <c r="C8" s="849"/>
      <c r="D8" s="849"/>
      <c r="E8" s="849"/>
    </row>
    <row r="9" spans="1:5">
      <c r="A9" s="851" t="s">
        <v>787</v>
      </c>
      <c r="B9" s="849"/>
      <c r="C9" s="849"/>
      <c r="D9" s="849"/>
      <c r="E9" s="849"/>
    </row>
    <row r="10" spans="1:5">
      <c r="B10" s="649"/>
      <c r="C10" s="649"/>
      <c r="D10" s="649"/>
      <c r="E10" s="649"/>
    </row>
    <row r="11" spans="1:5">
      <c r="B11" s="10"/>
      <c r="E11" s="29" t="s">
        <v>567</v>
      </c>
    </row>
    <row r="12" spans="1:5" ht="56.25">
      <c r="A12" s="654" t="s">
        <v>31</v>
      </c>
      <c r="B12" s="650" t="s">
        <v>32</v>
      </c>
      <c r="C12" s="650" t="s">
        <v>500</v>
      </c>
      <c r="D12" s="650" t="s">
        <v>502</v>
      </c>
      <c r="E12" s="650" t="s">
        <v>501</v>
      </c>
    </row>
    <row r="13" spans="1:5">
      <c r="A13" s="655">
        <v>1</v>
      </c>
      <c r="B13" s="47">
        <v>2</v>
      </c>
      <c r="C13" s="47">
        <v>3</v>
      </c>
      <c r="D13" s="47">
        <v>4</v>
      </c>
      <c r="E13" s="48">
        <v>5</v>
      </c>
    </row>
    <row r="14" spans="1:5" ht="56.25">
      <c r="A14" s="656"/>
      <c r="B14" s="493" t="s">
        <v>503</v>
      </c>
      <c r="C14" s="494"/>
      <c r="D14" s="495"/>
      <c r="E14" s="496"/>
    </row>
    <row r="15" spans="1:5" ht="40.5" customHeight="1">
      <c r="A15" s="654" t="s">
        <v>925</v>
      </c>
      <c r="B15" s="497" t="s">
        <v>504</v>
      </c>
      <c r="C15" s="494">
        <v>100</v>
      </c>
      <c r="D15" s="498"/>
      <c r="E15" s="499"/>
    </row>
    <row r="16" spans="1:5" ht="42" customHeight="1">
      <c r="A16" s="654" t="s">
        <v>926</v>
      </c>
      <c r="B16" s="497" t="s">
        <v>505</v>
      </c>
      <c r="C16" s="494">
        <v>100</v>
      </c>
      <c r="D16" s="500"/>
      <c r="E16" s="501"/>
    </row>
    <row r="17" spans="1:5" ht="97.5" customHeight="1">
      <c r="A17" s="654" t="s">
        <v>927</v>
      </c>
      <c r="B17" s="497" t="s">
        <v>506</v>
      </c>
      <c r="C17" s="494">
        <v>100</v>
      </c>
      <c r="D17" s="502"/>
      <c r="E17" s="499"/>
    </row>
    <row r="18" spans="1:5" ht="62.25" customHeight="1">
      <c r="A18" s="654" t="s">
        <v>928</v>
      </c>
      <c r="B18" s="497" t="s">
        <v>507</v>
      </c>
      <c r="C18" s="494">
        <v>100</v>
      </c>
      <c r="D18" s="502"/>
      <c r="E18" s="499"/>
    </row>
    <row r="19" spans="1:5" ht="42" customHeight="1">
      <c r="A19" s="654" t="s">
        <v>929</v>
      </c>
      <c r="B19" s="497" t="s">
        <v>508</v>
      </c>
      <c r="C19" s="494">
        <v>100</v>
      </c>
      <c r="D19" s="502"/>
      <c r="E19" s="499"/>
    </row>
    <row r="20" spans="1:5" ht="45" customHeight="1">
      <c r="A20" s="654"/>
      <c r="B20" s="493" t="s">
        <v>509</v>
      </c>
      <c r="C20" s="503"/>
      <c r="D20" s="502"/>
      <c r="E20" s="499"/>
    </row>
    <row r="21" spans="1:5" ht="43.5" customHeight="1">
      <c r="A21" s="654" t="s">
        <v>930</v>
      </c>
      <c r="B21" s="497" t="s">
        <v>510</v>
      </c>
      <c r="C21" s="494" t="s">
        <v>70</v>
      </c>
      <c r="D21" s="502"/>
      <c r="E21" s="499"/>
    </row>
    <row r="22" spans="1:5" ht="42" customHeight="1">
      <c r="A22" s="654" t="s">
        <v>931</v>
      </c>
      <c r="B22" s="497" t="s">
        <v>512</v>
      </c>
      <c r="C22" s="504"/>
      <c r="D22" s="494">
        <v>100</v>
      </c>
      <c r="E22" s="501"/>
    </row>
    <row r="23" spans="1:5" ht="40.5" customHeight="1">
      <c r="A23" s="654" t="s">
        <v>932</v>
      </c>
      <c r="B23" s="497" t="s">
        <v>511</v>
      </c>
      <c r="C23" s="503"/>
      <c r="D23" s="502"/>
      <c r="E23" s="494">
        <v>100</v>
      </c>
    </row>
    <row r="24" spans="1:5" ht="38.25" customHeight="1">
      <c r="A24" s="654"/>
      <c r="B24" s="493" t="s">
        <v>568</v>
      </c>
      <c r="C24" s="503"/>
      <c r="D24" s="502"/>
      <c r="E24" s="499"/>
    </row>
    <row r="25" spans="1:5" ht="58.5" customHeight="1">
      <c r="A25" s="654" t="s">
        <v>933</v>
      </c>
      <c r="B25" s="497" t="s">
        <v>30</v>
      </c>
      <c r="C25" s="494" t="s">
        <v>70</v>
      </c>
      <c r="D25" s="500"/>
      <c r="E25" s="501"/>
    </row>
    <row r="26" spans="1:5" ht="59.25" customHeight="1">
      <c r="A26" s="654" t="s">
        <v>934</v>
      </c>
      <c r="B26" s="497" t="s">
        <v>514</v>
      </c>
      <c r="C26" s="503"/>
      <c r="D26" s="494">
        <v>100</v>
      </c>
      <c r="E26" s="499"/>
    </row>
    <row r="27" spans="1:5" ht="59.25" customHeight="1">
      <c r="A27" s="654" t="s">
        <v>935</v>
      </c>
      <c r="B27" s="497" t="s">
        <v>513</v>
      </c>
      <c r="C27" s="503"/>
      <c r="D27" s="502"/>
      <c r="E27" s="494">
        <v>100</v>
      </c>
    </row>
    <row r="28" spans="1:5" ht="59.25" customHeight="1">
      <c r="A28" s="654" t="s">
        <v>936</v>
      </c>
      <c r="B28" s="497" t="s">
        <v>515</v>
      </c>
      <c r="C28" s="494" t="s">
        <v>70</v>
      </c>
      <c r="D28" s="502"/>
      <c r="E28" s="499"/>
    </row>
    <row r="29" spans="1:5" ht="59.25" customHeight="1">
      <c r="A29" s="654" t="s">
        <v>937</v>
      </c>
      <c r="B29" s="497" t="s">
        <v>517</v>
      </c>
      <c r="C29" s="504"/>
      <c r="D29" s="494">
        <v>100</v>
      </c>
      <c r="E29" s="501"/>
    </row>
    <row r="30" spans="1:5" ht="58.5" customHeight="1">
      <c r="A30" s="654" t="s">
        <v>938</v>
      </c>
      <c r="B30" s="497" t="s">
        <v>516</v>
      </c>
      <c r="C30" s="505"/>
      <c r="D30" s="506"/>
      <c r="E30" s="494">
        <v>100</v>
      </c>
    </row>
    <row r="31" spans="1:5" ht="39.75" customHeight="1">
      <c r="A31" s="654" t="s">
        <v>939</v>
      </c>
      <c r="B31" s="497" t="s">
        <v>518</v>
      </c>
      <c r="C31" s="494" t="s">
        <v>70</v>
      </c>
      <c r="D31" s="506"/>
      <c r="E31" s="507"/>
    </row>
    <row r="32" spans="1:5" ht="40.5" customHeight="1">
      <c r="A32" s="654" t="s">
        <v>940</v>
      </c>
      <c r="B32" s="497" t="s">
        <v>520</v>
      </c>
      <c r="C32" s="505"/>
      <c r="D32" s="494">
        <v>100</v>
      </c>
      <c r="E32" s="507"/>
    </row>
    <row r="33" spans="1:5" ht="40.5" customHeight="1">
      <c r="A33" s="654" t="s">
        <v>941</v>
      </c>
      <c r="B33" s="497" t="s">
        <v>519</v>
      </c>
      <c r="C33" s="504"/>
      <c r="D33" s="500"/>
      <c r="E33" s="494">
        <v>100</v>
      </c>
    </row>
    <row r="34" spans="1:5">
      <c r="A34" s="654"/>
      <c r="B34" s="493" t="s">
        <v>521</v>
      </c>
      <c r="C34" s="503"/>
      <c r="D34" s="502"/>
      <c r="E34" s="499"/>
    </row>
    <row r="35" spans="1:5" ht="63" customHeight="1">
      <c r="A35" s="654" t="s">
        <v>942</v>
      </c>
      <c r="B35" s="497" t="s">
        <v>522</v>
      </c>
      <c r="C35" s="494" t="s">
        <v>70</v>
      </c>
      <c r="D35" s="502"/>
      <c r="E35" s="499"/>
    </row>
    <row r="36" spans="1:5" ht="63" customHeight="1">
      <c r="A36" s="654" t="s">
        <v>943</v>
      </c>
      <c r="B36" s="497" t="s">
        <v>524</v>
      </c>
      <c r="C36" s="503"/>
      <c r="D36" s="494">
        <v>100</v>
      </c>
      <c r="E36" s="499"/>
    </row>
    <row r="37" spans="1:5" ht="60" customHeight="1">
      <c r="A37" s="654" t="s">
        <v>944</v>
      </c>
      <c r="B37" s="497" t="s">
        <v>523</v>
      </c>
      <c r="C37" s="503"/>
      <c r="D37" s="508"/>
      <c r="E37" s="494">
        <v>100</v>
      </c>
    </row>
    <row r="38" spans="1:5">
      <c r="A38" s="654"/>
      <c r="B38" s="493" t="s">
        <v>525</v>
      </c>
      <c r="C38" s="503"/>
      <c r="D38" s="502"/>
      <c r="E38" s="499"/>
    </row>
    <row r="39" spans="1:5" ht="234" customHeight="1">
      <c r="A39" s="654" t="s">
        <v>945</v>
      </c>
      <c r="B39" s="201" t="s">
        <v>627</v>
      </c>
      <c r="C39" s="509" t="s">
        <v>70</v>
      </c>
      <c r="D39" s="502"/>
      <c r="E39" s="499"/>
    </row>
    <row r="40" spans="1:5" ht="229.5" customHeight="1">
      <c r="A40" s="654" t="s">
        <v>946</v>
      </c>
      <c r="B40" s="201" t="s">
        <v>737</v>
      </c>
      <c r="C40" s="503"/>
      <c r="D40" s="494">
        <v>100</v>
      </c>
      <c r="E40" s="499"/>
    </row>
    <row r="41" spans="1:5" ht="233.25" customHeight="1">
      <c r="A41" s="654" t="s">
        <v>947</v>
      </c>
      <c r="B41" s="201" t="s">
        <v>736</v>
      </c>
      <c r="C41" s="503"/>
      <c r="D41" s="502"/>
      <c r="E41" s="510">
        <v>100</v>
      </c>
    </row>
    <row r="42" spans="1:5" ht="210" customHeight="1">
      <c r="A42" s="654" t="s">
        <v>948</v>
      </c>
      <c r="B42" s="201" t="s">
        <v>629</v>
      </c>
      <c r="C42" s="12" t="s">
        <v>70</v>
      </c>
      <c r="D42" s="502"/>
      <c r="E42" s="510"/>
    </row>
    <row r="43" spans="1:5" ht="213.75" customHeight="1">
      <c r="A43" s="654" t="s">
        <v>949</v>
      </c>
      <c r="B43" s="201" t="s">
        <v>739</v>
      </c>
      <c r="C43" s="509"/>
      <c r="D43" s="12">
        <v>100</v>
      </c>
      <c r="E43" s="510"/>
    </row>
    <row r="44" spans="1:5" ht="213" customHeight="1">
      <c r="A44" s="654" t="s">
        <v>950</v>
      </c>
      <c r="B44" s="201" t="s">
        <v>738</v>
      </c>
      <c r="C44" s="503"/>
      <c r="D44" s="494"/>
      <c r="E44" s="494">
        <v>100</v>
      </c>
    </row>
    <row r="45" spans="1:5" ht="81.75" customHeight="1">
      <c r="A45" s="654" t="s">
        <v>951</v>
      </c>
      <c r="B45" s="511" t="s">
        <v>723</v>
      </c>
      <c r="C45" s="12" t="s">
        <v>70</v>
      </c>
      <c r="D45" s="502"/>
      <c r="E45" s="510"/>
    </row>
    <row r="46" spans="1:5" ht="81.75" customHeight="1">
      <c r="A46" s="654" t="s">
        <v>952</v>
      </c>
      <c r="B46" s="511" t="s">
        <v>741</v>
      </c>
      <c r="C46" s="503"/>
      <c r="D46" s="12">
        <v>100</v>
      </c>
      <c r="E46" s="510"/>
    </row>
    <row r="47" spans="1:5" ht="81" customHeight="1">
      <c r="A47" s="654" t="s">
        <v>953</v>
      </c>
      <c r="B47" s="511" t="s">
        <v>740</v>
      </c>
      <c r="C47" s="503"/>
      <c r="D47" s="502"/>
      <c r="E47" s="12">
        <v>100</v>
      </c>
    </row>
    <row r="48" spans="1:5">
      <c r="A48" s="654"/>
      <c r="B48" s="493" t="s">
        <v>526</v>
      </c>
      <c r="C48" s="503"/>
      <c r="D48" s="502"/>
      <c r="E48" s="499"/>
    </row>
    <row r="49" spans="1:5" ht="42" customHeight="1">
      <c r="A49" s="654" t="s">
        <v>954</v>
      </c>
      <c r="B49" s="497" t="s">
        <v>2</v>
      </c>
      <c r="C49" s="494" t="s">
        <v>70</v>
      </c>
      <c r="D49" s="502"/>
      <c r="E49" s="499"/>
    </row>
    <row r="50" spans="1:5" ht="43.5" customHeight="1">
      <c r="A50" s="654" t="s">
        <v>955</v>
      </c>
      <c r="B50" s="497" t="s">
        <v>528</v>
      </c>
      <c r="C50" s="503"/>
      <c r="D50" s="494">
        <v>100</v>
      </c>
      <c r="E50" s="494"/>
    </row>
    <row r="51" spans="1:5" ht="43.5" customHeight="1">
      <c r="A51" s="654" t="s">
        <v>956</v>
      </c>
      <c r="B51" s="497" t="s">
        <v>527</v>
      </c>
      <c r="C51" s="503"/>
      <c r="D51" s="494"/>
      <c r="E51" s="494">
        <v>100</v>
      </c>
    </row>
    <row r="52" spans="1:5" ht="100.5" customHeight="1">
      <c r="A52" s="654" t="s">
        <v>957</v>
      </c>
      <c r="B52" s="497" t="s">
        <v>533</v>
      </c>
      <c r="C52" s="503"/>
      <c r="D52" s="494">
        <v>100</v>
      </c>
      <c r="E52" s="494"/>
    </row>
    <row r="53" spans="1:5" ht="100.5" customHeight="1">
      <c r="A53" s="654" t="s">
        <v>958</v>
      </c>
      <c r="B53" s="497" t="s">
        <v>532</v>
      </c>
      <c r="C53" s="503"/>
      <c r="D53" s="494"/>
      <c r="E53" s="494">
        <v>100</v>
      </c>
    </row>
    <row r="54" spans="1:5" ht="48" customHeight="1">
      <c r="A54" s="654" t="s">
        <v>959</v>
      </c>
      <c r="B54" s="497" t="s">
        <v>529</v>
      </c>
      <c r="C54" s="494" t="s">
        <v>70</v>
      </c>
      <c r="D54" s="502"/>
      <c r="E54" s="499"/>
    </row>
    <row r="55" spans="1:5" ht="44.25" customHeight="1">
      <c r="A55" s="654" t="s">
        <v>960</v>
      </c>
      <c r="B55" s="497" t="s">
        <v>531</v>
      </c>
      <c r="C55" s="503"/>
      <c r="D55" s="494">
        <v>100</v>
      </c>
      <c r="E55" s="499"/>
    </row>
    <row r="56" spans="1:5" ht="45.75" customHeight="1">
      <c r="A56" s="654" t="s">
        <v>961</v>
      </c>
      <c r="B56" s="497" t="s">
        <v>530</v>
      </c>
      <c r="C56" s="503"/>
      <c r="D56" s="494"/>
      <c r="E56" s="494">
        <v>100</v>
      </c>
    </row>
    <row r="57" spans="1:5" ht="45" customHeight="1">
      <c r="A57" s="654" t="s">
        <v>962</v>
      </c>
      <c r="B57" s="497" t="s">
        <v>534</v>
      </c>
      <c r="C57" s="494" t="s">
        <v>70</v>
      </c>
      <c r="D57" s="494"/>
      <c r="E57" s="499"/>
    </row>
    <row r="58" spans="1:5" ht="42" customHeight="1">
      <c r="A58" s="654" t="s">
        <v>963</v>
      </c>
      <c r="B58" s="497" t="s">
        <v>536</v>
      </c>
      <c r="C58" s="503"/>
      <c r="D58" s="494">
        <v>100</v>
      </c>
      <c r="E58" s="499"/>
    </row>
    <row r="59" spans="1:5" ht="45" customHeight="1">
      <c r="A59" s="654" t="s">
        <v>964</v>
      </c>
      <c r="B59" s="497" t="s">
        <v>535</v>
      </c>
      <c r="C59" s="503"/>
      <c r="D59" s="502"/>
      <c r="E59" s="494">
        <v>100</v>
      </c>
    </row>
    <row r="60" spans="1:5" ht="47.25" customHeight="1">
      <c r="A60" s="654" t="s">
        <v>965</v>
      </c>
      <c r="B60" s="497" t="s">
        <v>966</v>
      </c>
      <c r="C60" s="509" t="s">
        <v>70</v>
      </c>
      <c r="D60" s="502"/>
      <c r="E60" s="494"/>
    </row>
    <row r="61" spans="1:5" ht="45.75" customHeight="1">
      <c r="A61" s="654" t="s">
        <v>967</v>
      </c>
      <c r="B61" s="497" t="s">
        <v>968</v>
      </c>
      <c r="C61" s="503"/>
      <c r="D61" s="494">
        <v>100</v>
      </c>
      <c r="E61" s="494"/>
    </row>
    <row r="62" spans="1:5" ht="45.75" customHeight="1">
      <c r="A62" s="654" t="s">
        <v>969</v>
      </c>
      <c r="B62" s="497" t="s">
        <v>970</v>
      </c>
      <c r="C62" s="503"/>
      <c r="D62" s="502"/>
      <c r="E62" s="494">
        <v>100</v>
      </c>
    </row>
    <row r="63" spans="1:5">
      <c r="B63" s="157"/>
      <c r="C63" s="158"/>
      <c r="D63" s="61"/>
      <c r="E63" s="159"/>
    </row>
    <row r="65" spans="1:5">
      <c r="A65" s="846" t="s">
        <v>467</v>
      </c>
      <c r="B65" s="847"/>
      <c r="C65" s="16"/>
      <c r="D65" s="17"/>
      <c r="E65" s="17"/>
    </row>
    <row r="66" spans="1:5">
      <c r="A66" s="848" t="s">
        <v>468</v>
      </c>
      <c r="B66" s="849"/>
      <c r="C66" s="16"/>
      <c r="D66" s="17"/>
      <c r="E66" s="17"/>
    </row>
    <row r="67" spans="1:5">
      <c r="A67" s="850" t="s">
        <v>469</v>
      </c>
      <c r="B67" s="849"/>
      <c r="C67" s="16"/>
      <c r="D67" s="14"/>
      <c r="E67" s="13" t="s">
        <v>494</v>
      </c>
    </row>
    <row r="68" spans="1:5" ht="18">
      <c r="A68" s="9"/>
      <c r="E68" s="9"/>
    </row>
    <row r="69" spans="1:5" ht="18">
      <c r="A69" s="9"/>
      <c r="E69" s="9"/>
    </row>
    <row r="70" spans="1:5" ht="18">
      <c r="A70" s="9"/>
      <c r="E70" s="9"/>
    </row>
  </sheetData>
  <mergeCells count="8">
    <mergeCell ref="A1:E1"/>
    <mergeCell ref="A65:B65"/>
    <mergeCell ref="A66:B66"/>
    <mergeCell ref="A67:B67"/>
    <mergeCell ref="A4:E4"/>
    <mergeCell ref="A7:E7"/>
    <mergeCell ref="A8:E8"/>
    <mergeCell ref="A9:E9"/>
  </mergeCells>
  <pageMargins left="1.1811023622047245" right="0.39370078740157483" top="0.6692913385826772" bottom="0.3937007874015748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0"/>
  <sheetViews>
    <sheetView zoomScale="80" zoomScaleNormal="80" zoomScaleSheetLayoutView="80" workbookViewId="0">
      <selection activeCell="D2" sqref="D2"/>
    </sheetView>
  </sheetViews>
  <sheetFormatPr defaultColWidth="9.140625" defaultRowHeight="18"/>
  <cols>
    <col min="1" max="1" width="6.140625" style="514" customWidth="1"/>
    <col min="2" max="2" width="9.140625" style="514" customWidth="1"/>
    <col min="3" max="3" width="62.140625" style="514" customWidth="1"/>
    <col min="4" max="4" width="17.7109375" style="589" customWidth="1"/>
    <col min="5" max="5" width="8.140625" style="514" customWidth="1"/>
    <col min="6" max="6" width="22.85546875" style="514" customWidth="1"/>
    <col min="7" max="16384" width="9.140625" style="514"/>
  </cols>
  <sheetData>
    <row r="1" spans="1:7" ht="18.75">
      <c r="A1" s="165"/>
      <c r="B1" s="165"/>
      <c r="C1" s="165"/>
      <c r="D1" s="404" t="s">
        <v>537</v>
      </c>
    </row>
    <row r="2" spans="1:7" ht="18.75">
      <c r="A2" s="165"/>
      <c r="B2" s="165"/>
      <c r="C2" s="165"/>
      <c r="D2" s="404" t="s">
        <v>1035</v>
      </c>
    </row>
    <row r="4" spans="1:7" ht="18.75">
      <c r="D4" s="172" t="s">
        <v>539</v>
      </c>
    </row>
    <row r="5" spans="1:7" ht="18.75">
      <c r="D5" s="455" t="s">
        <v>914</v>
      </c>
    </row>
    <row r="6" spans="1:7" ht="18.75">
      <c r="D6" s="587"/>
    </row>
    <row r="7" spans="1:7" ht="18.75">
      <c r="A7" s="588"/>
      <c r="B7" s="588"/>
      <c r="C7" s="588"/>
    </row>
    <row r="8" spans="1:7" ht="18.75">
      <c r="A8" s="852" t="s">
        <v>181</v>
      </c>
      <c r="B8" s="853"/>
      <c r="C8" s="853"/>
      <c r="D8" s="853"/>
    </row>
    <row r="9" spans="1:7" ht="18.75">
      <c r="A9" s="852" t="s">
        <v>774</v>
      </c>
      <c r="B9" s="853"/>
      <c r="C9" s="853"/>
      <c r="D9" s="853"/>
    </row>
    <row r="10" spans="1:7" ht="18.75">
      <c r="A10" s="588"/>
      <c r="D10" s="514"/>
    </row>
    <row r="11" spans="1:7" ht="18.75">
      <c r="D11" s="468" t="s">
        <v>42</v>
      </c>
    </row>
    <row r="12" spans="1:7" ht="38.450000000000003" customHeight="1">
      <c r="A12" s="725" t="s">
        <v>182</v>
      </c>
      <c r="B12" s="726" t="s">
        <v>388</v>
      </c>
      <c r="C12" s="726" t="s">
        <v>44</v>
      </c>
      <c r="D12" s="591" t="s">
        <v>33</v>
      </c>
    </row>
    <row r="13" spans="1:7" ht="18.75">
      <c r="A13" s="592">
        <v>1</v>
      </c>
      <c r="B13" s="592">
        <v>2</v>
      </c>
      <c r="C13" s="592">
        <v>3</v>
      </c>
      <c r="D13" s="593">
        <v>4</v>
      </c>
    </row>
    <row r="14" spans="1:7" ht="18.75">
      <c r="A14" s="494"/>
      <c r="B14" s="494"/>
      <c r="C14" s="495" t="s">
        <v>183</v>
      </c>
      <c r="D14" s="496">
        <f>D16+D23+D26+D30+D33+D39+D42+D53+D47+D51</f>
        <v>1681843.9749399999</v>
      </c>
      <c r="E14" s="721"/>
      <c r="F14" s="680"/>
      <c r="G14" s="788">
        <f>D14-'прил12(ведом 21)'!M14</f>
        <v>0</v>
      </c>
    </row>
    <row r="15" spans="1:7" ht="18.75">
      <c r="A15" s="494"/>
      <c r="B15" s="494"/>
      <c r="C15" s="498" t="s">
        <v>184</v>
      </c>
      <c r="D15" s="499"/>
      <c r="E15" s="721"/>
    </row>
    <row r="16" spans="1:7" ht="18.75">
      <c r="A16" s="594">
        <v>1</v>
      </c>
      <c r="B16" s="504" t="s">
        <v>185</v>
      </c>
      <c r="C16" s="500" t="s">
        <v>56</v>
      </c>
      <c r="D16" s="501">
        <f>SUM(D17:D22)</f>
        <v>174543.649</v>
      </c>
      <c r="E16" s="721"/>
      <c r="F16" s="589"/>
    </row>
    <row r="17" spans="1:4" ht="56.25">
      <c r="A17" s="595"/>
      <c r="B17" s="503" t="s">
        <v>186</v>
      </c>
      <c r="C17" s="502" t="s">
        <v>187</v>
      </c>
      <c r="D17" s="499">
        <f>'прил12(ведом 21)'!M768</f>
        <v>2067.1</v>
      </c>
    </row>
    <row r="18" spans="1:4" ht="75">
      <c r="A18" s="595"/>
      <c r="B18" s="503" t="s">
        <v>188</v>
      </c>
      <c r="C18" s="502" t="s">
        <v>71</v>
      </c>
      <c r="D18" s="499">
        <f>'прил12(ведом 21)'!M769</f>
        <v>73164.330999999991</v>
      </c>
    </row>
    <row r="19" spans="1:4" ht="18.75">
      <c r="A19" s="595"/>
      <c r="B19" s="503" t="s">
        <v>495</v>
      </c>
      <c r="C19" s="135" t="s">
        <v>488</v>
      </c>
      <c r="D19" s="499">
        <f>'прил12(ведом 21)'!M770</f>
        <v>13.2</v>
      </c>
    </row>
    <row r="20" spans="1:4" ht="56.25">
      <c r="A20" s="595"/>
      <c r="B20" s="503" t="s">
        <v>189</v>
      </c>
      <c r="C20" s="502" t="s">
        <v>151</v>
      </c>
      <c r="D20" s="499">
        <f>'прил12(ведом 21)'!M771</f>
        <v>29306.215999999997</v>
      </c>
    </row>
    <row r="21" spans="1:4" ht="18.75">
      <c r="A21" s="595"/>
      <c r="B21" s="503" t="s">
        <v>190</v>
      </c>
      <c r="C21" s="502" t="s">
        <v>87</v>
      </c>
      <c r="D21" s="499">
        <f>'прил12(ведом 21)'!M772</f>
        <v>5572.3780000000006</v>
      </c>
    </row>
    <row r="22" spans="1:4" ht="18.75">
      <c r="A22" s="595"/>
      <c r="B22" s="503" t="s">
        <v>191</v>
      </c>
      <c r="C22" s="502" t="s">
        <v>91</v>
      </c>
      <c r="D22" s="499">
        <f>'прил12(ведом 21)'!M773</f>
        <v>64420.424000000006</v>
      </c>
    </row>
    <row r="23" spans="1:4" ht="37.5">
      <c r="A23" s="594">
        <v>2</v>
      </c>
      <c r="B23" s="504" t="s">
        <v>192</v>
      </c>
      <c r="C23" s="500" t="s">
        <v>99</v>
      </c>
      <c r="D23" s="501">
        <f>SUM(D24:D25)</f>
        <v>16527.399999999998</v>
      </c>
    </row>
    <row r="24" spans="1:4" ht="56.25">
      <c r="A24" s="595"/>
      <c r="B24" s="503" t="s">
        <v>791</v>
      </c>
      <c r="C24" s="502" t="s">
        <v>792</v>
      </c>
      <c r="D24" s="499">
        <f>'прил12(ведом 21)'!M776</f>
        <v>4033.3</v>
      </c>
    </row>
    <row r="25" spans="1:4" ht="37.5">
      <c r="A25" s="595"/>
      <c r="B25" s="503" t="s">
        <v>193</v>
      </c>
      <c r="C25" s="502" t="s">
        <v>108</v>
      </c>
      <c r="D25" s="499">
        <f>'прил12(ведом 21)'!M777</f>
        <v>12494.099999999999</v>
      </c>
    </row>
    <row r="26" spans="1:4" ht="18.75">
      <c r="A26" s="594">
        <v>3</v>
      </c>
      <c r="B26" s="504" t="s">
        <v>194</v>
      </c>
      <c r="C26" s="500" t="s">
        <v>113</v>
      </c>
      <c r="D26" s="501">
        <f>SUM(D27:D29)</f>
        <v>33615.183000000005</v>
      </c>
    </row>
    <row r="27" spans="1:4" ht="18.75">
      <c r="A27" s="594"/>
      <c r="B27" s="503" t="s">
        <v>195</v>
      </c>
      <c r="C27" s="502" t="s">
        <v>114</v>
      </c>
      <c r="D27" s="499">
        <f>'прил12(ведом 21)'!M780</f>
        <v>11398.300000000001</v>
      </c>
    </row>
    <row r="28" spans="1:4" ht="18.75">
      <c r="A28" s="595"/>
      <c r="B28" s="503" t="s">
        <v>196</v>
      </c>
      <c r="C28" s="502" t="s">
        <v>119</v>
      </c>
      <c r="D28" s="499">
        <f>'прил12(ведом 21)'!M781</f>
        <v>9802.3829999999998</v>
      </c>
    </row>
    <row r="29" spans="1:4" ht="37.5">
      <c r="A29" s="595"/>
      <c r="B29" s="503" t="s">
        <v>197</v>
      </c>
      <c r="C29" s="502" t="s">
        <v>127</v>
      </c>
      <c r="D29" s="499">
        <f>'прил12(ведом 21)'!M782</f>
        <v>12414.5</v>
      </c>
    </row>
    <row r="30" spans="1:4" ht="18.75">
      <c r="A30" s="594">
        <v>4</v>
      </c>
      <c r="B30" s="504" t="s">
        <v>198</v>
      </c>
      <c r="C30" s="500" t="s">
        <v>199</v>
      </c>
      <c r="D30" s="501">
        <f>SUM(D31:D32)</f>
        <v>17614.160939999998</v>
      </c>
    </row>
    <row r="31" spans="1:4" ht="18.75">
      <c r="A31" s="594"/>
      <c r="B31" s="505" t="s">
        <v>400</v>
      </c>
      <c r="C31" s="506" t="s">
        <v>398</v>
      </c>
      <c r="D31" s="507">
        <f>'прил12(ведом 21)'!M786</f>
        <v>16450.560939999999</v>
      </c>
    </row>
    <row r="32" spans="1:4" ht="18.75">
      <c r="A32" s="594"/>
      <c r="B32" s="505" t="s">
        <v>977</v>
      </c>
      <c r="C32" s="506" t="s">
        <v>971</v>
      </c>
      <c r="D32" s="507">
        <f>'прил12(ведом 21)'!M788</f>
        <v>1163.5999999999999</v>
      </c>
    </row>
    <row r="33" spans="1:4" ht="18.75">
      <c r="A33" s="594">
        <v>5</v>
      </c>
      <c r="B33" s="504" t="s">
        <v>200</v>
      </c>
      <c r="C33" s="500" t="s">
        <v>201</v>
      </c>
      <c r="D33" s="501">
        <f>SUM(D34:D38)</f>
        <v>1197244.1599999999</v>
      </c>
    </row>
    <row r="34" spans="1:4" ht="18.75">
      <c r="A34" s="595"/>
      <c r="B34" s="503" t="s">
        <v>202</v>
      </c>
      <c r="C34" s="502" t="s">
        <v>203</v>
      </c>
      <c r="D34" s="499">
        <f>'прил12(ведом 21)'!M791</f>
        <v>360986</v>
      </c>
    </row>
    <row r="35" spans="1:4" ht="18.75">
      <c r="A35" s="595"/>
      <c r="B35" s="503" t="s">
        <v>204</v>
      </c>
      <c r="C35" s="502" t="s">
        <v>205</v>
      </c>
      <c r="D35" s="499">
        <f>'прил12(ведом 21)'!M792</f>
        <v>638539.29999999993</v>
      </c>
    </row>
    <row r="36" spans="1:4" ht="18.75">
      <c r="A36" s="595"/>
      <c r="B36" s="503" t="s">
        <v>423</v>
      </c>
      <c r="C36" s="502" t="s">
        <v>424</v>
      </c>
      <c r="D36" s="499">
        <f>'прил12(ведом 21)'!M793</f>
        <v>119505.18799999999</v>
      </c>
    </row>
    <row r="37" spans="1:4" ht="18.75">
      <c r="A37" s="594"/>
      <c r="B37" s="503" t="s">
        <v>206</v>
      </c>
      <c r="C37" s="502" t="s">
        <v>425</v>
      </c>
      <c r="D37" s="499">
        <f>'прил12(ведом 21)'!M795</f>
        <v>12686.7</v>
      </c>
    </row>
    <row r="38" spans="1:4" ht="18.75">
      <c r="A38" s="595"/>
      <c r="B38" s="503" t="s">
        <v>207</v>
      </c>
      <c r="C38" s="502" t="s">
        <v>208</v>
      </c>
      <c r="D38" s="499">
        <f>'прил12(ведом 21)'!M796</f>
        <v>65526.972000000009</v>
      </c>
    </row>
    <row r="39" spans="1:4" ht="18.75">
      <c r="A39" s="596">
        <v>6</v>
      </c>
      <c r="B39" s="504" t="s">
        <v>209</v>
      </c>
      <c r="C39" s="500" t="s">
        <v>210</v>
      </c>
      <c r="D39" s="501">
        <f>SUM(D40:D41)</f>
        <v>36593</v>
      </c>
    </row>
    <row r="40" spans="1:4" ht="18.75">
      <c r="A40" s="595"/>
      <c r="B40" s="503" t="s">
        <v>211</v>
      </c>
      <c r="C40" s="502" t="s">
        <v>212</v>
      </c>
      <c r="D40" s="499">
        <f>'прил12(ведом 21)'!M799</f>
        <v>26005.7</v>
      </c>
    </row>
    <row r="41" spans="1:4" ht="18.75" customHeight="1">
      <c r="A41" s="595"/>
      <c r="B41" s="503" t="s">
        <v>213</v>
      </c>
      <c r="C41" s="502" t="s">
        <v>214</v>
      </c>
      <c r="D41" s="499">
        <f>'прил12(ведом 21)'!M800</f>
        <v>10587.300000000001</v>
      </c>
    </row>
    <row r="42" spans="1:4" s="681" customFormat="1" ht="18.75">
      <c r="A42" s="594">
        <v>7</v>
      </c>
      <c r="B42" s="594">
        <v>1000</v>
      </c>
      <c r="C42" s="500" t="s">
        <v>140</v>
      </c>
      <c r="D42" s="501">
        <f>SUM(D43:D46)</f>
        <v>136645.4</v>
      </c>
    </row>
    <row r="43" spans="1:4" ht="18.75">
      <c r="A43" s="595"/>
      <c r="B43" s="595">
        <v>1001</v>
      </c>
      <c r="C43" s="502" t="s">
        <v>432</v>
      </c>
      <c r="D43" s="499">
        <f>'прил12(ведом 21)'!M803</f>
        <v>552</v>
      </c>
    </row>
    <row r="44" spans="1:4" ht="18.75">
      <c r="A44" s="595"/>
      <c r="B44" s="595">
        <v>1003</v>
      </c>
      <c r="C44" s="139" t="s">
        <v>980</v>
      </c>
      <c r="D44" s="507">
        <f>'прил12(ведом 21)'!M804</f>
        <v>1060</v>
      </c>
    </row>
    <row r="45" spans="1:4" ht="18.75">
      <c r="A45" s="595"/>
      <c r="B45" s="595">
        <v>1004</v>
      </c>
      <c r="C45" s="502" t="s">
        <v>215</v>
      </c>
      <c r="D45" s="507">
        <f>'прил12(ведом 21)'!M805</f>
        <v>126513</v>
      </c>
    </row>
    <row r="46" spans="1:4" ht="18.75">
      <c r="A46" s="595"/>
      <c r="B46" s="595">
        <v>1006</v>
      </c>
      <c r="C46" s="502" t="s">
        <v>216</v>
      </c>
      <c r="D46" s="507">
        <f>'прил12(ведом 21)'!M806</f>
        <v>8520.4</v>
      </c>
    </row>
    <row r="47" spans="1:4" ht="18.75">
      <c r="A47" s="596">
        <v>8</v>
      </c>
      <c r="B47" s="597">
        <v>1100</v>
      </c>
      <c r="C47" s="495" t="s">
        <v>217</v>
      </c>
      <c r="D47" s="598">
        <f>SUM(D48:D50)</f>
        <v>42177.1</v>
      </c>
    </row>
    <row r="48" spans="1:4" ht="18.75">
      <c r="A48" s="599"/>
      <c r="B48" s="600">
        <v>1101</v>
      </c>
      <c r="C48" s="601" t="s">
        <v>443</v>
      </c>
      <c r="D48" s="507">
        <f>'прил12(ведом 21)'!M809</f>
        <v>38872.999999999993</v>
      </c>
    </row>
    <row r="49" spans="1:8" ht="18.75">
      <c r="A49" s="596"/>
      <c r="B49" s="503" t="s">
        <v>218</v>
      </c>
      <c r="C49" s="602" t="s">
        <v>219</v>
      </c>
      <c r="D49" s="507">
        <f>'прил12(ведом 21)'!M810</f>
        <v>878.8</v>
      </c>
    </row>
    <row r="50" spans="1:8" ht="37.5">
      <c r="A50" s="595"/>
      <c r="B50" s="503" t="s">
        <v>220</v>
      </c>
      <c r="C50" s="603" t="s">
        <v>221</v>
      </c>
      <c r="D50" s="499">
        <f>'прил12(ведом 21)'!M811</f>
        <v>2425.3000000000002</v>
      </c>
    </row>
    <row r="51" spans="1:8" ht="37.5">
      <c r="A51" s="594">
        <v>9</v>
      </c>
      <c r="B51" s="504" t="s">
        <v>484</v>
      </c>
      <c r="C51" s="268" t="s">
        <v>475</v>
      </c>
      <c r="D51" s="598">
        <f>D52</f>
        <v>16.5</v>
      </c>
    </row>
    <row r="52" spans="1:8" ht="37.5">
      <c r="A52" s="595"/>
      <c r="B52" s="503" t="s">
        <v>485</v>
      </c>
      <c r="C52" s="603" t="s">
        <v>769</v>
      </c>
      <c r="D52" s="499">
        <f>'прил12(ведом 21)'!M814</f>
        <v>16.5</v>
      </c>
    </row>
    <row r="53" spans="1:8" ht="56.25">
      <c r="A53" s="594">
        <v>10</v>
      </c>
      <c r="B53" s="597">
        <v>1400</v>
      </c>
      <c r="C53" s="500" t="s">
        <v>222</v>
      </c>
      <c r="D53" s="604">
        <f>SUM(D54:D55)</f>
        <v>26867.421999999999</v>
      </c>
    </row>
    <row r="54" spans="1:8" ht="56.25">
      <c r="A54" s="605"/>
      <c r="B54" s="600">
        <v>1401</v>
      </c>
      <c r="C54" s="502" t="s">
        <v>223</v>
      </c>
      <c r="D54" s="606">
        <f>'прил12(ведом 21)'!M817</f>
        <v>5500</v>
      </c>
    </row>
    <row r="55" spans="1:8" ht="19.5" customHeight="1">
      <c r="A55" s="605"/>
      <c r="B55" s="600">
        <v>1403</v>
      </c>
      <c r="C55" s="682" t="s">
        <v>918</v>
      </c>
      <c r="D55" s="606">
        <f>'прил12(ведом 21)'!M819</f>
        <v>21367.421999999999</v>
      </c>
    </row>
    <row r="58" spans="1:8" s="250" customFormat="1" ht="18.75">
      <c r="A58" s="344" t="s">
        <v>467</v>
      </c>
      <c r="B58" s="253"/>
      <c r="C58" s="254"/>
      <c r="D58" s="254"/>
      <c r="E58" s="254"/>
      <c r="F58" s="178"/>
      <c r="G58" s="343"/>
      <c r="H58" s="394"/>
    </row>
    <row r="59" spans="1:8" s="250" customFormat="1" ht="18.75">
      <c r="A59" s="344" t="s">
        <v>468</v>
      </c>
      <c r="B59" s="253"/>
      <c r="C59" s="254"/>
      <c r="D59" s="254"/>
      <c r="E59" s="254"/>
      <c r="F59" s="178"/>
      <c r="G59" s="343"/>
      <c r="H59" s="394"/>
    </row>
    <row r="60" spans="1:8" s="250" customFormat="1" ht="18.75">
      <c r="A60" s="345" t="s">
        <v>469</v>
      </c>
      <c r="B60" s="253"/>
      <c r="D60" s="346" t="s">
        <v>494</v>
      </c>
      <c r="E60" s="254"/>
      <c r="F60" s="178"/>
    </row>
  </sheetData>
  <mergeCells count="2">
    <mergeCell ref="A8:D8"/>
    <mergeCell ref="A9:D9"/>
  </mergeCells>
  <printOptions horizontalCentered="1"/>
  <pageMargins left="1.1811023622047245" right="0.39370078740157483" top="0.78740157480314965" bottom="0.78740157480314965" header="0" footer="0"/>
  <pageSetup paperSize="9" scale="89" fitToHeight="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H61"/>
  <sheetViews>
    <sheetView zoomScale="80" zoomScaleNormal="80" zoomScaleSheetLayoutView="100" workbookViewId="0">
      <selection activeCell="E2" sqref="E2"/>
    </sheetView>
  </sheetViews>
  <sheetFormatPr defaultColWidth="9.140625" defaultRowHeight="18"/>
  <cols>
    <col min="1" max="1" width="6.140625" style="514" customWidth="1"/>
    <col min="2" max="2" width="9.140625" style="514" customWidth="1"/>
    <col min="3" max="3" width="62.140625" style="514" customWidth="1"/>
    <col min="4" max="4" width="14.7109375" style="589" customWidth="1"/>
    <col min="5" max="5" width="14.140625" style="514" customWidth="1"/>
    <col min="6" max="6" width="8.28515625" style="514" customWidth="1"/>
    <col min="7" max="7" width="22.85546875" style="514" customWidth="1"/>
    <col min="8" max="8" width="22.5703125" style="514" customWidth="1"/>
    <col min="9" max="16384" width="9.140625" style="514"/>
  </cols>
  <sheetData>
    <row r="1" spans="1:8" ht="18.75">
      <c r="C1" s="165"/>
      <c r="D1" s="165"/>
      <c r="E1" s="172" t="s">
        <v>461</v>
      </c>
    </row>
    <row r="2" spans="1:8" ht="18.75">
      <c r="C2" s="165"/>
      <c r="D2" s="165"/>
      <c r="E2" s="172" t="s">
        <v>1035</v>
      </c>
    </row>
    <row r="4" spans="1:8" ht="18.75">
      <c r="E4" s="172" t="s">
        <v>541</v>
      </c>
    </row>
    <row r="5" spans="1:8" ht="18.75">
      <c r="E5" s="455" t="s">
        <v>914</v>
      </c>
    </row>
    <row r="7" spans="1:8" ht="18.75">
      <c r="A7" s="588"/>
      <c r="B7" s="588"/>
      <c r="C7" s="588"/>
    </row>
    <row r="8" spans="1:8" ht="24.75" customHeight="1">
      <c r="A8" s="852" t="s">
        <v>181</v>
      </c>
      <c r="B8" s="852"/>
      <c r="C8" s="852"/>
      <c r="D8" s="852"/>
      <c r="E8" s="852"/>
      <c r="F8" s="724"/>
    </row>
    <row r="9" spans="1:8" ht="18.75">
      <c r="A9" s="852" t="s">
        <v>775</v>
      </c>
      <c r="B9" s="852"/>
      <c r="C9" s="852"/>
      <c r="D9" s="852"/>
      <c r="E9" s="852"/>
      <c r="F9" s="724"/>
    </row>
    <row r="10" spans="1:8" ht="18.75">
      <c r="A10" s="588"/>
      <c r="D10" s="514"/>
    </row>
    <row r="11" spans="1:8" ht="18.75">
      <c r="E11" s="468" t="s">
        <v>42</v>
      </c>
    </row>
    <row r="12" spans="1:8" ht="18.75">
      <c r="A12" s="854" t="s">
        <v>182</v>
      </c>
      <c r="B12" s="855" t="s">
        <v>388</v>
      </c>
      <c r="C12" s="855" t="s">
        <v>44</v>
      </c>
      <c r="D12" s="835" t="s">
        <v>33</v>
      </c>
      <c r="E12" s="835"/>
      <c r="F12" s="755"/>
    </row>
    <row r="13" spans="1:8" ht="25.9" customHeight="1">
      <c r="A13" s="854"/>
      <c r="B13" s="855"/>
      <c r="C13" s="855"/>
      <c r="D13" s="591" t="s">
        <v>580</v>
      </c>
      <c r="E13" s="591" t="s">
        <v>773</v>
      </c>
      <c r="F13" s="756"/>
    </row>
    <row r="14" spans="1:8" ht="18.75">
      <c r="A14" s="592">
        <v>1</v>
      </c>
      <c r="B14" s="592">
        <v>2</v>
      </c>
      <c r="C14" s="592">
        <v>3</v>
      </c>
      <c r="D14" s="593">
        <v>4</v>
      </c>
      <c r="E14" s="593">
        <v>5</v>
      </c>
      <c r="F14" s="757"/>
    </row>
    <row r="15" spans="1:8" ht="18.75">
      <c r="A15" s="494"/>
      <c r="B15" s="494"/>
      <c r="C15" s="495" t="s">
        <v>183</v>
      </c>
      <c r="D15" s="496">
        <f>D17+D24+D27+D31+D34+D40+D43+D47+D53+D55+D51</f>
        <v>1571867.3</v>
      </c>
      <c r="E15" s="496">
        <f>E17+E24+E27+E31+E34+E40+E43+E47+E53+E55+E51</f>
        <v>1512134.5</v>
      </c>
      <c r="G15" s="758">
        <f>D15-'прил13(ведом 22-23)'!M15</f>
        <v>0</v>
      </c>
      <c r="H15" s="758">
        <f>E15-'прил13(ведом 22-23)'!N15</f>
        <v>0</v>
      </c>
    </row>
    <row r="16" spans="1:8" ht="18.75">
      <c r="A16" s="494"/>
      <c r="B16" s="494"/>
      <c r="C16" s="498" t="s">
        <v>184</v>
      </c>
      <c r="D16" s="499"/>
      <c r="E16" s="499"/>
    </row>
    <row r="17" spans="1:7" ht="18.75">
      <c r="A17" s="594">
        <v>1</v>
      </c>
      <c r="B17" s="504" t="s">
        <v>185</v>
      </c>
      <c r="C17" s="500" t="s">
        <v>56</v>
      </c>
      <c r="D17" s="501">
        <f>SUM(D18:D23)</f>
        <v>140824.9</v>
      </c>
      <c r="E17" s="501">
        <f>SUM(E18:E23)</f>
        <v>140814.6</v>
      </c>
      <c r="G17" s="589"/>
    </row>
    <row r="18" spans="1:7" ht="56.25">
      <c r="A18" s="595"/>
      <c r="B18" s="503" t="s">
        <v>186</v>
      </c>
      <c r="C18" s="502" t="s">
        <v>187</v>
      </c>
      <c r="D18" s="499">
        <f>'прил13(ведом 22-23)'!M575</f>
        <v>2128.5</v>
      </c>
      <c r="E18" s="499">
        <f>'прил13(ведом 22-23)'!N575</f>
        <v>2128.5</v>
      </c>
    </row>
    <row r="19" spans="1:7" ht="75">
      <c r="A19" s="595"/>
      <c r="B19" s="503" t="s">
        <v>188</v>
      </c>
      <c r="C19" s="502" t="s">
        <v>71</v>
      </c>
      <c r="D19" s="499">
        <f>'прил13(ведом 22-23)'!M576</f>
        <v>72075.899999999994</v>
      </c>
      <c r="E19" s="499">
        <f>'прил13(ведом 22-23)'!N576</f>
        <v>72150.2</v>
      </c>
    </row>
    <row r="20" spans="1:7" ht="18.75">
      <c r="A20" s="595"/>
      <c r="B20" s="503" t="s">
        <v>495</v>
      </c>
      <c r="C20" s="135" t="s">
        <v>488</v>
      </c>
      <c r="D20" s="499">
        <f>'прил13(ведом 22-23)'!M577</f>
        <v>98.4</v>
      </c>
      <c r="E20" s="499">
        <f>'прил13(ведом 22-23)'!N577</f>
        <v>5.7</v>
      </c>
    </row>
    <row r="21" spans="1:7" ht="56.25">
      <c r="A21" s="595"/>
      <c r="B21" s="503" t="s">
        <v>189</v>
      </c>
      <c r="C21" s="502" t="s">
        <v>151</v>
      </c>
      <c r="D21" s="499">
        <f>'прил13(ведом 22-23)'!M578</f>
        <v>29332.200000000004</v>
      </c>
      <c r="E21" s="499">
        <f>'прил13(ведом 22-23)'!N578</f>
        <v>29333</v>
      </c>
    </row>
    <row r="22" spans="1:7" ht="18.75">
      <c r="A22" s="595"/>
      <c r="B22" s="503" t="s">
        <v>190</v>
      </c>
      <c r="C22" s="502" t="s">
        <v>87</v>
      </c>
      <c r="D22" s="499">
        <f>'прил13(ведом 22-23)'!M579</f>
        <v>5000</v>
      </c>
      <c r="E22" s="499">
        <f>'прил13(ведом 22-23)'!N579</f>
        <v>5000</v>
      </c>
    </row>
    <row r="23" spans="1:7" ht="18.75">
      <c r="A23" s="595"/>
      <c r="B23" s="503" t="s">
        <v>191</v>
      </c>
      <c r="C23" s="502" t="s">
        <v>91</v>
      </c>
      <c r="D23" s="499">
        <f>'прил13(ведом 22-23)'!M580</f>
        <v>32189.9</v>
      </c>
      <c r="E23" s="499">
        <f>'прил13(ведом 22-23)'!N580</f>
        <v>32197.200000000004</v>
      </c>
    </row>
    <row r="24" spans="1:7" ht="37.5">
      <c r="A24" s="594">
        <v>2</v>
      </c>
      <c r="B24" s="504" t="s">
        <v>192</v>
      </c>
      <c r="C24" s="500" t="s">
        <v>99</v>
      </c>
      <c r="D24" s="501">
        <f>SUM(D25:D26)</f>
        <v>12548</v>
      </c>
      <c r="E24" s="501">
        <f>SUM(E25:E26)</f>
        <v>12548.4</v>
      </c>
    </row>
    <row r="25" spans="1:7" ht="56.25">
      <c r="A25" s="595"/>
      <c r="B25" s="503" t="s">
        <v>791</v>
      </c>
      <c r="C25" s="502" t="s">
        <v>792</v>
      </c>
      <c r="D25" s="499">
        <f>'прил13(ведом 22-23)'!M583</f>
        <v>3437.6000000000004</v>
      </c>
      <c r="E25" s="499">
        <f>'прил13(ведом 22-23)'!N583</f>
        <v>3437.6000000000004</v>
      </c>
    </row>
    <row r="26" spans="1:7" ht="37.5">
      <c r="A26" s="595"/>
      <c r="B26" s="503" t="s">
        <v>193</v>
      </c>
      <c r="C26" s="502" t="s">
        <v>108</v>
      </c>
      <c r="D26" s="499">
        <f>'прил13(ведом 22-23)'!M584</f>
        <v>9110.4</v>
      </c>
      <c r="E26" s="499">
        <f>'прил13(ведом 22-23)'!N584</f>
        <v>9110.7999999999993</v>
      </c>
    </row>
    <row r="27" spans="1:7" ht="18.75">
      <c r="A27" s="594">
        <v>3</v>
      </c>
      <c r="B27" s="504" t="s">
        <v>194</v>
      </c>
      <c r="C27" s="500" t="s">
        <v>113</v>
      </c>
      <c r="D27" s="501">
        <f>SUM(D28:D30)</f>
        <v>23816.9</v>
      </c>
      <c r="E27" s="501">
        <f>SUM(E28:E30)</f>
        <v>24744.1</v>
      </c>
    </row>
    <row r="28" spans="1:7" ht="18.75">
      <c r="A28" s="594"/>
      <c r="B28" s="503" t="s">
        <v>195</v>
      </c>
      <c r="C28" s="502" t="s">
        <v>114</v>
      </c>
      <c r="D28" s="499">
        <f>'прил13(ведом 22-23)'!M587</f>
        <v>11258.5</v>
      </c>
      <c r="E28" s="499">
        <f>'прил13(ведом 22-23)'!N587</f>
        <v>11258.5</v>
      </c>
    </row>
    <row r="29" spans="1:7" ht="18.75">
      <c r="A29" s="595"/>
      <c r="B29" s="503" t="s">
        <v>196</v>
      </c>
      <c r="C29" s="502" t="s">
        <v>119</v>
      </c>
      <c r="D29" s="499">
        <f>'прил13(ведом 22-23)'!M588</f>
        <v>5907.9</v>
      </c>
      <c r="E29" s="499">
        <f>'прил13(ведом 22-23)'!N588</f>
        <v>6835.1</v>
      </c>
    </row>
    <row r="30" spans="1:7" ht="37.5">
      <c r="A30" s="595"/>
      <c r="B30" s="503" t="s">
        <v>197</v>
      </c>
      <c r="C30" s="502" t="s">
        <v>127</v>
      </c>
      <c r="D30" s="499">
        <f>'прил13(ведом 22-23)'!M589</f>
        <v>6650.5</v>
      </c>
      <c r="E30" s="499">
        <f>'прил13(ведом 22-23)'!N589</f>
        <v>6650.5</v>
      </c>
    </row>
    <row r="31" spans="1:7" s="681" customFormat="1" ht="18.75">
      <c r="A31" s="594">
        <v>4</v>
      </c>
      <c r="B31" s="504" t="s">
        <v>198</v>
      </c>
      <c r="C31" s="500" t="s">
        <v>199</v>
      </c>
      <c r="D31" s="501">
        <f>D33+D32</f>
        <v>12354.9</v>
      </c>
      <c r="E31" s="501">
        <f>E33+E32</f>
        <v>25766.9</v>
      </c>
    </row>
    <row r="32" spans="1:7" s="681" customFormat="1" ht="18.75">
      <c r="A32" s="594"/>
      <c r="B32" s="505" t="s">
        <v>822</v>
      </c>
      <c r="C32" s="506" t="s">
        <v>821</v>
      </c>
      <c r="D32" s="507">
        <f>'прил13(ведом 22-23)'!M592</f>
        <v>0</v>
      </c>
      <c r="E32" s="507">
        <f>'прил13(ведом 22-23)'!N592</f>
        <v>25766.9</v>
      </c>
    </row>
    <row r="33" spans="1:5" ht="18.75">
      <c r="A33" s="595"/>
      <c r="B33" s="503" t="s">
        <v>400</v>
      </c>
      <c r="C33" s="506" t="s">
        <v>398</v>
      </c>
      <c r="D33" s="499">
        <f>'прил13(ведом 22-23)'!M593</f>
        <v>12354.9</v>
      </c>
      <c r="E33" s="499">
        <f>'прил13(ведом 22-23)'!N593</f>
        <v>0</v>
      </c>
    </row>
    <row r="34" spans="1:5" ht="18.75">
      <c r="A34" s="594">
        <v>5</v>
      </c>
      <c r="B34" s="504" t="s">
        <v>200</v>
      </c>
      <c r="C34" s="500" t="s">
        <v>201</v>
      </c>
      <c r="D34" s="501">
        <f>SUM(D35:D39)</f>
        <v>1176247.3</v>
      </c>
      <c r="E34" s="501">
        <f>SUM(E35:E39)</f>
        <v>1064079.8999999999</v>
      </c>
    </row>
    <row r="35" spans="1:5" ht="18.75">
      <c r="A35" s="595"/>
      <c r="B35" s="503" t="s">
        <v>202</v>
      </c>
      <c r="C35" s="502" t="s">
        <v>203</v>
      </c>
      <c r="D35" s="499">
        <f>'прил13(ведом 22-23)'!M597</f>
        <v>409819.9</v>
      </c>
      <c r="E35" s="499">
        <f>'прил13(ведом 22-23)'!N597</f>
        <v>310578.99999999994</v>
      </c>
    </row>
    <row r="36" spans="1:5" ht="18.75">
      <c r="A36" s="595"/>
      <c r="B36" s="503" t="s">
        <v>204</v>
      </c>
      <c r="C36" s="502" t="s">
        <v>205</v>
      </c>
      <c r="D36" s="499">
        <f>'прил13(ведом 22-23)'!M598</f>
        <v>577605.49999999988</v>
      </c>
      <c r="E36" s="499">
        <f>'прил13(ведом 22-23)'!N598</f>
        <v>563979.39999999991</v>
      </c>
    </row>
    <row r="37" spans="1:5" ht="18.75">
      <c r="A37" s="595"/>
      <c r="B37" s="503" t="s">
        <v>423</v>
      </c>
      <c r="C37" s="502" t="s">
        <v>424</v>
      </c>
      <c r="D37" s="499">
        <f>'прил13(ведом 22-23)'!M599</f>
        <v>113704.3</v>
      </c>
      <c r="E37" s="499">
        <f>'прил13(ведом 22-23)'!N599</f>
        <v>114364.6</v>
      </c>
    </row>
    <row r="38" spans="1:5" ht="18.75">
      <c r="A38" s="594"/>
      <c r="B38" s="503" t="s">
        <v>206</v>
      </c>
      <c r="C38" s="502" t="s">
        <v>425</v>
      </c>
      <c r="D38" s="499">
        <f>'прил13(ведом 22-23)'!M601</f>
        <v>10086.099999999999</v>
      </c>
      <c r="E38" s="499">
        <f>'прил13(ведом 22-23)'!N601</f>
        <v>10086.099999999999</v>
      </c>
    </row>
    <row r="39" spans="1:5" ht="18.75">
      <c r="A39" s="595"/>
      <c r="B39" s="503" t="s">
        <v>207</v>
      </c>
      <c r="C39" s="502" t="s">
        <v>208</v>
      </c>
      <c r="D39" s="499">
        <f>'прил13(ведом 22-23)'!M602</f>
        <v>65031.5</v>
      </c>
      <c r="E39" s="499">
        <f>'прил13(ведом 22-23)'!N602</f>
        <v>65070.8</v>
      </c>
    </row>
    <row r="40" spans="1:5" ht="18.75">
      <c r="A40" s="596">
        <v>6</v>
      </c>
      <c r="B40" s="504" t="s">
        <v>209</v>
      </c>
      <c r="C40" s="500" t="s">
        <v>210</v>
      </c>
      <c r="D40" s="501">
        <f>SUM(D41:D42)</f>
        <v>33886.800000000003</v>
      </c>
      <c r="E40" s="501">
        <f>SUM(E41:E42)</f>
        <v>33978.600000000006</v>
      </c>
    </row>
    <row r="41" spans="1:5" ht="18.75">
      <c r="A41" s="595"/>
      <c r="B41" s="503" t="s">
        <v>211</v>
      </c>
      <c r="C41" s="502" t="s">
        <v>212</v>
      </c>
      <c r="D41" s="499">
        <f>'прил13(ведом 22-23)'!M605</f>
        <v>24640.7</v>
      </c>
      <c r="E41" s="499">
        <f>'прил13(ведом 22-23)'!N605</f>
        <v>24674.7</v>
      </c>
    </row>
    <row r="42" spans="1:5" ht="37.5">
      <c r="A42" s="595"/>
      <c r="B42" s="503" t="s">
        <v>213</v>
      </c>
      <c r="C42" s="502" t="s">
        <v>214</v>
      </c>
      <c r="D42" s="499">
        <f>'прил13(ведом 22-23)'!M606</f>
        <v>9246.1</v>
      </c>
      <c r="E42" s="499">
        <f>'прил13(ведом 22-23)'!N606</f>
        <v>9303.9000000000015</v>
      </c>
    </row>
    <row r="43" spans="1:5" s="681" customFormat="1" ht="18.75">
      <c r="A43" s="594">
        <v>7</v>
      </c>
      <c r="B43" s="594">
        <v>1000</v>
      </c>
      <c r="C43" s="500" t="s">
        <v>140</v>
      </c>
      <c r="D43" s="501">
        <f>SUM(D44:D46)</f>
        <v>117829.29999999999</v>
      </c>
      <c r="E43" s="501">
        <f>SUM(E44:E46)</f>
        <v>119212.09999999999</v>
      </c>
    </row>
    <row r="44" spans="1:5" ht="18.75">
      <c r="A44" s="595"/>
      <c r="B44" s="595">
        <v>1001</v>
      </c>
      <c r="C44" s="502" t="s">
        <v>432</v>
      </c>
      <c r="D44" s="499">
        <f>'прил13(ведом 22-23)'!M609</f>
        <v>552</v>
      </c>
      <c r="E44" s="499">
        <f>'прил13(ведом 22-23)'!N609</f>
        <v>552</v>
      </c>
    </row>
    <row r="45" spans="1:5" ht="18.75">
      <c r="A45" s="595"/>
      <c r="B45" s="595">
        <v>1004</v>
      </c>
      <c r="C45" s="502" t="s">
        <v>215</v>
      </c>
      <c r="D45" s="507">
        <f>'прил13(ведом 22-23)'!M610</f>
        <v>108756.9</v>
      </c>
      <c r="E45" s="507">
        <f>'прил13(ведом 22-23)'!N610</f>
        <v>110139.7</v>
      </c>
    </row>
    <row r="46" spans="1:5" ht="18.75">
      <c r="A46" s="595"/>
      <c r="B46" s="595">
        <v>1006</v>
      </c>
      <c r="C46" s="502" t="s">
        <v>216</v>
      </c>
      <c r="D46" s="507">
        <f>'прил13(ведом 22-23)'!M611</f>
        <v>8520.4</v>
      </c>
      <c r="E46" s="507">
        <f>'прил13(ведом 22-23)'!N611</f>
        <v>8520.4</v>
      </c>
    </row>
    <row r="47" spans="1:5" ht="18.75">
      <c r="A47" s="596">
        <v>8</v>
      </c>
      <c r="B47" s="597">
        <v>1100</v>
      </c>
      <c r="C47" s="495" t="s">
        <v>217</v>
      </c>
      <c r="D47" s="598">
        <f>SUM(D48:D50)</f>
        <v>21802.000000000004</v>
      </c>
      <c r="E47" s="598">
        <f>SUM(E48:E50)</f>
        <v>24529.200000000001</v>
      </c>
    </row>
    <row r="48" spans="1:5" ht="18.75">
      <c r="A48" s="599"/>
      <c r="B48" s="600">
        <v>1101</v>
      </c>
      <c r="C48" s="601" t="s">
        <v>443</v>
      </c>
      <c r="D48" s="507">
        <f>'прил13(ведом 22-23)'!M614</f>
        <v>19316.600000000002</v>
      </c>
      <c r="E48" s="507">
        <f>'прил13(ведом 22-23)'!N614</f>
        <v>18463.7</v>
      </c>
    </row>
    <row r="49" spans="1:8" ht="18.75">
      <c r="A49" s="599"/>
      <c r="B49" s="600">
        <v>1102</v>
      </c>
      <c r="C49" s="135" t="s">
        <v>219</v>
      </c>
      <c r="D49" s="507">
        <f>'прил13(ведом 22-23)'!M615</f>
        <v>0</v>
      </c>
      <c r="E49" s="507">
        <f>'прил13(ведом 22-23)'!N615</f>
        <v>3689.7999999999997</v>
      </c>
    </row>
    <row r="50" spans="1:8" ht="37.5">
      <c r="A50" s="595"/>
      <c r="B50" s="503" t="s">
        <v>220</v>
      </c>
      <c r="C50" s="603" t="s">
        <v>221</v>
      </c>
      <c r="D50" s="499">
        <f>'прил13(ведом 22-23)'!M616</f>
        <v>2485.4</v>
      </c>
      <c r="E50" s="499">
        <f>'прил13(ведом 22-23)'!N616</f>
        <v>2375.7000000000003</v>
      </c>
    </row>
    <row r="51" spans="1:8" ht="37.5">
      <c r="A51" s="594">
        <v>9</v>
      </c>
      <c r="B51" s="504" t="s">
        <v>484</v>
      </c>
      <c r="C51" s="268" t="s">
        <v>475</v>
      </c>
      <c r="D51" s="598">
        <f>D52</f>
        <v>9.4</v>
      </c>
      <c r="E51" s="598">
        <f>E52</f>
        <v>0</v>
      </c>
    </row>
    <row r="52" spans="1:8" ht="37.5">
      <c r="A52" s="595"/>
      <c r="B52" s="503" t="s">
        <v>485</v>
      </c>
      <c r="C52" s="603" t="s">
        <v>769</v>
      </c>
      <c r="D52" s="499">
        <f>'прил13(ведом 22-23)'!M619</f>
        <v>9.4</v>
      </c>
      <c r="E52" s="499">
        <f>'прил13(ведом 22-23)'!N619</f>
        <v>0</v>
      </c>
    </row>
    <row r="53" spans="1:8" ht="56.25">
      <c r="A53" s="594">
        <v>10</v>
      </c>
      <c r="B53" s="597">
        <v>1400</v>
      </c>
      <c r="C53" s="500" t="s">
        <v>222</v>
      </c>
      <c r="D53" s="604">
        <f>SUM(D54:D54)</f>
        <v>5500</v>
      </c>
      <c r="E53" s="604">
        <f>SUM(E54:E54)</f>
        <v>5500</v>
      </c>
    </row>
    <row r="54" spans="1:8" ht="56.25">
      <c r="A54" s="605"/>
      <c r="B54" s="600">
        <v>1401</v>
      </c>
      <c r="C54" s="502" t="s">
        <v>223</v>
      </c>
      <c r="D54" s="606">
        <f>'прил13(ведом 22-23)'!M622</f>
        <v>5500</v>
      </c>
      <c r="E54" s="606">
        <f>'прил13(ведом 22-23)'!N622</f>
        <v>5500</v>
      </c>
    </row>
    <row r="55" spans="1:8" ht="18.75">
      <c r="A55" s="594">
        <v>11</v>
      </c>
      <c r="B55" s="597"/>
      <c r="C55" s="500" t="s">
        <v>445</v>
      </c>
      <c r="D55" s="604">
        <f>SUM(D56:D56)</f>
        <v>27047.8</v>
      </c>
      <c r="E55" s="604">
        <f>SUM(E56:E56)</f>
        <v>60960.7</v>
      </c>
    </row>
    <row r="56" spans="1:8" ht="18.75">
      <c r="A56" s="605"/>
      <c r="B56" s="600"/>
      <c r="C56" s="502" t="s">
        <v>445</v>
      </c>
      <c r="D56" s="606">
        <f>'прил13(ведом 22-23)'!M625</f>
        <v>27047.8</v>
      </c>
      <c r="E56" s="606">
        <f>'прил13(ведом 22-23)'!N625</f>
        <v>60960.7</v>
      </c>
    </row>
    <row r="59" spans="1:8" s="250" customFormat="1" ht="18.75">
      <c r="A59" s="344" t="s">
        <v>467</v>
      </c>
      <c r="B59" s="253"/>
      <c r="C59" s="254"/>
      <c r="D59" s="254"/>
      <c r="E59" s="254"/>
      <c r="F59" s="178"/>
      <c r="G59" s="343"/>
      <c r="H59" s="394"/>
    </row>
    <row r="60" spans="1:8" s="250" customFormat="1" ht="18.75">
      <c r="A60" s="344" t="s">
        <v>468</v>
      </c>
      <c r="B60" s="253"/>
      <c r="C60" s="254"/>
      <c r="D60" s="254"/>
      <c r="E60" s="254"/>
      <c r="F60" s="178"/>
      <c r="G60" s="343"/>
      <c r="H60" s="394"/>
    </row>
    <row r="61" spans="1:8" s="250" customFormat="1" ht="18.75">
      <c r="A61" s="345" t="s">
        <v>469</v>
      </c>
      <c r="B61" s="253"/>
      <c r="E61" s="346" t="s">
        <v>494</v>
      </c>
      <c r="F61" s="178"/>
    </row>
  </sheetData>
  <mergeCells count="6">
    <mergeCell ref="A8:E8"/>
    <mergeCell ref="D12:E12"/>
    <mergeCell ref="A12:A13"/>
    <mergeCell ref="B12:B13"/>
    <mergeCell ref="C12:C13"/>
    <mergeCell ref="A9:E9"/>
  </mergeCells>
  <printOptions horizontalCentered="1"/>
  <pageMargins left="1.1811023622047245" right="0.39370078740157483" top="0.78740157480314965" bottom="0.78740157480314965" header="0" footer="0"/>
  <pageSetup paperSize="9" scale="80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32</vt:i4>
      </vt:variant>
    </vt:vector>
  </HeadingPairs>
  <TitlesOfParts>
    <vt:vector size="55" baseType="lpstr">
      <vt:lpstr>прил.1 (админ.)</vt:lpstr>
      <vt:lpstr>прил. 2 (поступл.21)</vt:lpstr>
      <vt:lpstr>прил. 3 (поступл. 22-23)</vt:lpstr>
      <vt:lpstr>прил.4 (пост.безв.21)</vt:lpstr>
      <vt:lpstr>прил.5 (пост.безв.22-23)</vt:lpstr>
      <vt:lpstr>прил.6 (безв.от пос.21) (2)</vt:lpstr>
      <vt:lpstr>прил.7 (норм.доходов)</vt:lpstr>
      <vt:lpstr>прил 8 (Рз,ПР 21)</vt:lpstr>
      <vt:lpstr>прил 9 (Рз,ПР 22-23)</vt:lpstr>
      <vt:lpstr>прил 10 (ЦС,ВР 21)</vt:lpstr>
      <vt:lpstr>прил 11 (ЦС,ВР 22-23)</vt:lpstr>
      <vt:lpstr>прил12(ведом 21)</vt:lpstr>
      <vt:lpstr>прил13(ведом 22-23)</vt:lpstr>
      <vt:lpstr>прил.14 (Источники 21)</vt:lpstr>
      <vt:lpstr>прил.15 (Источники 22-23)</vt:lpstr>
      <vt:lpstr>прил.16(безв.всего 21)</vt:lpstr>
      <vt:lpstr>прил.17(безв.всего 22-23)</vt:lpstr>
      <vt:lpstr>прил.18(дотация 21)</vt:lpstr>
      <vt:lpstr>прил.19(дотация 22-23)</vt:lpstr>
      <vt:lpstr>прил.20мун.внутр.заим.21-23)</vt:lpstr>
      <vt:lpstr>прил.21(гар. 21-23)</vt:lpstr>
      <vt:lpstr>прил.22мун.внеш.заим.21-23</vt:lpstr>
      <vt:lpstr>прил.23(гар.в ин.в.21-23)</vt:lpstr>
      <vt:lpstr>'прил 10 (ЦС,ВР 21)'!Заголовки_для_печати</vt:lpstr>
      <vt:lpstr>'прил 11 (ЦС,ВР 22-23)'!Заголовки_для_печати</vt:lpstr>
      <vt:lpstr>'прил 8 (Рз,ПР 21)'!Заголовки_для_печати</vt:lpstr>
      <vt:lpstr>'прил 9 (Рз,ПР 22-23)'!Заголовки_для_печати</vt:lpstr>
      <vt:lpstr>'прил. 2 (поступл.21)'!Заголовки_для_печати</vt:lpstr>
      <vt:lpstr>'прил. 3 (поступл. 22-23)'!Заголовки_для_печати</vt:lpstr>
      <vt:lpstr>'прил.1 (админ.)'!Заголовки_для_печати</vt:lpstr>
      <vt:lpstr>'прил.14 (Источники 21)'!Заголовки_для_печати</vt:lpstr>
      <vt:lpstr>'прил.15 (Источники 22-23)'!Заголовки_для_печати</vt:lpstr>
      <vt:lpstr>'прил.4 (пост.безв.21)'!Заголовки_для_печати</vt:lpstr>
      <vt:lpstr>'прил.5 (пост.безв.22-23)'!Заголовки_для_печати</vt:lpstr>
      <vt:lpstr>'прил.6 (безв.от пос.21) (2)'!Заголовки_для_печати</vt:lpstr>
      <vt:lpstr>'прил.7 (норм.доходов)'!Заголовки_для_печати</vt:lpstr>
      <vt:lpstr>'прил12(ведом 21)'!Заголовки_для_печати</vt:lpstr>
      <vt:lpstr>'прил13(ведом 22-23)'!Заголовки_для_печати</vt:lpstr>
      <vt:lpstr>'прил 10 (ЦС,ВР 21)'!Область_печати</vt:lpstr>
      <vt:lpstr>'прил 11 (ЦС,ВР 22-23)'!Область_печати</vt:lpstr>
      <vt:lpstr>'прил 8 (Рз,ПР 21)'!Область_печати</vt:lpstr>
      <vt:lpstr>'прил 9 (Рз,ПР 22-23)'!Область_печати</vt:lpstr>
      <vt:lpstr>'прил. 2 (поступл.21)'!Область_печати</vt:lpstr>
      <vt:lpstr>'прил. 3 (поступл. 22-23)'!Область_печати</vt:lpstr>
      <vt:lpstr>'прил.1 (админ.)'!Область_печати</vt:lpstr>
      <vt:lpstr>'прил.14 (Источники 21)'!Область_печати</vt:lpstr>
      <vt:lpstr>'прил.16(безв.всего 21)'!Область_печати</vt:lpstr>
      <vt:lpstr>'прил.18(дотация 21)'!Область_печати</vt:lpstr>
      <vt:lpstr>'прил.19(дотация 22-23)'!Область_печати</vt:lpstr>
      <vt:lpstr>'прил.4 (пост.безв.21)'!Область_печати</vt:lpstr>
      <vt:lpstr>'прил.5 (пост.безв.22-23)'!Область_печати</vt:lpstr>
      <vt:lpstr>'прил.6 (безв.от пос.21) (2)'!Область_печати</vt:lpstr>
      <vt:lpstr>'прил.7 (норм.доходов)'!Область_печати</vt:lpstr>
      <vt:lpstr>'прил12(ведом 21)'!Область_печати</vt:lpstr>
      <vt:lpstr>'прил13(ведом 22-23)'!Область_печати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2021-08-31T05:39:59Z</dcterms:modified>
</cp:coreProperties>
</file>