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968" windowWidth="14808" windowHeight="3156" tabRatio="852"/>
  </bookViews>
  <sheets>
    <sheet name="прил. 1 (поступл.22-24)" sheetId="5" r:id="rId1"/>
    <sheet name="прил 6 (Рз,ПР 22-24)" sheetId="6" r:id="rId2"/>
    <sheet name="прил 7 (ЦС,ВР 22)" sheetId="7" r:id="rId3"/>
    <sheet name="прил 8 (ЦС,ВР 23-24)" sheetId="18" r:id="rId4"/>
    <sheet name="прил9 (ведом 22)" sheetId="3" r:id="rId5"/>
    <sheet name="прил10 (ведом 23-24)" sheetId="19" r:id="rId6"/>
    <sheet name="прил.11 (Источники 22-24)" sheetId="8" r:id="rId7"/>
  </sheets>
  <definedNames>
    <definedName name="_xlnm._FilterDatabase" localSheetId="1" hidden="1">'прил 6 (Рз,ПР 22-24)'!$A$13:$AI$57</definedName>
    <definedName name="_xlnm._FilterDatabase" localSheetId="2" hidden="1">'прил 7 (ЦС,ВР 22)'!$A$4:$H$538</definedName>
    <definedName name="_xlnm._FilterDatabase" localSheetId="3" hidden="1">'прил 8 (ЦС,ВР 23-24)'!$A$4:$I$456</definedName>
    <definedName name="_xlnm._FilterDatabase" localSheetId="5" hidden="1">'прил10 (ведом 23-24)'!$A$4:$N$645</definedName>
    <definedName name="_xlnm._FilterDatabase" localSheetId="4" hidden="1">'прил9 (ведом 22)'!$A$4:$M$824</definedName>
    <definedName name="Z_168CADD9_CFDC_4445_BFE6_DAD4B9423C72_.wvu.FilterData" localSheetId="2" hidden="1">'прил 7 (ЦС,ВР 22)'!#REF!</definedName>
    <definedName name="Z_168CADD9_CFDC_4445_BFE6_DAD4B9423C72_.wvu.FilterData" localSheetId="3" hidden="1">'прил 8 (ЦС,ВР 23-24)'!#REF!</definedName>
    <definedName name="Z_1F25B6A1_C9F7_11D8_A2FD_006098EF8B30_.wvu.FilterData" localSheetId="2" hidden="1">'прил 7 (ЦС,ВР 22)'!#REF!</definedName>
    <definedName name="Z_1F25B6A1_C9F7_11D8_A2FD_006098EF8B30_.wvu.FilterData" localSheetId="3" hidden="1">'прил 8 (ЦС,ВР 23-24)'!#REF!</definedName>
    <definedName name="Z_29D950F2_21ED_48E6_BFC6_87DD89E0125A_.wvu.FilterData" localSheetId="2" hidden="1">'прил 7 (ЦС,ВР 22)'!#REF!</definedName>
    <definedName name="Z_29D950F2_21ED_48E6_BFC6_87DD89E0125A_.wvu.FilterData" localSheetId="3" hidden="1">'прил 8 (ЦС,ВР 23-24)'!#REF!</definedName>
    <definedName name="Z_2CA7FCD5_27A5_4474_9D49_7A7E23BD2FF9_.wvu.FilterData" localSheetId="2" hidden="1">'прил 7 (ЦС,ВР 22)'!#REF!</definedName>
    <definedName name="Z_2CA7FCD5_27A5_4474_9D49_7A7E23BD2FF9_.wvu.FilterData" localSheetId="3" hidden="1">'прил 8 (ЦС,ВР 23-24)'!#REF!</definedName>
    <definedName name="Z_48E28AC5_4E0A_4FBA_AE6D_340F9E8D4B3C_.wvu.FilterData" localSheetId="2" hidden="1">'прил 7 (ЦС,ВР 22)'!#REF!</definedName>
    <definedName name="Z_48E28AC5_4E0A_4FBA_AE6D_340F9E8D4B3C_.wvu.FilterData" localSheetId="3" hidden="1">'прил 8 (ЦС,ВР 23-24)'!#REF!</definedName>
    <definedName name="Z_6398E0F2_3205_40F4_BF0A_C9F4D0DA9A75_.wvu.FilterData" localSheetId="2" hidden="1">'прил 7 (ЦС,ВР 22)'!#REF!</definedName>
    <definedName name="Z_6398E0F2_3205_40F4_BF0A_C9F4D0DA9A75_.wvu.FilterData" localSheetId="3" hidden="1">'прил 8 (ЦС,ВР 23-24)'!#REF!</definedName>
    <definedName name="Z_64DF1B77_0EDD_4B56_A91C_5E003BE599EF_.wvu.FilterData" localSheetId="2" hidden="1">'прил 7 (ЦС,ВР 22)'!#REF!</definedName>
    <definedName name="Z_64DF1B77_0EDD_4B56_A91C_5E003BE599EF_.wvu.FilterData" localSheetId="3" hidden="1">'прил 8 (ЦС,ВР 23-24)'!#REF!</definedName>
    <definedName name="Z_6786C020_BCF1_463A_B3E9_7DE69D46EAB3_.wvu.FilterData" localSheetId="2" hidden="1">'прил 7 (ЦС,ВР 22)'!#REF!</definedName>
    <definedName name="Z_6786C020_BCF1_463A_B3E9_7DE69D46EAB3_.wvu.FilterData" localSheetId="3" hidden="1">'прил 8 (ЦС,ВР 23-24)'!#REF!</definedName>
    <definedName name="Z_8E2E7D81_C767_11D8_A2FD_006098EF8B30_.wvu.FilterData" localSheetId="2" hidden="1">'прил 7 (ЦС,ВР 22)'!#REF!</definedName>
    <definedName name="Z_8E2E7D81_C767_11D8_A2FD_006098EF8B30_.wvu.FilterData" localSheetId="3" hidden="1">'прил 8 (ЦС,ВР 23-24)'!#REF!</definedName>
    <definedName name="Z_97D0CDFA_8A34_4B3C_BA32_D4F0E3218B75_.wvu.FilterData" localSheetId="2" hidden="1">'прил 7 (ЦС,ВР 22)'!#REF!</definedName>
    <definedName name="Z_97D0CDFA_8A34_4B3C_BA32_D4F0E3218B75_.wvu.FilterData" localSheetId="3" hidden="1">'прил 8 (ЦС,ВР 23-24)'!#REF!</definedName>
    <definedName name="Z_B246FE0E_E986_4211_B02A_04E4565C0FED_.wvu.Cols" localSheetId="2" hidden="1">'прил 7 (ЦС,ВР 22)'!$A:$A,'прил 7 (ЦС,ВР 22)'!#REF!</definedName>
    <definedName name="Z_B246FE0E_E986_4211_B02A_04E4565C0FED_.wvu.Cols" localSheetId="3" hidden="1">'прил 8 (ЦС,ВР 23-24)'!$A:$A,'прил 8 (ЦС,ВР 23-24)'!#REF!</definedName>
    <definedName name="Z_B246FE0E_E986_4211_B02A_04E4565C0FED_.wvu.FilterData" localSheetId="2" hidden="1">'прил 7 (ЦС,ВР 22)'!#REF!</definedName>
    <definedName name="Z_B246FE0E_E986_4211_B02A_04E4565C0FED_.wvu.FilterData" localSheetId="3" hidden="1">'прил 8 (ЦС,ВР 23-24)'!#REF!</definedName>
    <definedName name="Z_B246FE0E_E986_4211_B02A_04E4565C0FED_.wvu.PrintArea" localSheetId="2" hidden="1">'прил 7 (ЦС,ВР 22)'!#REF!</definedName>
    <definedName name="Z_B246FE0E_E986_4211_B02A_04E4565C0FED_.wvu.PrintArea" localSheetId="3" hidden="1">'прил 8 (ЦС,ВР 23-24)'!#REF!</definedName>
    <definedName name="Z_B246FE0E_E986_4211_B02A_04E4565C0FED_.wvu.PrintTitles" localSheetId="2" hidden="1">'прил 7 (ЦС,ВР 22)'!#REF!</definedName>
    <definedName name="Z_B246FE0E_E986_4211_B02A_04E4565C0FED_.wvu.PrintTitles" localSheetId="3" hidden="1">'прил 8 (ЦС,ВР 23-24)'!#REF!</definedName>
    <definedName name="Z_C54CDF8B_FA5C_4A02_B343_3FEFD9721392_.wvu.FilterData" localSheetId="2" hidden="1">'прил 7 (ЦС,ВР 22)'!#REF!</definedName>
    <definedName name="Z_C54CDF8B_FA5C_4A02_B343_3FEFD9721392_.wvu.FilterData" localSheetId="3" hidden="1">'прил 8 (ЦС,ВР 23-24)'!#REF!</definedName>
    <definedName name="Z_D7174C22_B878_4584_A218_37ED88979064_.wvu.FilterData" localSheetId="2" hidden="1">'прил 7 (ЦС,ВР 22)'!#REF!</definedName>
    <definedName name="Z_D7174C22_B878_4584_A218_37ED88979064_.wvu.FilterData" localSheetId="3" hidden="1">'прил 8 (ЦС,ВР 23-24)'!#REF!</definedName>
    <definedName name="Z_DD7538FB_7299_4DEE_90D5_2739132A1616_.wvu.FilterData" localSheetId="2" hidden="1">'прил 7 (ЦС,ВР 22)'!#REF!</definedName>
    <definedName name="Z_DD7538FB_7299_4DEE_90D5_2739132A1616_.wvu.FilterData" localSheetId="3" hidden="1">'прил 8 (ЦС,ВР 23-24)'!#REF!</definedName>
    <definedName name="Z_E4B436A8_4A5B_422F_8C0E_9267F763D19D_.wvu.FilterData" localSheetId="2" hidden="1">'прил 7 (ЦС,ВР 22)'!#REF!</definedName>
    <definedName name="Z_E4B436A8_4A5B_422F_8C0E_9267F763D19D_.wvu.FilterData" localSheetId="3" hidden="1">'прил 8 (ЦС,ВР 23-24)'!#REF!</definedName>
    <definedName name="Z_E6BB4361_1D58_11D9_A2FD_006098EF8B30_.wvu.FilterData" localSheetId="2" hidden="1">'прил 7 (ЦС,ВР 22)'!#REF!</definedName>
    <definedName name="Z_E6BB4361_1D58_11D9_A2FD_006098EF8B30_.wvu.FilterData" localSheetId="3" hidden="1">'прил 8 (ЦС,ВР 23-24)'!#REF!</definedName>
    <definedName name="Z_EF486DA3_1DF3_11D9_A2FD_006098EF8B30_.wvu.FilterData" localSheetId="2" hidden="1">'прил 7 (ЦС,ВР 22)'!#REF!</definedName>
    <definedName name="Z_EF486DA3_1DF3_11D9_A2FD_006098EF8B30_.wvu.FilterData" localSheetId="3" hidden="1">'прил 8 (ЦС,ВР 23-24)'!#REF!</definedName>
    <definedName name="Z_EF486DA8_1DF3_11D9_A2FD_006098EF8B30_.wvu.FilterData" localSheetId="2" hidden="1">'прил 7 (ЦС,ВР 22)'!#REF!</definedName>
    <definedName name="Z_EF486DA8_1DF3_11D9_A2FD_006098EF8B30_.wvu.FilterData" localSheetId="3" hidden="1">'прил 8 (ЦС,ВР 23-24)'!#REF!</definedName>
    <definedName name="Z_EF486DAA_1DF3_11D9_A2FD_006098EF8B30_.wvu.FilterData" localSheetId="2" hidden="1">'прил 7 (ЦС,ВР 22)'!#REF!</definedName>
    <definedName name="Z_EF486DAA_1DF3_11D9_A2FD_006098EF8B30_.wvu.FilterData" localSheetId="3" hidden="1">'прил 8 (ЦС,ВР 23-24)'!#REF!</definedName>
    <definedName name="Z_EF486DAC_1DF3_11D9_A2FD_006098EF8B30_.wvu.FilterData" localSheetId="2" hidden="1">'прил 7 (ЦС,ВР 22)'!#REF!</definedName>
    <definedName name="Z_EF486DAC_1DF3_11D9_A2FD_006098EF8B30_.wvu.FilterData" localSheetId="3" hidden="1">'прил 8 (ЦС,ВР 23-24)'!#REF!</definedName>
    <definedName name="Z_EF5A4981_C8E4_11D8_A2FC_006098EF8BA8_.wvu.Cols" localSheetId="2" hidden="1">'прил 7 (ЦС,ВР 22)'!$A:$A,'прил 7 (ЦС,ВР 22)'!#REF!,'прил 7 (ЦС,ВР 22)'!#REF!</definedName>
    <definedName name="Z_EF5A4981_C8E4_11D8_A2FC_006098EF8BA8_.wvu.Cols" localSheetId="3" hidden="1">'прил 8 (ЦС,ВР 23-24)'!$A:$A,'прил 8 (ЦС,ВР 23-24)'!#REF!,'прил 8 (ЦС,ВР 23-24)'!#REF!</definedName>
    <definedName name="Z_EF5A4981_C8E4_11D8_A2FC_006098EF8BA8_.wvu.FilterData" localSheetId="2" hidden="1">'прил 7 (ЦС,ВР 22)'!#REF!</definedName>
    <definedName name="Z_EF5A4981_C8E4_11D8_A2FC_006098EF8BA8_.wvu.FilterData" localSheetId="3" hidden="1">'прил 8 (ЦС,ВР 23-24)'!#REF!</definedName>
    <definedName name="Z_EF5A4981_C8E4_11D8_A2FC_006098EF8BA8_.wvu.PrintArea" localSheetId="2" hidden="1">'прил 7 (ЦС,ВР 22)'!#REF!</definedName>
    <definedName name="Z_EF5A4981_C8E4_11D8_A2FC_006098EF8BA8_.wvu.PrintArea" localSheetId="3" hidden="1">'прил 8 (ЦС,ВР 23-24)'!#REF!</definedName>
    <definedName name="Z_EF5A4981_C8E4_11D8_A2FC_006098EF8BA8_.wvu.PrintTitles" localSheetId="2" hidden="1">'прил 7 (ЦС,ВР 22)'!#REF!</definedName>
    <definedName name="Z_EF5A4981_C8E4_11D8_A2FC_006098EF8BA8_.wvu.PrintTitles" localSheetId="3" hidden="1">'прил 8 (ЦС,ВР 23-24)'!#REF!</definedName>
    <definedName name="_xlnm.Print_Titles" localSheetId="1">'прил 6 (Рз,ПР 22-24)'!$15:$15</definedName>
    <definedName name="_xlnm.Print_Titles" localSheetId="2">'прил 7 (ЦС,ВР 22)'!$13:$13</definedName>
    <definedName name="_xlnm.Print_Titles" localSheetId="3">'прил 8 (ЦС,ВР 23-24)'!$14:$14</definedName>
    <definedName name="_xlnm.Print_Titles" localSheetId="0">'прил. 1 (поступл.22-24)'!$13:$13</definedName>
    <definedName name="_xlnm.Print_Titles" localSheetId="6">'прил.11 (Источники 22-24)'!$14:$14</definedName>
    <definedName name="_xlnm.Print_Titles" localSheetId="5">'прил10 (ведом 23-24)'!$15:$15</definedName>
    <definedName name="_xlnm.Print_Titles" localSheetId="4">'прил9 (ведом 22)'!$14:$14</definedName>
    <definedName name="_xlnm.Print_Area" localSheetId="1">'прил 6 (Рз,ПР 22-24)'!$A$1:$F$64</definedName>
    <definedName name="_xlnm.Print_Area" localSheetId="2">'прил 7 (ЦС,ВР 22)'!$A$1:$H$527</definedName>
    <definedName name="_xlnm.Print_Area" localSheetId="3">'прил 8 (ЦС,ВР 23-24)'!$A$1:$I$442</definedName>
    <definedName name="_xlnm.Print_Area" localSheetId="0">'прил. 1 (поступл.22-24)'!$A$1:$E$48</definedName>
    <definedName name="_xlnm.Print_Area" localSheetId="6">'прил.11 (Источники 22-24)'!$A$1:$E$33</definedName>
    <definedName name="_xlnm.Print_Area" localSheetId="5">'прил10 (ведом 23-24)'!$A$1:$N$582</definedName>
    <definedName name="_xlnm.Print_Area" localSheetId="4">'прил9 (ведом 22)'!$A$1:$M$713</definedName>
  </definedNames>
  <calcPr calcId="145621" iterate="1"/>
</workbook>
</file>

<file path=xl/calcChain.xml><?xml version="1.0" encoding="utf-8"?>
<calcChain xmlns="http://schemas.openxmlformats.org/spreadsheetml/2006/main">
  <c r="H494" i="7" l="1"/>
  <c r="H493" i="7" s="1"/>
  <c r="L160" i="3"/>
  <c r="C34" i="5" l="1"/>
  <c r="H222" i="7" l="1"/>
  <c r="H221" i="7" s="1"/>
  <c r="H220" i="7"/>
  <c r="H219" i="7"/>
  <c r="H218" i="7"/>
  <c r="K618" i="3"/>
  <c r="K604" i="3"/>
  <c r="L624" i="3"/>
  <c r="L623" i="3"/>
  <c r="K623" i="3"/>
  <c r="L622" i="3"/>
  <c r="L621" i="3"/>
  <c r="L620" i="3"/>
  <c r="L619" i="3" s="1"/>
  <c r="L618" i="3" s="1"/>
  <c r="K619" i="3"/>
  <c r="H217" i="7" l="1"/>
  <c r="H216" i="7" s="1"/>
  <c r="H344" i="7" l="1"/>
  <c r="H343" i="7" s="1"/>
  <c r="H342" i="7" s="1"/>
  <c r="K295" i="3"/>
  <c r="K294" i="3" s="1"/>
  <c r="L296" i="3"/>
  <c r="L295" i="3" s="1"/>
  <c r="L294" i="3" s="1"/>
  <c r="H226" i="7" l="1"/>
  <c r="K627" i="3"/>
  <c r="K626" i="3" s="1"/>
  <c r="K625" i="3" s="1"/>
  <c r="L628" i="3"/>
  <c r="L627" i="3" s="1"/>
  <c r="L626" i="3" s="1"/>
  <c r="L625" i="3" s="1"/>
  <c r="C14" i="5" l="1"/>
  <c r="D34" i="5"/>
  <c r="E34" i="5"/>
  <c r="C31" i="5" l="1"/>
  <c r="H383" i="7" l="1"/>
  <c r="L316" i="3"/>
  <c r="L315" i="3" s="1"/>
  <c r="K315" i="3"/>
  <c r="H454" i="7"/>
  <c r="K32" i="3"/>
  <c r="L33" i="3"/>
  <c r="L32" i="3" s="1"/>
  <c r="L577" i="19"/>
  <c r="L575" i="19"/>
  <c r="L574" i="19"/>
  <c r="L572" i="19"/>
  <c r="L571" i="19"/>
  <c r="L569" i="19"/>
  <c r="L568" i="19"/>
  <c r="L562" i="19"/>
  <c r="L561" i="19"/>
  <c r="L559" i="19"/>
  <c r="L558" i="19"/>
  <c r="L556" i="19"/>
  <c r="L555" i="19"/>
  <c r="L553" i="19"/>
  <c r="L552" i="19"/>
  <c r="L543" i="19"/>
  <c r="L542" i="19"/>
  <c r="L541" i="19"/>
  <c r="L535" i="19"/>
  <c r="L534" i="19"/>
  <c r="L533" i="19"/>
  <c r="L526" i="19"/>
  <c r="L525" i="19" s="1"/>
  <c r="L524" i="19" s="1"/>
  <c r="L523" i="19"/>
  <c r="L520" i="19"/>
  <c r="L519" i="19" s="1"/>
  <c r="L518" i="19" s="1"/>
  <c r="L511" i="19"/>
  <c r="L510" i="19"/>
  <c r="L509" i="19"/>
  <c r="L503" i="19"/>
  <c r="L500" i="19"/>
  <c r="L499" i="19"/>
  <c r="L493" i="19"/>
  <c r="L491" i="19"/>
  <c r="L490" i="19" s="1"/>
  <c r="L489" i="19"/>
  <c r="L487" i="19"/>
  <c r="L486" i="19"/>
  <c r="L485" i="19"/>
  <c r="L481" i="19"/>
  <c r="L480" i="19" s="1"/>
  <c r="L479" i="19" s="1"/>
  <c r="L478" i="19" s="1"/>
  <c r="L474" i="19"/>
  <c r="L473" i="19" s="1"/>
  <c r="L472" i="19" s="1"/>
  <c r="L471" i="19" s="1"/>
  <c r="L470" i="19" s="1"/>
  <c r="L469" i="19" s="1"/>
  <c r="L468" i="19" s="1"/>
  <c r="L465" i="19"/>
  <c r="L464" i="19"/>
  <c r="L463" i="19"/>
  <c r="L461" i="19"/>
  <c r="L460" i="19"/>
  <c r="L459" i="19"/>
  <c r="L453" i="19"/>
  <c r="L452" i="19" s="1"/>
  <c r="L451" i="19"/>
  <c r="L450" i="19"/>
  <c r="L446" i="19"/>
  <c r="L445" i="19"/>
  <c r="L444" i="19"/>
  <c r="L441" i="19"/>
  <c r="L434" i="19"/>
  <c r="L433" i="19" s="1"/>
  <c r="L432" i="19" s="1"/>
  <c r="L431" i="19" s="1"/>
  <c r="L430" i="19" s="1"/>
  <c r="L429" i="19" s="1"/>
  <c r="L428" i="19"/>
  <c r="L422" i="19"/>
  <c r="L421" i="19" s="1"/>
  <c r="L420" i="19"/>
  <c r="L413" i="19"/>
  <c r="L412" i="19" s="1"/>
  <c r="L411" i="19" s="1"/>
  <c r="L410" i="19" s="1"/>
  <c r="L409" i="19" s="1"/>
  <c r="L408" i="19" s="1"/>
  <c r="L407" i="19" s="1"/>
  <c r="L404" i="19"/>
  <c r="L402" i="19" s="1"/>
  <c r="L401" i="19" s="1"/>
  <c r="L400" i="19" s="1"/>
  <c r="L399" i="19" s="1"/>
  <c r="L398" i="19" s="1"/>
  <c r="L397" i="19" s="1"/>
  <c r="L403" i="19"/>
  <c r="L396" i="19"/>
  <c r="L395" i="19" s="1"/>
  <c r="L394" i="19"/>
  <c r="L393" i="19"/>
  <c r="L392" i="19"/>
  <c r="L391" i="19"/>
  <c r="L389" i="19"/>
  <c r="L388" i="19"/>
  <c r="L387" i="19"/>
  <c r="L381" i="19"/>
  <c r="L379" i="19"/>
  <c r="L378" i="19" s="1"/>
  <c r="L373" i="19"/>
  <c r="L372" i="19" s="1"/>
  <c r="L371" i="19" s="1"/>
  <c r="L370" i="19" s="1"/>
  <c r="L369" i="19" s="1"/>
  <c r="L368" i="19"/>
  <c r="L367" i="19" s="1"/>
  <c r="L366" i="19"/>
  <c r="L365" i="19" s="1"/>
  <c r="L364" i="19"/>
  <c r="L362" i="19" s="1"/>
  <c r="L363" i="19"/>
  <c r="L361" i="19"/>
  <c r="L360" i="19"/>
  <c r="L359" i="19"/>
  <c r="L358" i="19"/>
  <c r="L352" i="19"/>
  <c r="L351" i="19" s="1"/>
  <c r="L350" i="19" s="1"/>
  <c r="L349" i="19" s="1"/>
  <c r="L348" i="19"/>
  <c r="L347" i="19"/>
  <c r="L346" i="19"/>
  <c r="L344" i="19"/>
  <c r="L342" i="19"/>
  <c r="L341" i="19"/>
  <c r="L339" i="19"/>
  <c r="L338" i="19"/>
  <c r="L336" i="19"/>
  <c r="L335" i="19"/>
  <c r="L333" i="19"/>
  <c r="L332" i="19"/>
  <c r="L331" i="19"/>
  <c r="L329" i="19"/>
  <c r="L328" i="19"/>
  <c r="L327" i="19"/>
  <c r="L325" i="19"/>
  <c r="L324" i="19"/>
  <c r="L322" i="19"/>
  <c r="L321" i="19"/>
  <c r="L319" i="19"/>
  <c r="L318" i="19"/>
  <c r="L316" i="19"/>
  <c r="L315" i="19"/>
  <c r="L314" i="19"/>
  <c r="L313" i="19"/>
  <c r="L307" i="19"/>
  <c r="L306" i="19" s="1"/>
  <c r="L305" i="19" s="1"/>
  <c r="L304" i="19" s="1"/>
  <c r="L303" i="19" s="1"/>
  <c r="L302" i="19"/>
  <c r="L297" i="19"/>
  <c r="L295" i="19"/>
  <c r="L294" i="19" s="1"/>
  <c r="L293" i="19"/>
  <c r="L291" i="19"/>
  <c r="L290" i="19" s="1"/>
  <c r="L284" i="19"/>
  <c r="L281" i="19"/>
  <c r="L280" i="19" s="1"/>
  <c r="L279" i="19" s="1"/>
  <c r="L278" i="19"/>
  <c r="L277" i="19" s="1"/>
  <c r="L276" i="19" s="1"/>
  <c r="L269" i="19"/>
  <c r="L268" i="19" s="1"/>
  <c r="L267" i="19" s="1"/>
  <c r="L266" i="19" s="1"/>
  <c r="L265" i="19" s="1"/>
  <c r="L264" i="19" s="1"/>
  <c r="L263" i="19" s="1"/>
  <c r="L262" i="19"/>
  <c r="L260" i="19"/>
  <c r="L259" i="19" s="1"/>
  <c r="L253" i="19"/>
  <c r="L247" i="19"/>
  <c r="L246" i="19" s="1"/>
  <c r="L245" i="19" s="1"/>
  <c r="L244" i="19" s="1"/>
  <c r="L243" i="19" s="1"/>
  <c r="L242" i="19" s="1"/>
  <c r="L240" i="19"/>
  <c r="L239" i="19"/>
  <c r="L234" i="19"/>
  <c r="L233" i="19" s="1"/>
  <c r="L232" i="19" s="1"/>
  <c r="L231" i="19"/>
  <c r="L230" i="19" s="1"/>
  <c r="L229" i="19" s="1"/>
  <c r="L228" i="19"/>
  <c r="L227" i="19" s="1"/>
  <c r="L226" i="19"/>
  <c r="L225" i="19"/>
  <c r="L224" i="19"/>
  <c r="L222" i="19"/>
  <c r="L221" i="19"/>
  <c r="L220" i="19"/>
  <c r="L216" i="19"/>
  <c r="L215" i="19" s="1"/>
  <c r="L214" i="19" s="1"/>
  <c r="L213" i="19" s="1"/>
  <c r="L207" i="19"/>
  <c r="L206" i="19"/>
  <c r="L205" i="19"/>
  <c r="L197" i="19"/>
  <c r="L196" i="19" s="1"/>
  <c r="L195" i="19" s="1"/>
  <c r="L194" i="19" s="1"/>
  <c r="L193" i="19" s="1"/>
  <c r="L192" i="19" s="1"/>
  <c r="L191" i="19" s="1"/>
  <c r="L190" i="19"/>
  <c r="L189" i="19" s="1"/>
  <c r="L188" i="19" s="1"/>
  <c r="L187" i="19"/>
  <c r="L186" i="19" s="1"/>
  <c r="L185" i="19" s="1"/>
  <c r="L181" i="19"/>
  <c r="L180" i="19"/>
  <c r="L179" i="19"/>
  <c r="L170" i="19"/>
  <c r="L169" i="19" s="1"/>
  <c r="L168" i="19" s="1"/>
  <c r="L167" i="19" s="1"/>
  <c r="L166" i="19" s="1"/>
  <c r="L165" i="19" s="1"/>
  <c r="L164" i="19"/>
  <c r="L163" i="19" s="1"/>
  <c r="L162" i="19" s="1"/>
  <c r="L161" i="19" s="1"/>
  <c r="L160" i="19" s="1"/>
  <c r="L159" i="19" s="1"/>
  <c r="L157" i="19"/>
  <c r="L151" i="19"/>
  <c r="L149" i="19"/>
  <c r="L148" i="19"/>
  <c r="L143" i="19"/>
  <c r="L142" i="19" s="1"/>
  <c r="L141" i="19"/>
  <c r="L140" i="19" s="1"/>
  <c r="L136" i="19"/>
  <c r="L135" i="19" s="1"/>
  <c r="L134" i="19" s="1"/>
  <c r="L133" i="19" s="1"/>
  <c r="L132" i="19"/>
  <c r="L131" i="19" s="1"/>
  <c r="L130" i="19" s="1"/>
  <c r="L129" i="19" s="1"/>
  <c r="L126" i="19"/>
  <c r="L125" i="19" s="1"/>
  <c r="L124" i="19" s="1"/>
  <c r="L123" i="19" s="1"/>
  <c r="L122" i="19" s="1"/>
  <c r="L121" i="19" s="1"/>
  <c r="L120" i="19"/>
  <c r="L119" i="19" s="1"/>
  <c r="L118" i="19" s="1"/>
  <c r="L117" i="19"/>
  <c r="L116" i="19" s="1"/>
  <c r="L115" i="19" s="1"/>
  <c r="L110" i="19"/>
  <c r="L109" i="19" s="1"/>
  <c r="L108" i="19" s="1"/>
  <c r="L107" i="19" s="1"/>
  <c r="L106" i="19"/>
  <c r="L105" i="19"/>
  <c r="L104" i="19"/>
  <c r="L100" i="19"/>
  <c r="L99" i="19" s="1"/>
  <c r="L98" i="19" s="1"/>
  <c r="L97" i="19"/>
  <c r="L96" i="19" s="1"/>
  <c r="L95" i="19" s="1"/>
  <c r="L91" i="19"/>
  <c r="L90" i="19" s="1"/>
  <c r="L89" i="19"/>
  <c r="L88" i="19" s="1"/>
  <c r="L82" i="19"/>
  <c r="L81" i="19" s="1"/>
  <c r="L80" i="19" s="1"/>
  <c r="L79" i="19"/>
  <c r="L78" i="19" s="1"/>
  <c r="L77" i="19" s="1"/>
  <c r="L76" i="19"/>
  <c r="L74" i="19"/>
  <c r="L73" i="19" s="1"/>
  <c r="L71" i="19"/>
  <c r="L70" i="19"/>
  <c r="L65" i="19"/>
  <c r="L64" i="19" s="1"/>
  <c r="L63" i="19" s="1"/>
  <c r="L62" i="19" s="1"/>
  <c r="L61" i="19" s="1"/>
  <c r="L59" i="19"/>
  <c r="L58" i="19" s="1"/>
  <c r="L57" i="19" s="1"/>
  <c r="L56" i="19" s="1"/>
  <c r="L55" i="19" s="1"/>
  <c r="L54" i="19"/>
  <c r="L53" i="19" s="1"/>
  <c r="L52" i="19" s="1"/>
  <c r="L51" i="19" s="1"/>
  <c r="L50" i="19" s="1"/>
  <c r="L49" i="19" s="1"/>
  <c r="L48" i="19"/>
  <c r="L47" i="19" s="1"/>
  <c r="L46" i="19" s="1"/>
  <c r="L45" i="19"/>
  <c r="L44" i="19"/>
  <c r="L42" i="19"/>
  <c r="L40" i="19"/>
  <c r="L39" i="19"/>
  <c r="L37" i="19"/>
  <c r="L36" i="19" s="1"/>
  <c r="L35" i="19"/>
  <c r="L34" i="19" s="1"/>
  <c r="L33" i="19"/>
  <c r="L32" i="19"/>
  <c r="L31" i="19"/>
  <c r="L25" i="19"/>
  <c r="L24" i="19" s="1"/>
  <c r="L23" i="19" s="1"/>
  <c r="L22" i="19" s="1"/>
  <c r="L21" i="19" s="1"/>
  <c r="L20" i="19" s="1"/>
  <c r="L576" i="19"/>
  <c r="L560" i="19"/>
  <c r="L522" i="19"/>
  <c r="L521" i="19" s="1"/>
  <c r="L502" i="19"/>
  <c r="L501" i="19" s="1"/>
  <c r="L492" i="19"/>
  <c r="L488" i="19"/>
  <c r="L440" i="19"/>
  <c r="L439" i="19" s="1"/>
  <c r="L427" i="19"/>
  <c r="L426" i="19" s="1"/>
  <c r="L425" i="19" s="1"/>
  <c r="L424" i="19" s="1"/>
  <c r="L423" i="19" s="1"/>
  <c r="L419" i="19"/>
  <c r="L380" i="19"/>
  <c r="L343" i="19"/>
  <c r="L301" i="19"/>
  <c r="L300" i="19" s="1"/>
  <c r="L299" i="19" s="1"/>
  <c r="L298" i="19" s="1"/>
  <c r="L296" i="19"/>
  <c r="L292" i="19"/>
  <c r="L283" i="19"/>
  <c r="L282" i="19" s="1"/>
  <c r="L261" i="19"/>
  <c r="L252" i="19"/>
  <c r="L251" i="19" s="1"/>
  <c r="L250" i="19" s="1"/>
  <c r="L249" i="19" s="1"/>
  <c r="L248" i="19" s="1"/>
  <c r="L156" i="19"/>
  <c r="L155" i="19" s="1"/>
  <c r="L154" i="19" s="1"/>
  <c r="L153" i="19" s="1"/>
  <c r="L152" i="19" s="1"/>
  <c r="L150" i="19"/>
  <c r="L75" i="19"/>
  <c r="L41" i="19"/>
  <c r="K576" i="19"/>
  <c r="K573" i="19"/>
  <c r="K570" i="19"/>
  <c r="K567" i="19"/>
  <c r="K560" i="19"/>
  <c r="K557" i="19"/>
  <c r="K554" i="19"/>
  <c r="K551" i="19"/>
  <c r="K540" i="19"/>
  <c r="K539" i="19" s="1"/>
  <c r="K538" i="19" s="1"/>
  <c r="K537" i="19" s="1"/>
  <c r="K536" i="19" s="1"/>
  <c r="K532" i="19"/>
  <c r="K531" i="19" s="1"/>
  <c r="K530" i="19" s="1"/>
  <c r="K529" i="19" s="1"/>
  <c r="K528" i="19" s="1"/>
  <c r="K525" i="19"/>
  <c r="K524" i="19" s="1"/>
  <c r="K522" i="19"/>
  <c r="K521" i="19" s="1"/>
  <c r="K519" i="19"/>
  <c r="K518" i="19" s="1"/>
  <c r="K510" i="19"/>
  <c r="K508" i="19" s="1"/>
  <c r="K507" i="19" s="1"/>
  <c r="K506" i="19" s="1"/>
  <c r="K505" i="19" s="1"/>
  <c r="K504" i="19" s="1"/>
  <c r="K502" i="19"/>
  <c r="K501" i="19" s="1"/>
  <c r="K498" i="19"/>
  <c r="K497" i="19" s="1"/>
  <c r="K492" i="19"/>
  <c r="K490" i="19"/>
  <c r="K488" i="19"/>
  <c r="K487" i="19"/>
  <c r="K484" i="19" s="1"/>
  <c r="K480" i="19"/>
  <c r="K479" i="19" s="1"/>
  <c r="K478" i="19" s="1"/>
  <c r="K473" i="19"/>
  <c r="K472" i="19" s="1"/>
  <c r="K471" i="19" s="1"/>
  <c r="K470" i="19" s="1"/>
  <c r="K469" i="19" s="1"/>
  <c r="K468" i="19" s="1"/>
  <c r="K462" i="19"/>
  <c r="K458" i="19"/>
  <c r="K452" i="19"/>
  <c r="K449" i="19"/>
  <c r="K443" i="19"/>
  <c r="K442" i="19" s="1"/>
  <c r="K440" i="19"/>
  <c r="K439" i="19" s="1"/>
  <c r="K433" i="19"/>
  <c r="K432" i="19" s="1"/>
  <c r="K431" i="19" s="1"/>
  <c r="K430" i="19" s="1"/>
  <c r="K429" i="19" s="1"/>
  <c r="K427" i="19"/>
  <c r="K426" i="19" s="1"/>
  <c r="K425" i="19" s="1"/>
  <c r="K424" i="19" s="1"/>
  <c r="K423" i="19" s="1"/>
  <c r="K421" i="19"/>
  <c r="K419" i="19"/>
  <c r="K412" i="19"/>
  <c r="K411" i="19" s="1"/>
  <c r="K410" i="19" s="1"/>
  <c r="K409" i="19" s="1"/>
  <c r="K408" i="19" s="1"/>
  <c r="K407" i="19" s="1"/>
  <c r="K402" i="19"/>
  <c r="K401" i="19" s="1"/>
  <c r="K400" i="19" s="1"/>
  <c r="K399" i="19" s="1"/>
  <c r="K398" i="19" s="1"/>
  <c r="K397" i="19" s="1"/>
  <c r="K395" i="19"/>
  <c r="K390" i="19"/>
  <c r="K386" i="19"/>
  <c r="K380" i="19"/>
  <c r="K379" i="19"/>
  <c r="K378" i="19" s="1"/>
  <c r="K372" i="19"/>
  <c r="K371" i="19" s="1"/>
  <c r="K370" i="19" s="1"/>
  <c r="K369" i="19" s="1"/>
  <c r="K367" i="19"/>
  <c r="K365" i="19"/>
  <c r="K364" i="19"/>
  <c r="K363" i="19"/>
  <c r="K362" i="19" s="1"/>
  <c r="K357" i="19"/>
  <c r="K351" i="19"/>
  <c r="K350" i="19" s="1"/>
  <c r="K349" i="19" s="1"/>
  <c r="K345" i="19"/>
  <c r="K343" i="19"/>
  <c r="K340" i="19"/>
  <c r="K337" i="19"/>
  <c r="K334" i="19"/>
  <c r="K330" i="19"/>
  <c r="K326" i="19"/>
  <c r="K323" i="19"/>
  <c r="K320" i="19"/>
  <c r="K319" i="19"/>
  <c r="K318" i="19"/>
  <c r="K317" i="19" s="1"/>
  <c r="K312" i="19"/>
  <c r="K306" i="19"/>
  <c r="K305" i="19" s="1"/>
  <c r="K304" i="19" s="1"/>
  <c r="K303" i="19" s="1"/>
  <c r="K301" i="19"/>
  <c r="K300" i="19" s="1"/>
  <c r="K299" i="19" s="1"/>
  <c r="K298" i="19" s="1"/>
  <c r="K296" i="19"/>
  <c r="K294" i="19"/>
  <c r="K293" i="19"/>
  <c r="K292" i="19"/>
  <c r="K290" i="19"/>
  <c r="K283" i="19"/>
  <c r="K282" i="19" s="1"/>
  <c r="K280" i="19"/>
  <c r="K279" i="19" s="1"/>
  <c r="K277" i="19"/>
  <c r="K276" i="19" s="1"/>
  <c r="K268" i="19"/>
  <c r="K267" i="19" s="1"/>
  <c r="K266" i="19" s="1"/>
  <c r="K265" i="19" s="1"/>
  <c r="K264" i="19" s="1"/>
  <c r="K263" i="19" s="1"/>
  <c r="K261" i="19"/>
  <c r="K260" i="19"/>
  <c r="K259" i="19" s="1"/>
  <c r="K253" i="19"/>
  <c r="K252" i="19" s="1"/>
  <c r="K251" i="19" s="1"/>
  <c r="K250" i="19" s="1"/>
  <c r="K249" i="19" s="1"/>
  <c r="K248" i="19" s="1"/>
  <c r="K247" i="19"/>
  <c r="K246" i="19" s="1"/>
  <c r="K245" i="19" s="1"/>
  <c r="K244" i="19" s="1"/>
  <c r="K243" i="19" s="1"/>
  <c r="K242" i="19" s="1"/>
  <c r="K238" i="19"/>
  <c r="K237" i="19" s="1"/>
  <c r="K236" i="19" s="1"/>
  <c r="K235" i="19" s="1"/>
  <c r="K233" i="19"/>
  <c r="K232" i="19" s="1"/>
  <c r="K230" i="19"/>
  <c r="K229" i="19" s="1"/>
  <c r="K227" i="19"/>
  <c r="K224" i="19"/>
  <c r="K223" i="19" s="1"/>
  <c r="K219" i="19"/>
  <c r="K215" i="19"/>
  <c r="K214" i="19" s="1"/>
  <c r="K213" i="19" s="1"/>
  <c r="K204" i="19"/>
  <c r="K203" i="19" s="1"/>
  <c r="K202" i="19" s="1"/>
  <c r="K201" i="19" s="1"/>
  <c r="K200" i="19" s="1"/>
  <c r="K199" i="19" s="1"/>
  <c r="K196" i="19"/>
  <c r="K195" i="19" s="1"/>
  <c r="K194" i="19" s="1"/>
  <c r="K193" i="19" s="1"/>
  <c r="K192" i="19" s="1"/>
  <c r="K191" i="19" s="1"/>
  <c r="K189" i="19"/>
  <c r="K188" i="19" s="1"/>
  <c r="K186" i="19"/>
  <c r="K185" i="19" s="1"/>
  <c r="K178" i="19"/>
  <c r="K177" i="19" s="1"/>
  <c r="K176" i="19" s="1"/>
  <c r="K175" i="19" s="1"/>
  <c r="K174" i="19" s="1"/>
  <c r="K169" i="19"/>
  <c r="K168" i="19" s="1"/>
  <c r="K167" i="19" s="1"/>
  <c r="K166" i="19" s="1"/>
  <c r="K165" i="19" s="1"/>
  <c r="K163" i="19"/>
  <c r="K162" i="19" s="1"/>
  <c r="K161" i="19" s="1"/>
  <c r="K160" i="19" s="1"/>
  <c r="K159" i="19" s="1"/>
  <c r="K156" i="19"/>
  <c r="K155" i="19" s="1"/>
  <c r="K154" i="19" s="1"/>
  <c r="K153" i="19" s="1"/>
  <c r="K152" i="19" s="1"/>
  <c r="K151" i="19"/>
  <c r="K150" i="19" s="1"/>
  <c r="K149" i="19"/>
  <c r="K147" i="19" s="1"/>
  <c r="K142" i="19"/>
  <c r="K140" i="19"/>
  <c r="K135" i="19"/>
  <c r="K134" i="19" s="1"/>
  <c r="K133" i="19" s="1"/>
  <c r="K131" i="19"/>
  <c r="K130" i="19" s="1"/>
  <c r="K129" i="19" s="1"/>
  <c r="K125" i="19"/>
  <c r="K124" i="19" s="1"/>
  <c r="K123" i="19" s="1"/>
  <c r="K122" i="19" s="1"/>
  <c r="K121" i="19" s="1"/>
  <c r="K119" i="19"/>
  <c r="K118" i="19" s="1"/>
  <c r="K116" i="19"/>
  <c r="K115" i="19" s="1"/>
  <c r="K109" i="19"/>
  <c r="K108" i="19" s="1"/>
  <c r="K107" i="19" s="1"/>
  <c r="K104" i="19"/>
  <c r="K103" i="19" s="1"/>
  <c r="K102" i="19" s="1"/>
  <c r="K101" i="19" s="1"/>
  <c r="K99" i="19"/>
  <c r="K98" i="19" s="1"/>
  <c r="K96" i="19"/>
  <c r="K95" i="19" s="1"/>
  <c r="K90" i="19"/>
  <c r="K88" i="19"/>
  <c r="K81" i="19"/>
  <c r="K80" i="19" s="1"/>
  <c r="K78" i="19"/>
  <c r="K77" i="19" s="1"/>
  <c r="K75" i="19"/>
  <c r="K73" i="19"/>
  <c r="K69" i="19"/>
  <c r="K68" i="19" s="1"/>
  <c r="K64" i="19"/>
  <c r="K63" i="19" s="1"/>
  <c r="K62" i="19" s="1"/>
  <c r="K61" i="19" s="1"/>
  <c r="K58" i="19"/>
  <c r="K57" i="19" s="1"/>
  <c r="K56" i="19" s="1"/>
  <c r="K55" i="19" s="1"/>
  <c r="K54" i="19"/>
  <c r="K53" i="19" s="1"/>
  <c r="K52" i="19" s="1"/>
  <c r="K51" i="19" s="1"/>
  <c r="K50" i="19" s="1"/>
  <c r="K49" i="19" s="1"/>
  <c r="K47" i="19"/>
  <c r="K46" i="19" s="1"/>
  <c r="K43" i="19"/>
  <c r="K41" i="19"/>
  <c r="K38" i="19"/>
  <c r="K36" i="19"/>
  <c r="K34" i="19"/>
  <c r="K32" i="19"/>
  <c r="K31" i="19"/>
  <c r="K30" i="19" s="1"/>
  <c r="K24" i="19"/>
  <c r="K23" i="19" s="1"/>
  <c r="K22" i="19" s="1"/>
  <c r="K21" i="19" s="1"/>
  <c r="K20" i="19" s="1"/>
  <c r="L23" i="3"/>
  <c r="L708" i="3"/>
  <c r="L707" i="3"/>
  <c r="L705" i="3"/>
  <c r="L704" i="3"/>
  <c r="L702" i="3"/>
  <c r="L701" i="3"/>
  <c r="L695" i="3"/>
  <c r="L694" i="3"/>
  <c r="L692" i="3"/>
  <c r="L691" i="3"/>
  <c r="L689" i="3"/>
  <c r="L688" i="3"/>
  <c r="L686" i="3"/>
  <c r="L685" i="3"/>
  <c r="L676" i="3"/>
  <c r="L675" i="3"/>
  <c r="L674" i="3"/>
  <c r="L668" i="3"/>
  <c r="L666" i="3"/>
  <c r="L665" i="3"/>
  <c r="L664" i="3"/>
  <c r="L657" i="3"/>
  <c r="L656" i="3" s="1"/>
  <c r="L655" i="3" s="1"/>
  <c r="L654" i="3"/>
  <c r="L653" i="3" s="1"/>
  <c r="L652" i="3" s="1"/>
  <c r="L651" i="3"/>
  <c r="L650" i="3" s="1"/>
  <c r="L649" i="3" s="1"/>
  <c r="L642" i="3"/>
  <c r="L641" i="3"/>
  <c r="L640" i="3"/>
  <c r="L634" i="3"/>
  <c r="L617" i="3"/>
  <c r="L616" i="3" s="1"/>
  <c r="L615" i="3"/>
  <c r="L614" i="3" s="1"/>
  <c r="L613" i="3"/>
  <c r="L612" i="3" s="1"/>
  <c r="L611" i="3"/>
  <c r="L609" i="3"/>
  <c r="L608" i="3"/>
  <c r="L607" i="3"/>
  <c r="L603" i="3"/>
  <c r="L596" i="3"/>
  <c r="L595" i="3" s="1"/>
  <c r="L594" i="3" s="1"/>
  <c r="L593" i="3" s="1"/>
  <c r="L592" i="3" s="1"/>
  <c r="L591" i="3" s="1"/>
  <c r="L590" i="3" s="1"/>
  <c r="L587" i="3"/>
  <c r="L586" i="3" s="1"/>
  <c r="L585" i="3"/>
  <c r="L584" i="3"/>
  <c r="L583" i="3"/>
  <c r="L581" i="3"/>
  <c r="L580" i="3"/>
  <c r="L579" i="3"/>
  <c r="L575" i="3"/>
  <c r="L569" i="3"/>
  <c r="L567" i="3"/>
  <c r="L566" i="3"/>
  <c r="L562" i="3"/>
  <c r="L561" i="3" s="1"/>
  <c r="L560" i="3"/>
  <c r="L559" i="3"/>
  <c r="L558" i="3"/>
  <c r="L555" i="3"/>
  <c r="L554" i="3" s="1"/>
  <c r="L553" i="3"/>
  <c r="L551" i="3"/>
  <c r="L544" i="3"/>
  <c r="L538" i="3"/>
  <c r="L537" i="3" s="1"/>
  <c r="L536" i="3" s="1"/>
  <c r="L535" i="3" s="1"/>
  <c r="L534" i="3" s="1"/>
  <c r="L533" i="3" s="1"/>
  <c r="L532" i="3"/>
  <c r="L530" i="3"/>
  <c r="L528" i="3"/>
  <c r="L521" i="3"/>
  <c r="L520" i="3" s="1"/>
  <c r="L519" i="3" s="1"/>
  <c r="L518" i="3" s="1"/>
  <c r="L512" i="3"/>
  <c r="L511" i="3"/>
  <c r="L504" i="3"/>
  <c r="L502" i="3"/>
  <c r="L501" i="3" s="1"/>
  <c r="L500" i="3"/>
  <c r="L499" i="3" s="1"/>
  <c r="L498" i="3"/>
  <c r="L497" i="3"/>
  <c r="L496" i="3"/>
  <c r="L495" i="3"/>
  <c r="L493" i="3"/>
  <c r="L492" i="3"/>
  <c r="L491" i="3"/>
  <c r="L487" i="3"/>
  <c r="L481" i="3"/>
  <c r="L479" i="3"/>
  <c r="L478" i="3" s="1"/>
  <c r="L473" i="3"/>
  <c r="L472" i="3" s="1"/>
  <c r="L471" i="3"/>
  <c r="L470" i="3" s="1"/>
  <c r="L469" i="3"/>
  <c r="L468" i="3"/>
  <c r="L466" i="3"/>
  <c r="L465" i="3" s="1"/>
  <c r="L464" i="3"/>
  <c r="L463" i="3"/>
  <c r="L461" i="3"/>
  <c r="L460" i="3"/>
  <c r="L459" i="3"/>
  <c r="L458" i="3"/>
  <c r="L452" i="3"/>
  <c r="L451" i="3"/>
  <c r="L446" i="3"/>
  <c r="L445" i="3" s="1"/>
  <c r="L444" i="3" s="1"/>
  <c r="L443" i="3" s="1"/>
  <c r="L442" i="3"/>
  <c r="L441" i="3"/>
  <c r="L440" i="3"/>
  <c r="L438" i="3"/>
  <c r="L437" i="3"/>
  <c r="L435" i="3"/>
  <c r="L434" i="3"/>
  <c r="L432" i="3"/>
  <c r="L431" i="3"/>
  <c r="L429" i="3"/>
  <c r="L428" i="3"/>
  <c r="L427" i="3"/>
  <c r="L425" i="3"/>
  <c r="L424" i="3"/>
  <c r="L423" i="3"/>
  <c r="L421" i="3"/>
  <c r="L420" i="3"/>
  <c r="L418" i="3"/>
  <c r="L416" i="3"/>
  <c r="L415" i="3"/>
  <c r="L414" i="3"/>
  <c r="L412" i="3"/>
  <c r="L411" i="3"/>
  <c r="L409" i="3"/>
  <c r="L408" i="3"/>
  <c r="L406" i="3"/>
  <c r="L405" i="3"/>
  <c r="L404" i="3"/>
  <c r="L403" i="3"/>
  <c r="L397" i="3"/>
  <c r="L396" i="3" s="1"/>
  <c r="L395" i="3" s="1"/>
  <c r="L394" i="3" s="1"/>
  <c r="L393" i="3" s="1"/>
  <c r="L392" i="3"/>
  <c r="L391" i="3" s="1"/>
  <c r="L390" i="3" s="1"/>
  <c r="L389" i="3" s="1"/>
  <c r="L388" i="3" s="1"/>
  <c r="L387" i="3"/>
  <c r="L385" i="3"/>
  <c r="L383" i="3"/>
  <c r="L381" i="3"/>
  <c r="L380" i="3" s="1"/>
  <c r="L379" i="3"/>
  <c r="L378" i="3" s="1"/>
  <c r="L377" i="3"/>
  <c r="L370" i="3"/>
  <c r="L369" i="3" s="1"/>
  <c r="L368" i="3" s="1"/>
  <c r="L367" i="3"/>
  <c r="L366" i="3" s="1"/>
  <c r="L365" i="3" s="1"/>
  <c r="L364" i="3"/>
  <c r="L363" i="3" s="1"/>
  <c r="L362" i="3" s="1"/>
  <c r="L355" i="3"/>
  <c r="L354" i="3" s="1"/>
  <c r="L353" i="3" s="1"/>
  <c r="L352" i="3" s="1"/>
  <c r="L351" i="3" s="1"/>
  <c r="L350" i="3" s="1"/>
  <c r="L349" i="3" s="1"/>
  <c r="L348" i="3"/>
  <c r="L347" i="3" s="1"/>
  <c r="L346" i="3"/>
  <c r="L345" i="3" s="1"/>
  <c r="L339" i="3"/>
  <c r="L338" i="3" s="1"/>
  <c r="L337" i="3" s="1"/>
  <c r="L336" i="3" s="1"/>
  <c r="L335" i="3" s="1"/>
  <c r="L334" i="3" s="1"/>
  <c r="L333" i="3"/>
  <c r="L332" i="3" s="1"/>
  <c r="L331" i="3" s="1"/>
  <c r="L330" i="3" s="1"/>
  <c r="L329" i="3" s="1"/>
  <c r="L328" i="3" s="1"/>
  <c r="L327" i="3"/>
  <c r="L326" i="3" s="1"/>
  <c r="L325" i="3"/>
  <c r="L324" i="3" s="1"/>
  <c r="L318" i="3"/>
  <c r="L317" i="3" s="1"/>
  <c r="L309" i="3"/>
  <c r="L302" i="3"/>
  <c r="L301" i="3"/>
  <c r="L293" i="3"/>
  <c r="L292" i="3" s="1"/>
  <c r="L291" i="3" s="1"/>
  <c r="L290" i="3" s="1"/>
  <c r="L289" i="3"/>
  <c r="L288" i="3" s="1"/>
  <c r="L287" i="3" s="1"/>
  <c r="L286" i="3"/>
  <c r="L285" i="3" s="1"/>
  <c r="L284" i="3" s="1"/>
  <c r="L283" i="3"/>
  <c r="L282" i="3" s="1"/>
  <c r="L281" i="3"/>
  <c r="L280" i="3"/>
  <c r="L279" i="3"/>
  <c r="L277" i="3"/>
  <c r="L276" i="3"/>
  <c r="L275" i="3"/>
  <c r="L271" i="3"/>
  <c r="L270" i="3" s="1"/>
  <c r="L269" i="3" s="1"/>
  <c r="L268" i="3"/>
  <c r="L267" i="3" s="1"/>
  <c r="L266" i="3" s="1"/>
  <c r="L259" i="3"/>
  <c r="L258" i="3" s="1"/>
  <c r="L257" i="3"/>
  <c r="L256" i="3"/>
  <c r="L255" i="3"/>
  <c r="L247" i="3"/>
  <c r="L240" i="3"/>
  <c r="L239" i="3" s="1"/>
  <c r="L238" i="3" s="1"/>
  <c r="L237" i="3" s="1"/>
  <c r="L236" i="3" s="1"/>
  <c r="L235" i="3" s="1"/>
  <c r="L234" i="3" s="1"/>
  <c r="L233" i="3"/>
  <c r="L232" i="3" s="1"/>
  <c r="L231" i="3" s="1"/>
  <c r="L230" i="3"/>
  <c r="L229" i="3" s="1"/>
  <c r="L228" i="3" s="1"/>
  <c r="L224" i="3"/>
  <c r="L223" i="3" s="1"/>
  <c r="L222" i="3" s="1"/>
  <c r="L221" i="3"/>
  <c r="L220" i="3"/>
  <c r="L219" i="3"/>
  <c r="L210" i="3"/>
  <c r="L209" i="3" s="1"/>
  <c r="L208" i="3" s="1"/>
  <c r="L207" i="3" s="1"/>
  <c r="L206" i="3" s="1"/>
  <c r="L205" i="3" s="1"/>
  <c r="L204" i="3" s="1"/>
  <c r="L203" i="3"/>
  <c r="L197" i="3"/>
  <c r="L196" i="3" s="1"/>
  <c r="L195" i="3" s="1"/>
  <c r="L194" i="3" s="1"/>
  <c r="L193" i="3" s="1"/>
  <c r="L192" i="3" s="1"/>
  <c r="L190" i="3"/>
  <c r="L189" i="3" s="1"/>
  <c r="L188" i="3" s="1"/>
  <c r="L187" i="3" s="1"/>
  <c r="L186" i="3" s="1"/>
  <c r="L185" i="3" s="1"/>
  <c r="L184" i="3" s="1"/>
  <c r="L183" i="3"/>
  <c r="L182" i="3" s="1"/>
  <c r="L181" i="3" s="1"/>
  <c r="L180" i="3" s="1"/>
  <c r="L179" i="3"/>
  <c r="L178" i="3" s="1"/>
  <c r="L177" i="3" s="1"/>
  <c r="L176" i="3" s="1"/>
  <c r="L173" i="3"/>
  <c r="L171" i="3"/>
  <c r="L170" i="3" s="1"/>
  <c r="L169" i="3"/>
  <c r="L162" i="3"/>
  <c r="L158" i="3"/>
  <c r="L157" i="3"/>
  <c r="L152" i="3"/>
  <c r="L150" i="3"/>
  <c r="L145" i="3"/>
  <c r="L144" i="3" s="1"/>
  <c r="L143" i="3" s="1"/>
  <c r="L142" i="3" s="1"/>
  <c r="L141" i="3"/>
  <c r="L140" i="3" s="1"/>
  <c r="L139" i="3" s="1"/>
  <c r="L138" i="3" s="1"/>
  <c r="L135" i="3"/>
  <c r="L129" i="3"/>
  <c r="L126" i="3"/>
  <c r="L125" i="3" s="1"/>
  <c r="L124" i="3" s="1"/>
  <c r="L119" i="3"/>
  <c r="L118" i="3" s="1"/>
  <c r="L117" i="3" s="1"/>
  <c r="L116" i="3" s="1"/>
  <c r="L115" i="3"/>
  <c r="L114" i="3"/>
  <c r="L113" i="3"/>
  <c r="L109" i="3"/>
  <c r="L108" i="3" s="1"/>
  <c r="L107" i="3" s="1"/>
  <c r="L106" i="3"/>
  <c r="L104" i="3"/>
  <c r="L98" i="3"/>
  <c r="L97" i="3" s="1"/>
  <c r="L96" i="3"/>
  <c r="L95" i="3" s="1"/>
  <c r="L94" i="3"/>
  <c r="L93" i="3" s="1"/>
  <c r="L92" i="3"/>
  <c r="L91" i="3" s="1"/>
  <c r="L85" i="3"/>
  <c r="L84" i="3" s="1"/>
  <c r="L83" i="3" s="1"/>
  <c r="L82" i="3"/>
  <c r="L81" i="3" s="1"/>
  <c r="L80" i="3" s="1"/>
  <c r="L79" i="3"/>
  <c r="L77" i="3"/>
  <c r="L74" i="3"/>
  <c r="L73" i="3"/>
  <c r="L70" i="3"/>
  <c r="L65" i="3"/>
  <c r="L59" i="3"/>
  <c r="L58" i="3" s="1"/>
  <c r="L57" i="3" s="1"/>
  <c r="L56" i="3" s="1"/>
  <c r="L55" i="3" s="1"/>
  <c r="L54" i="3"/>
  <c r="L48" i="3"/>
  <c r="L47" i="3" s="1"/>
  <c r="L46" i="3" s="1"/>
  <c r="L45" i="3"/>
  <c r="L44" i="3"/>
  <c r="L42" i="3"/>
  <c r="L41" i="3" s="1"/>
  <c r="L40" i="3"/>
  <c r="L39" i="3"/>
  <c r="L37" i="3"/>
  <c r="L35" i="3"/>
  <c r="L34" i="3" s="1"/>
  <c r="L31" i="3"/>
  <c r="L30" i="3"/>
  <c r="L29" i="3"/>
  <c r="L22" i="3"/>
  <c r="L21" i="3" s="1"/>
  <c r="L20" i="3" s="1"/>
  <c r="L19" i="3" s="1"/>
  <c r="L18" i="3" s="1"/>
  <c r="L703" i="3"/>
  <c r="L687" i="3"/>
  <c r="L667" i="3"/>
  <c r="L633" i="3"/>
  <c r="L632" i="3" s="1"/>
  <c r="L631" i="3" s="1"/>
  <c r="L630" i="3" s="1"/>
  <c r="L629" i="3" s="1"/>
  <c r="L610" i="3"/>
  <c r="L602" i="3"/>
  <c r="L601" i="3" s="1"/>
  <c r="L600" i="3" s="1"/>
  <c r="L578" i="3"/>
  <c r="L574" i="3"/>
  <c r="L573" i="3" s="1"/>
  <c r="L572" i="3" s="1"/>
  <c r="L568" i="3"/>
  <c r="L552" i="3"/>
  <c r="L550" i="3"/>
  <c r="L543" i="3"/>
  <c r="L542" i="3" s="1"/>
  <c r="L541" i="3" s="1"/>
  <c r="L540" i="3" s="1"/>
  <c r="L539" i="3" s="1"/>
  <c r="L531" i="3"/>
  <c r="L529" i="3"/>
  <c r="L527" i="3"/>
  <c r="L510" i="3"/>
  <c r="L509" i="3" s="1"/>
  <c r="L508" i="3" s="1"/>
  <c r="L507" i="3" s="1"/>
  <c r="L506" i="3" s="1"/>
  <c r="L505" i="3" s="1"/>
  <c r="L503" i="3"/>
  <c r="L486" i="3"/>
  <c r="L485" i="3" s="1"/>
  <c r="L484" i="3" s="1"/>
  <c r="L480" i="3"/>
  <c r="L430" i="3"/>
  <c r="L417" i="3"/>
  <c r="L407" i="3"/>
  <c r="L386" i="3"/>
  <c r="L384" i="3"/>
  <c r="L382" i="3"/>
  <c r="L376" i="3"/>
  <c r="L308" i="3"/>
  <c r="L307" i="3" s="1"/>
  <c r="L306" i="3" s="1"/>
  <c r="L305" i="3" s="1"/>
  <c r="L304" i="3" s="1"/>
  <c r="L303" i="3" s="1"/>
  <c r="L246" i="3"/>
  <c r="L245" i="3" s="1"/>
  <c r="L244" i="3" s="1"/>
  <c r="L243" i="3" s="1"/>
  <c r="L242" i="3" s="1"/>
  <c r="L241" i="3" s="1"/>
  <c r="L202" i="3"/>
  <c r="L201" i="3" s="1"/>
  <c r="L200" i="3" s="1"/>
  <c r="L199" i="3" s="1"/>
  <c r="L198" i="3" s="1"/>
  <c r="L172" i="3"/>
  <c r="L168" i="3"/>
  <c r="L161" i="3"/>
  <c r="L156" i="3"/>
  <c r="L151" i="3"/>
  <c r="L149" i="3"/>
  <c r="L134" i="3"/>
  <c r="L133" i="3" s="1"/>
  <c r="L132" i="3" s="1"/>
  <c r="L131" i="3" s="1"/>
  <c r="L130" i="3" s="1"/>
  <c r="L128" i="3"/>
  <c r="L127" i="3" s="1"/>
  <c r="L112" i="3"/>
  <c r="L111" i="3" s="1"/>
  <c r="L110" i="3" s="1"/>
  <c r="L105" i="3"/>
  <c r="L103" i="3"/>
  <c r="L78" i="3"/>
  <c r="L76" i="3"/>
  <c r="L69" i="3"/>
  <c r="L68" i="3" s="1"/>
  <c r="L64" i="3"/>
  <c r="L63" i="3" s="1"/>
  <c r="L62" i="3" s="1"/>
  <c r="L61" i="3" s="1"/>
  <c r="L53" i="3"/>
  <c r="L52" i="3" s="1"/>
  <c r="L51" i="3" s="1"/>
  <c r="L50" i="3" s="1"/>
  <c r="L49" i="3" s="1"/>
  <c r="L36" i="3"/>
  <c r="K706" i="3"/>
  <c r="K703" i="3"/>
  <c r="K700" i="3"/>
  <c r="K693" i="3"/>
  <c r="K690" i="3"/>
  <c r="K687" i="3"/>
  <c r="K684" i="3"/>
  <c r="K674" i="3"/>
  <c r="K673" i="3"/>
  <c r="K672" i="3" s="1"/>
  <c r="K671" i="3" s="1"/>
  <c r="K670" i="3" s="1"/>
  <c r="K669" i="3" s="1"/>
  <c r="K667" i="3"/>
  <c r="K663" i="3"/>
  <c r="K656" i="3"/>
  <c r="K655" i="3" s="1"/>
  <c r="K653" i="3"/>
  <c r="K652" i="3" s="1"/>
  <c r="K650" i="3"/>
  <c r="K649" i="3" s="1"/>
  <c r="K640" i="3"/>
  <c r="K639" i="3"/>
  <c r="K638" i="3" s="1"/>
  <c r="K637" i="3" s="1"/>
  <c r="K636" i="3" s="1"/>
  <c r="K635" i="3" s="1"/>
  <c r="K634" i="3"/>
  <c r="K633" i="3"/>
  <c r="K632" i="3" s="1"/>
  <c r="K631" i="3" s="1"/>
  <c r="K630" i="3" s="1"/>
  <c r="K629" i="3" s="1"/>
  <c r="K616" i="3"/>
  <c r="K614" i="3"/>
  <c r="K613" i="3"/>
  <c r="K612" i="3"/>
  <c r="K610" i="3"/>
  <c r="K607" i="3"/>
  <c r="K606" i="3" s="1"/>
  <c r="K602" i="3"/>
  <c r="K601" i="3" s="1"/>
  <c r="K600" i="3" s="1"/>
  <c r="K595" i="3"/>
  <c r="K594" i="3" s="1"/>
  <c r="K593" i="3" s="1"/>
  <c r="K592" i="3" s="1"/>
  <c r="K591" i="3" s="1"/>
  <c r="K590" i="3" s="1"/>
  <c r="K586" i="3"/>
  <c r="K583" i="3"/>
  <c r="K582" i="3"/>
  <c r="K579" i="3"/>
  <c r="K578" i="3" s="1"/>
  <c r="K574" i="3"/>
  <c r="K573" i="3" s="1"/>
  <c r="K572" i="3" s="1"/>
  <c r="K568" i="3"/>
  <c r="K565" i="3"/>
  <c r="K562" i="3"/>
  <c r="K561" i="3"/>
  <c r="K558" i="3"/>
  <c r="K557" i="3"/>
  <c r="K554" i="3"/>
  <c r="K552" i="3"/>
  <c r="K551" i="3"/>
  <c r="K550" i="3" s="1"/>
  <c r="K543" i="3"/>
  <c r="K542" i="3" s="1"/>
  <c r="K541" i="3" s="1"/>
  <c r="K540" i="3" s="1"/>
  <c r="K539" i="3" s="1"/>
  <c r="K537" i="3"/>
  <c r="K536" i="3" s="1"/>
  <c r="K535" i="3" s="1"/>
  <c r="K534" i="3" s="1"/>
  <c r="K533" i="3" s="1"/>
  <c r="K531" i="3"/>
  <c r="K529" i="3"/>
  <c r="K528" i="3"/>
  <c r="K527" i="3"/>
  <c r="K520" i="3"/>
  <c r="K519" i="3" s="1"/>
  <c r="K518" i="3" s="1"/>
  <c r="K516" i="3" s="1"/>
  <c r="K515" i="3" s="1"/>
  <c r="K510" i="3"/>
  <c r="K509" i="3" s="1"/>
  <c r="K508" i="3" s="1"/>
  <c r="K507" i="3" s="1"/>
  <c r="K506" i="3" s="1"/>
  <c r="K505" i="3" s="1"/>
  <c r="K503" i="3"/>
  <c r="K501" i="3"/>
  <c r="K499" i="3"/>
  <c r="K497" i="3"/>
  <c r="K495" i="3"/>
  <c r="K494" i="3"/>
  <c r="K491" i="3"/>
  <c r="K490" i="3"/>
  <c r="K486" i="3"/>
  <c r="K485" i="3" s="1"/>
  <c r="K484" i="3" s="1"/>
  <c r="K481" i="3"/>
  <c r="K480" i="3"/>
  <c r="K478" i="3"/>
  <c r="K472" i="3"/>
  <c r="K470" i="3"/>
  <c r="K468" i="3"/>
  <c r="K467" i="3"/>
  <c r="K465" i="3"/>
  <c r="K462" i="3"/>
  <c r="K460" i="3"/>
  <c r="K457" i="3" s="1"/>
  <c r="K458" i="3"/>
  <c r="K450" i="3"/>
  <c r="K449" i="3" s="1"/>
  <c r="K448" i="3" s="1"/>
  <c r="K447" i="3" s="1"/>
  <c r="K446" i="3"/>
  <c r="K445" i="3"/>
  <c r="K444" i="3" s="1"/>
  <c r="K443" i="3" s="1"/>
  <c r="K439" i="3"/>
  <c r="K438" i="3"/>
  <c r="K437" i="3"/>
  <c r="K436" i="3" s="1"/>
  <c r="K433" i="3"/>
  <c r="K430" i="3"/>
  <c r="K426" i="3"/>
  <c r="K425" i="3"/>
  <c r="K422" i="3"/>
  <c r="K419" i="3"/>
  <c r="K417" i="3"/>
  <c r="K413" i="3"/>
  <c r="K412" i="3"/>
  <c r="K410" i="3"/>
  <c r="K409" i="3"/>
  <c r="K407" i="3" s="1"/>
  <c r="K408" i="3"/>
  <c r="K405" i="3"/>
  <c r="K402" i="3" s="1"/>
  <c r="K403" i="3"/>
  <c r="K396" i="3"/>
  <c r="K395" i="3" s="1"/>
  <c r="K394" i="3" s="1"/>
  <c r="K393" i="3" s="1"/>
  <c r="K391" i="3"/>
  <c r="K390" i="3" s="1"/>
  <c r="K389" i="3" s="1"/>
  <c r="K388" i="3" s="1"/>
  <c r="K386" i="3"/>
  <c r="K384" i="3"/>
  <c r="K382" i="3"/>
  <c r="K380" i="3"/>
  <c r="K378" i="3"/>
  <c r="K377" i="3"/>
  <c r="K376" i="3"/>
  <c r="K369" i="3"/>
  <c r="K368" i="3" s="1"/>
  <c r="K366" i="3"/>
  <c r="K365" i="3" s="1"/>
  <c r="K363" i="3"/>
  <c r="K362" i="3" s="1"/>
  <c r="K354" i="3"/>
  <c r="K353" i="3" s="1"/>
  <c r="K352" i="3" s="1"/>
  <c r="K351" i="3" s="1"/>
  <c r="K350" i="3" s="1"/>
  <c r="K349" i="3" s="1"/>
  <c r="K347" i="3"/>
  <c r="K346" i="3"/>
  <c r="K345" i="3" s="1"/>
  <c r="K338" i="3"/>
  <c r="K337" i="3" s="1"/>
  <c r="K336" i="3" s="1"/>
  <c r="K335" i="3" s="1"/>
  <c r="K334" i="3" s="1"/>
  <c r="K333" i="3"/>
  <c r="K332" i="3" s="1"/>
  <c r="K331" i="3" s="1"/>
  <c r="K330" i="3" s="1"/>
  <c r="K329" i="3" s="1"/>
  <c r="K328" i="3" s="1"/>
  <c r="K327" i="3"/>
  <c r="K326" i="3"/>
  <c r="K325" i="3"/>
  <c r="K324" i="3" s="1"/>
  <c r="K317" i="3"/>
  <c r="K314" i="3" s="1"/>
  <c r="K308" i="3"/>
  <c r="K307" i="3" s="1"/>
  <c r="K306" i="3" s="1"/>
  <c r="K305" i="3" s="1"/>
  <c r="K304" i="3" s="1"/>
  <c r="K303" i="3" s="1"/>
  <c r="K301" i="3"/>
  <c r="K300" i="3"/>
  <c r="K299" i="3" s="1"/>
  <c r="K298" i="3" s="1"/>
  <c r="K297" i="3" s="1"/>
  <c r="K293" i="3"/>
  <c r="K292" i="3" s="1"/>
  <c r="K291" i="3" s="1"/>
  <c r="K290" i="3" s="1"/>
  <c r="K288" i="3"/>
  <c r="K287" i="3" s="1"/>
  <c r="K286" i="3"/>
  <c r="K285" i="3"/>
  <c r="K284" i="3" s="1"/>
  <c r="K282" i="3"/>
  <c r="K279" i="3"/>
  <c r="K278" i="3"/>
  <c r="K276" i="3"/>
  <c r="K274" i="3" s="1"/>
  <c r="K275" i="3"/>
  <c r="K270" i="3"/>
  <c r="K269" i="3" s="1"/>
  <c r="K267" i="3"/>
  <c r="K266" i="3" s="1"/>
  <c r="K258" i="3"/>
  <c r="K255" i="3"/>
  <c r="K254" i="3"/>
  <c r="K246" i="3"/>
  <c r="K245" i="3" s="1"/>
  <c r="K244" i="3" s="1"/>
  <c r="K243" i="3" s="1"/>
  <c r="K242" i="3" s="1"/>
  <c r="K241" i="3" s="1"/>
  <c r="K239" i="3"/>
  <c r="K238" i="3" s="1"/>
  <c r="K237" i="3" s="1"/>
  <c r="K236" i="3" s="1"/>
  <c r="K235" i="3" s="1"/>
  <c r="K234" i="3" s="1"/>
  <c r="K232" i="3"/>
  <c r="K231" i="3" s="1"/>
  <c r="K229" i="3"/>
  <c r="K228" i="3" s="1"/>
  <c r="K223" i="3"/>
  <c r="K222" i="3" s="1"/>
  <c r="K220" i="3"/>
  <c r="K219" i="3"/>
  <c r="K209" i="3"/>
  <c r="K208" i="3" s="1"/>
  <c r="K207" i="3" s="1"/>
  <c r="K206" i="3" s="1"/>
  <c r="K205" i="3" s="1"/>
  <c r="K204" i="3" s="1"/>
  <c r="K202" i="3"/>
  <c r="K201" i="3" s="1"/>
  <c r="K200" i="3" s="1"/>
  <c r="K199" i="3" s="1"/>
  <c r="K198" i="3" s="1"/>
  <c r="K196" i="3"/>
  <c r="K195" i="3" s="1"/>
  <c r="K194" i="3" s="1"/>
  <c r="K193" i="3" s="1"/>
  <c r="K192" i="3" s="1"/>
  <c r="K189" i="3"/>
  <c r="K188" i="3" s="1"/>
  <c r="K187" i="3" s="1"/>
  <c r="K186" i="3" s="1"/>
  <c r="K185" i="3" s="1"/>
  <c r="K184" i="3" s="1"/>
  <c r="K182" i="3"/>
  <c r="K181" i="3" s="1"/>
  <c r="K180" i="3" s="1"/>
  <c r="K178" i="3"/>
  <c r="K177" i="3" s="1"/>
  <c r="K176" i="3" s="1"/>
  <c r="K173" i="3"/>
  <c r="K172" i="3" s="1"/>
  <c r="K170" i="3"/>
  <c r="K168" i="3"/>
  <c r="K162" i="3"/>
  <c r="K161" i="3" s="1"/>
  <c r="K157" i="3"/>
  <c r="K156" i="3"/>
  <c r="K151" i="3"/>
  <c r="K150" i="3"/>
  <c r="K149" i="3" s="1"/>
  <c r="K144" i="3"/>
  <c r="K143" i="3" s="1"/>
  <c r="K142" i="3" s="1"/>
  <c r="K140" i="3"/>
  <c r="K139" i="3" s="1"/>
  <c r="K138" i="3" s="1"/>
  <c r="K134" i="3"/>
  <c r="K133" i="3" s="1"/>
  <c r="K132" i="3" s="1"/>
  <c r="K131" i="3" s="1"/>
  <c r="K130" i="3" s="1"/>
  <c r="K128" i="3"/>
  <c r="K127" i="3" s="1"/>
  <c r="K126" i="3"/>
  <c r="K125" i="3" s="1"/>
  <c r="K124" i="3" s="1"/>
  <c r="K118" i="3"/>
  <c r="K117" i="3" s="1"/>
  <c r="K116" i="3" s="1"/>
  <c r="K113" i="3"/>
  <c r="K112" i="3"/>
  <c r="K111" i="3" s="1"/>
  <c r="K110" i="3" s="1"/>
  <c r="K108" i="3"/>
  <c r="K107" i="3" s="1"/>
  <c r="K105" i="3"/>
  <c r="K104" i="3"/>
  <c r="K103" i="3"/>
  <c r="K97" i="3"/>
  <c r="K95" i="3"/>
  <c r="K93" i="3"/>
  <c r="K91" i="3"/>
  <c r="K84" i="3"/>
  <c r="K83" i="3" s="1"/>
  <c r="K81" i="3"/>
  <c r="K80" i="3" s="1"/>
  <c r="K78" i="3"/>
  <c r="K76" i="3"/>
  <c r="K72" i="3"/>
  <c r="K71" i="3" s="1"/>
  <c r="K69" i="3"/>
  <c r="K68" i="3" s="1"/>
  <c r="K64" i="3"/>
  <c r="K63" i="3" s="1"/>
  <c r="K62" i="3" s="1"/>
  <c r="K61" i="3" s="1"/>
  <c r="K58" i="3"/>
  <c r="K57" i="3" s="1"/>
  <c r="K56" i="3" s="1"/>
  <c r="K55" i="3" s="1"/>
  <c r="K54" i="3"/>
  <c r="K53" i="3" s="1"/>
  <c r="K52" i="3" s="1"/>
  <c r="K51" i="3" s="1"/>
  <c r="K50" i="3" s="1"/>
  <c r="K49" i="3" s="1"/>
  <c r="K48" i="3"/>
  <c r="K47" i="3"/>
  <c r="K46" i="3" s="1"/>
  <c r="K43" i="3"/>
  <c r="K41" i="3"/>
  <c r="K38" i="3"/>
  <c r="K36" i="3"/>
  <c r="K34" i="3"/>
  <c r="K30" i="3"/>
  <c r="K29" i="3"/>
  <c r="K28" i="3" s="1"/>
  <c r="K23" i="3"/>
  <c r="K22" i="3"/>
  <c r="K21" i="3" s="1"/>
  <c r="K20" i="3" s="1"/>
  <c r="K19" i="3" s="1"/>
  <c r="K18" i="3" s="1"/>
  <c r="L320" i="19" l="1"/>
  <c r="L330" i="19"/>
  <c r="L573" i="19"/>
  <c r="L155" i="3"/>
  <c r="L223" i="19"/>
  <c r="L458" i="19"/>
  <c r="L540" i="19"/>
  <c r="L539" i="19" s="1"/>
  <c r="L538" i="19" s="1"/>
  <c r="L537" i="19" s="1"/>
  <c r="L536" i="19" s="1"/>
  <c r="L422" i="3"/>
  <c r="K114" i="19"/>
  <c r="K113" i="19" s="1"/>
  <c r="K112" i="19" s="1"/>
  <c r="K72" i="19"/>
  <c r="K67" i="19" s="1"/>
  <c r="K66" i="19" s="1"/>
  <c r="K60" i="19" s="1"/>
  <c r="K29" i="19"/>
  <c r="K28" i="19" s="1"/>
  <c r="K27" i="19" s="1"/>
  <c r="K26" i="19" s="1"/>
  <c r="L147" i="19"/>
  <c r="L146" i="19" s="1"/>
  <c r="L145" i="19" s="1"/>
  <c r="L144" i="19" s="1"/>
  <c r="L326" i="19"/>
  <c r="L498" i="19"/>
  <c r="L497" i="19" s="1"/>
  <c r="L496" i="19" s="1"/>
  <c r="L495" i="19" s="1"/>
  <c r="L494" i="19" s="1"/>
  <c r="L532" i="19"/>
  <c r="L531" i="19" s="1"/>
  <c r="L530" i="19" s="1"/>
  <c r="L529" i="19" s="1"/>
  <c r="L528" i="19" s="1"/>
  <c r="L570" i="19"/>
  <c r="L103" i="19"/>
  <c r="L102" i="19" s="1"/>
  <c r="L101" i="19" s="1"/>
  <c r="L178" i="19"/>
  <c r="L177" i="19" s="1"/>
  <c r="L176" i="19" s="1"/>
  <c r="L175" i="19" s="1"/>
  <c r="L174" i="19" s="1"/>
  <c r="L238" i="19"/>
  <c r="L237" i="19" s="1"/>
  <c r="L236" i="19" s="1"/>
  <c r="L235" i="19" s="1"/>
  <c r="L317" i="19"/>
  <c r="L323" i="19"/>
  <c r="L340" i="19"/>
  <c r="L449" i="19"/>
  <c r="L448" i="19" s="1"/>
  <c r="L447" i="19" s="1"/>
  <c r="L508" i="19"/>
  <c r="L507" i="19" s="1"/>
  <c r="L506" i="19" s="1"/>
  <c r="L505" i="19" s="1"/>
  <c r="L504" i="19" s="1"/>
  <c r="L557" i="19"/>
  <c r="L433" i="3"/>
  <c r="L43" i="3"/>
  <c r="K662" i="3"/>
  <c r="K661" i="3" s="1"/>
  <c r="K660" i="3" s="1"/>
  <c r="K659" i="3" s="1"/>
  <c r="K658" i="3" s="1"/>
  <c r="L72" i="3"/>
  <c r="L71" i="3" s="1"/>
  <c r="L410" i="3"/>
  <c r="L419" i="3"/>
  <c r="L462" i="3"/>
  <c r="K90" i="3"/>
  <c r="K89" i="3" s="1"/>
  <c r="K88" i="3" s="1"/>
  <c r="K87" i="3" s="1"/>
  <c r="K477" i="3"/>
  <c r="K476" i="3" s="1"/>
  <c r="K475" i="3" s="1"/>
  <c r="K474" i="3" s="1"/>
  <c r="L413" i="3"/>
  <c r="L639" i="3"/>
  <c r="L638" i="3" s="1"/>
  <c r="L637" i="3" s="1"/>
  <c r="L636" i="3" s="1"/>
  <c r="L635" i="3" s="1"/>
  <c r="L684" i="3"/>
  <c r="L700" i="3"/>
  <c r="L706" i="3"/>
  <c r="K123" i="3"/>
  <c r="K122" i="3" s="1"/>
  <c r="K121" i="3" s="1"/>
  <c r="K27" i="3"/>
  <c r="K26" i="3" s="1"/>
  <c r="K25" i="3" s="1"/>
  <c r="K24" i="3" s="1"/>
  <c r="K344" i="3"/>
  <c r="K343" i="3" s="1"/>
  <c r="K342" i="3" s="1"/>
  <c r="K341" i="3" s="1"/>
  <c r="K340" i="3" s="1"/>
  <c r="K564" i="3"/>
  <c r="K563" i="3" s="1"/>
  <c r="K605" i="3"/>
  <c r="K599" i="3" s="1"/>
  <c r="K598" i="3" s="1"/>
  <c r="K597" i="3" s="1"/>
  <c r="K589" i="3" s="1"/>
  <c r="L690" i="3"/>
  <c r="K313" i="3"/>
  <c r="K312" i="3" s="1"/>
  <c r="K311" i="3" s="1"/>
  <c r="K310" i="3" s="1"/>
  <c r="L154" i="3"/>
  <c r="L153" i="3" s="1"/>
  <c r="L450" i="3"/>
  <c r="L449" i="3" s="1"/>
  <c r="L448" i="3" s="1"/>
  <c r="L447" i="3" s="1"/>
  <c r="L565" i="3"/>
  <c r="L564" i="3" s="1"/>
  <c r="L563" i="3" s="1"/>
  <c r="L314" i="3"/>
  <c r="L313" i="3" s="1"/>
  <c r="L312" i="3" s="1"/>
  <c r="L311" i="3" s="1"/>
  <c r="L310" i="3" s="1"/>
  <c r="L606" i="3"/>
  <c r="L605" i="3" s="1"/>
  <c r="L604" i="3" s="1"/>
  <c r="K137" i="3"/>
  <c r="K218" i="19"/>
  <c r="K217" i="19" s="1"/>
  <c r="K212" i="19" s="1"/>
  <c r="K211" i="19" s="1"/>
  <c r="K210" i="19" s="1"/>
  <c r="K385" i="19"/>
  <c r="K384" i="19" s="1"/>
  <c r="K383" i="19" s="1"/>
  <c r="K382" i="19" s="1"/>
  <c r="L30" i="19"/>
  <c r="L43" i="19"/>
  <c r="L219" i="19"/>
  <c r="L218" i="19" s="1"/>
  <c r="L217" i="19" s="1"/>
  <c r="L212" i="19" s="1"/>
  <c r="L334" i="19"/>
  <c r="L386" i="19"/>
  <c r="L443" i="19"/>
  <c r="L442" i="19" s="1"/>
  <c r="L462" i="19"/>
  <c r="L484" i="19"/>
  <c r="L483" i="19" s="1"/>
  <c r="L482" i="19" s="1"/>
  <c r="L477" i="19" s="1"/>
  <c r="L476" i="19" s="1"/>
  <c r="L204" i="19"/>
  <c r="L203" i="19" s="1"/>
  <c r="L202" i="19" s="1"/>
  <c r="L201" i="19" s="1"/>
  <c r="L200" i="19" s="1"/>
  <c r="L199" i="19" s="1"/>
  <c r="L345" i="19"/>
  <c r="K184" i="19"/>
  <c r="K183" i="19" s="1"/>
  <c r="K182" i="19" s="1"/>
  <c r="K173" i="19" s="1"/>
  <c r="K172" i="19" s="1"/>
  <c r="K377" i="19"/>
  <c r="K376" i="19" s="1"/>
  <c r="K375" i="19" s="1"/>
  <c r="K374" i="19" s="1"/>
  <c r="K550" i="19"/>
  <c r="K549" i="19" s="1"/>
  <c r="K548" i="19" s="1"/>
  <c r="K547" i="19" s="1"/>
  <c r="K546" i="19" s="1"/>
  <c r="K545" i="19" s="1"/>
  <c r="K566" i="19"/>
  <c r="K565" i="19" s="1"/>
  <c r="K564" i="19" s="1"/>
  <c r="K563" i="19" s="1"/>
  <c r="L38" i="19"/>
  <c r="L312" i="19"/>
  <c r="L337" i="19"/>
  <c r="L551" i="19"/>
  <c r="L567" i="19"/>
  <c r="L554" i="19"/>
  <c r="L527" i="19"/>
  <c r="L517" i="19"/>
  <c r="L516" i="19" s="1"/>
  <c r="L515" i="19" s="1"/>
  <c r="L514" i="19" s="1"/>
  <c r="L418" i="19"/>
  <c r="L417" i="19" s="1"/>
  <c r="L416" i="19" s="1"/>
  <c r="L415" i="19" s="1"/>
  <c r="L390" i="19"/>
  <c r="L377" i="19"/>
  <c r="L376" i="19" s="1"/>
  <c r="L375" i="19" s="1"/>
  <c r="L374" i="19" s="1"/>
  <c r="L357" i="19"/>
  <c r="L356" i="19" s="1"/>
  <c r="L355" i="19" s="1"/>
  <c r="L354" i="19" s="1"/>
  <c r="L353" i="19" s="1"/>
  <c r="L258" i="19"/>
  <c r="L257" i="19" s="1"/>
  <c r="L256" i="19" s="1"/>
  <c r="L255" i="19" s="1"/>
  <c r="L254" i="19" s="1"/>
  <c r="L139" i="19"/>
  <c r="L138" i="19" s="1"/>
  <c r="L137" i="19" s="1"/>
  <c r="L87" i="19"/>
  <c r="L86" i="19" s="1"/>
  <c r="L85" i="19" s="1"/>
  <c r="L84" i="19" s="1"/>
  <c r="L69" i="19"/>
  <c r="L68" i="19" s="1"/>
  <c r="K139" i="19"/>
  <c r="K138" i="19" s="1"/>
  <c r="K137" i="19" s="1"/>
  <c r="K457" i="19"/>
  <c r="K456" i="19" s="1"/>
  <c r="K455" i="19" s="1"/>
  <c r="K454" i="19" s="1"/>
  <c r="K483" i="19"/>
  <c r="K482" i="19" s="1"/>
  <c r="K477" i="19" s="1"/>
  <c r="K476" i="19" s="1"/>
  <c r="L72" i="19"/>
  <c r="L275" i="19"/>
  <c r="L274" i="19" s="1"/>
  <c r="L273" i="19" s="1"/>
  <c r="L272" i="19" s="1"/>
  <c r="L438" i="19"/>
  <c r="K275" i="19"/>
  <c r="K274" i="19" s="1"/>
  <c r="K273" i="19" s="1"/>
  <c r="K272" i="19" s="1"/>
  <c r="L128" i="19"/>
  <c r="L414" i="19"/>
  <c r="K87" i="19"/>
  <c r="K86" i="19" s="1"/>
  <c r="K85" i="19" s="1"/>
  <c r="K84" i="19" s="1"/>
  <c r="K94" i="19"/>
  <c r="K93" i="19" s="1"/>
  <c r="K92" i="19" s="1"/>
  <c r="K258" i="19"/>
  <c r="K257" i="19" s="1"/>
  <c r="K256" i="19" s="1"/>
  <c r="K255" i="19" s="1"/>
  <c r="K254" i="19" s="1"/>
  <c r="K418" i="19"/>
  <c r="K417" i="19" s="1"/>
  <c r="K416" i="19" s="1"/>
  <c r="K415" i="19" s="1"/>
  <c r="K414" i="19" s="1"/>
  <c r="K448" i="19"/>
  <c r="K447" i="19" s="1"/>
  <c r="K128" i="19"/>
  <c r="K289" i="19"/>
  <c r="K288" i="19" s="1"/>
  <c r="K287" i="19" s="1"/>
  <c r="K286" i="19" s="1"/>
  <c r="K438" i="19"/>
  <c r="K517" i="19"/>
  <c r="K516" i="19" s="1"/>
  <c r="K515" i="19" s="1"/>
  <c r="K514" i="19" s="1"/>
  <c r="L94" i="19"/>
  <c r="L114" i="19"/>
  <c r="L113" i="19" s="1"/>
  <c r="L112" i="19" s="1"/>
  <c r="L289" i="19"/>
  <c r="L288" i="19" s="1"/>
  <c r="L287" i="19" s="1"/>
  <c r="L286" i="19" s="1"/>
  <c r="L158" i="19"/>
  <c r="L184" i="19"/>
  <c r="L183" i="19" s="1"/>
  <c r="L182" i="19" s="1"/>
  <c r="L241" i="19"/>
  <c r="K241" i="19"/>
  <c r="K311" i="19"/>
  <c r="K310" i="19" s="1"/>
  <c r="K309" i="19" s="1"/>
  <c r="K308" i="19" s="1"/>
  <c r="K496" i="19"/>
  <c r="K495" i="19" s="1"/>
  <c r="K494" i="19" s="1"/>
  <c r="K146" i="19"/>
  <c r="K145" i="19" s="1"/>
  <c r="K144" i="19" s="1"/>
  <c r="K158" i="19"/>
  <c r="K356" i="19"/>
  <c r="K355" i="19" s="1"/>
  <c r="K354" i="19" s="1"/>
  <c r="K353" i="19" s="1"/>
  <c r="K527" i="19"/>
  <c r="K155" i="3"/>
  <c r="K154" i="3" s="1"/>
  <c r="K153" i="3" s="1"/>
  <c r="K489" i="3"/>
  <c r="K488" i="3" s="1"/>
  <c r="K483" i="3" s="1"/>
  <c r="K482" i="3" s="1"/>
  <c r="K549" i="3"/>
  <c r="L38" i="3"/>
  <c r="L254" i="3"/>
  <c r="L253" i="3" s="1"/>
  <c r="L252" i="3" s="1"/>
  <c r="L251" i="3" s="1"/>
  <c r="L250" i="3" s="1"/>
  <c r="L249" i="3" s="1"/>
  <c r="L278" i="3"/>
  <c r="L467" i="3"/>
  <c r="L490" i="3"/>
  <c r="L557" i="3"/>
  <c r="L556" i="3" s="1"/>
  <c r="L582" i="3"/>
  <c r="L577" i="3" s="1"/>
  <c r="L576" i="3" s="1"/>
  <c r="L571" i="3" s="1"/>
  <c r="L570" i="3" s="1"/>
  <c r="L673" i="3"/>
  <c r="L672" i="3" s="1"/>
  <c r="L671" i="3" s="1"/>
  <c r="L670" i="3" s="1"/>
  <c r="L669" i="3" s="1"/>
  <c r="L693" i="3"/>
  <c r="L323" i="3"/>
  <c r="L322" i="3" s="1"/>
  <c r="L321" i="3" s="1"/>
  <c r="L320" i="3" s="1"/>
  <c r="L319" i="3" s="1"/>
  <c r="L28" i="3"/>
  <c r="K75" i="3"/>
  <c r="K67" i="3" s="1"/>
  <c r="K66" i="3" s="1"/>
  <c r="K60" i="3" s="1"/>
  <c r="L274" i="3"/>
  <c r="L426" i="3"/>
  <c r="L439" i="3"/>
  <c r="K148" i="3"/>
  <c r="K147" i="3" s="1"/>
  <c r="K146" i="3" s="1"/>
  <c r="K577" i="3"/>
  <c r="K576" i="3" s="1"/>
  <c r="K571" i="3" s="1"/>
  <c r="K570" i="3" s="1"/>
  <c r="L300" i="3"/>
  <c r="L299" i="3" s="1"/>
  <c r="L298" i="3" s="1"/>
  <c r="L297" i="3" s="1"/>
  <c r="L663" i="3"/>
  <c r="L662" i="3" s="1"/>
  <c r="L661" i="3" s="1"/>
  <c r="L660" i="3" s="1"/>
  <c r="L659" i="3" s="1"/>
  <c r="L549" i="3"/>
  <c r="L494" i="3"/>
  <c r="L457" i="3"/>
  <c r="L344" i="3"/>
  <c r="L343" i="3" s="1"/>
  <c r="L342" i="3" s="1"/>
  <c r="L341" i="3" s="1"/>
  <c r="L340" i="3" s="1"/>
  <c r="L227" i="3"/>
  <c r="L226" i="3" s="1"/>
  <c r="L225" i="3" s="1"/>
  <c r="L167" i="3"/>
  <c r="L165" i="3" s="1"/>
  <c r="L164" i="3" s="1"/>
  <c r="L102" i="3"/>
  <c r="L101" i="3" s="1"/>
  <c r="L100" i="3" s="1"/>
  <c r="L99" i="3" s="1"/>
  <c r="L90" i="3"/>
  <c r="L89" i="3" s="1"/>
  <c r="L88" i="3" s="1"/>
  <c r="L87" i="3" s="1"/>
  <c r="L191" i="3"/>
  <c r="K191" i="3"/>
  <c r="K253" i="3"/>
  <c r="K252" i="3" s="1"/>
  <c r="K251" i="3" s="1"/>
  <c r="K250" i="3" s="1"/>
  <c r="K249" i="3" s="1"/>
  <c r="K273" i="3"/>
  <c r="K272" i="3" s="1"/>
  <c r="K683" i="3"/>
  <c r="K682" i="3" s="1"/>
  <c r="K681" i="3" s="1"/>
  <c r="K680" i="3" s="1"/>
  <c r="K699" i="3"/>
  <c r="K698" i="3" s="1"/>
  <c r="K697" i="3" s="1"/>
  <c r="K696" i="3" s="1"/>
  <c r="L137" i="3"/>
  <c r="L175" i="3"/>
  <c r="L174" i="3" s="1"/>
  <c r="L265" i="3"/>
  <c r="K102" i="3"/>
  <c r="K101" i="3" s="1"/>
  <c r="K100" i="3" s="1"/>
  <c r="K99" i="3" s="1"/>
  <c r="K86" i="3" s="1"/>
  <c r="K227" i="3"/>
  <c r="K226" i="3" s="1"/>
  <c r="K225" i="3" s="1"/>
  <c r="K323" i="3"/>
  <c r="K322" i="3" s="1"/>
  <c r="K321" i="3" s="1"/>
  <c r="K320" i="3" s="1"/>
  <c r="K319" i="3" s="1"/>
  <c r="K556" i="3"/>
  <c r="K548" i="3" s="1"/>
  <c r="L148" i="3"/>
  <c r="L147" i="3" s="1"/>
  <c r="L146" i="3" s="1"/>
  <c r="L526" i="3"/>
  <c r="L525" i="3" s="1"/>
  <c r="L524" i="3" s="1"/>
  <c r="L523" i="3" s="1"/>
  <c r="L522" i="3" s="1"/>
  <c r="L648" i="3"/>
  <c r="L647" i="3" s="1"/>
  <c r="L646" i="3" s="1"/>
  <c r="L645" i="3" s="1"/>
  <c r="K175" i="3"/>
  <c r="K174" i="3" s="1"/>
  <c r="K265" i="3"/>
  <c r="K361" i="3"/>
  <c r="K360" i="3" s="1"/>
  <c r="K359" i="3" s="1"/>
  <c r="K358" i="3" s="1"/>
  <c r="K375" i="3"/>
  <c r="K374" i="3" s="1"/>
  <c r="K373" i="3" s="1"/>
  <c r="K372" i="3" s="1"/>
  <c r="K456" i="3"/>
  <c r="K455" i="3" s="1"/>
  <c r="K454" i="3" s="1"/>
  <c r="K453" i="3" s="1"/>
  <c r="K526" i="3"/>
  <c r="K525" i="3" s="1"/>
  <c r="K524" i="3" s="1"/>
  <c r="K523" i="3" s="1"/>
  <c r="K522" i="3" s="1"/>
  <c r="L75" i="3"/>
  <c r="L123" i="3"/>
  <c r="L122" i="3" s="1"/>
  <c r="L121" i="3" s="1"/>
  <c r="L361" i="3"/>
  <c r="L360" i="3" s="1"/>
  <c r="L359" i="3" s="1"/>
  <c r="L358" i="3" s="1"/>
  <c r="L477" i="3"/>
  <c r="L476" i="3" s="1"/>
  <c r="L475" i="3" s="1"/>
  <c r="L474" i="3" s="1"/>
  <c r="L218" i="3"/>
  <c r="L217" i="3" s="1"/>
  <c r="L216" i="3" s="1"/>
  <c r="L215" i="3" s="1"/>
  <c r="L214" i="3" s="1"/>
  <c r="L375" i="3"/>
  <c r="L374" i="3" s="1"/>
  <c r="L373" i="3" s="1"/>
  <c r="L372" i="3" s="1"/>
  <c r="L436" i="3"/>
  <c r="L402" i="3"/>
  <c r="L516" i="3"/>
  <c r="L515" i="3" s="1"/>
  <c r="L517" i="3"/>
  <c r="K167" i="3"/>
  <c r="K401" i="3"/>
  <c r="K400" i="3" s="1"/>
  <c r="K399" i="3" s="1"/>
  <c r="K398" i="3" s="1"/>
  <c r="K218" i="3"/>
  <c r="K217" i="3" s="1"/>
  <c r="K216" i="3" s="1"/>
  <c r="K215" i="3" s="1"/>
  <c r="K214" i="3" s="1"/>
  <c r="K648" i="3"/>
  <c r="K647" i="3" s="1"/>
  <c r="K646" i="3" s="1"/>
  <c r="K645" i="3" s="1"/>
  <c r="K517" i="3"/>
  <c r="L173" i="19" l="1"/>
  <c r="L172" i="19" s="1"/>
  <c r="L457" i="19"/>
  <c r="L456" i="19" s="1"/>
  <c r="L455" i="19" s="1"/>
  <c r="L454" i="19" s="1"/>
  <c r="K209" i="19"/>
  <c r="K127" i="19"/>
  <c r="K111" i="19" s="1"/>
  <c r="K475" i="19"/>
  <c r="K467" i="19" s="1"/>
  <c r="L93" i="19"/>
  <c r="L92" i="19" s="1"/>
  <c r="L83" i="19" s="1"/>
  <c r="L513" i="19"/>
  <c r="L29" i="19"/>
  <c r="L28" i="19" s="1"/>
  <c r="L27" i="19" s="1"/>
  <c r="L26" i="19" s="1"/>
  <c r="L211" i="19"/>
  <c r="L210" i="19" s="1"/>
  <c r="L550" i="19"/>
  <c r="L549" i="19" s="1"/>
  <c r="L548" i="19" s="1"/>
  <c r="L547" i="19" s="1"/>
  <c r="L311" i="19"/>
  <c r="L310" i="19" s="1"/>
  <c r="L309" i="19" s="1"/>
  <c r="L308" i="19" s="1"/>
  <c r="K513" i="19"/>
  <c r="L566" i="19"/>
  <c r="L565" i="19" s="1"/>
  <c r="L564" i="19" s="1"/>
  <c r="L563" i="19" s="1"/>
  <c r="L385" i="19"/>
  <c r="L384" i="19" s="1"/>
  <c r="L383" i="19" s="1"/>
  <c r="L382" i="19" s="1"/>
  <c r="L475" i="19"/>
  <c r="L467" i="19" s="1"/>
  <c r="K19" i="19"/>
  <c r="K644" i="3"/>
  <c r="L67" i="3"/>
  <c r="L66" i="3" s="1"/>
  <c r="L60" i="3" s="1"/>
  <c r="L86" i="3"/>
  <c r="L699" i="3"/>
  <c r="L698" i="3" s="1"/>
  <c r="L697" i="3" s="1"/>
  <c r="L696" i="3" s="1"/>
  <c r="L489" i="3"/>
  <c r="L488" i="3" s="1"/>
  <c r="L483" i="3" s="1"/>
  <c r="L482" i="3" s="1"/>
  <c r="L683" i="3"/>
  <c r="L682" i="3" s="1"/>
  <c r="L681" i="3" s="1"/>
  <c r="L680" i="3" s="1"/>
  <c r="K547" i="3"/>
  <c r="K546" i="3" s="1"/>
  <c r="K545" i="3" s="1"/>
  <c r="K514" i="3" s="1"/>
  <c r="L658" i="3"/>
  <c r="L644" i="3" s="1"/>
  <c r="L548" i="3"/>
  <c r="L547" i="3" s="1"/>
  <c r="L546" i="3" s="1"/>
  <c r="L545" i="3" s="1"/>
  <c r="L514" i="3" s="1"/>
  <c r="L456" i="3"/>
  <c r="L455" i="3" s="1"/>
  <c r="L454" i="3" s="1"/>
  <c r="L453" i="3" s="1"/>
  <c r="L27" i="3"/>
  <c r="L26" i="3" s="1"/>
  <c r="L25" i="3" s="1"/>
  <c r="L24" i="3" s="1"/>
  <c r="L273" i="3"/>
  <c r="L272" i="3" s="1"/>
  <c r="L264" i="3" s="1"/>
  <c r="L263" i="3" s="1"/>
  <c r="L262" i="3" s="1"/>
  <c r="L261" i="3" s="1"/>
  <c r="L599" i="3"/>
  <c r="L598" i="3" s="1"/>
  <c r="L597" i="3" s="1"/>
  <c r="L589" i="3" s="1"/>
  <c r="K17" i="3"/>
  <c r="K264" i="3"/>
  <c r="K263" i="3" s="1"/>
  <c r="K262" i="3" s="1"/>
  <c r="K261" i="3" s="1"/>
  <c r="K136" i="3"/>
  <c r="K120" i="3" s="1"/>
  <c r="L136" i="3"/>
  <c r="L120" i="3" s="1"/>
  <c r="K83" i="19"/>
  <c r="K437" i="19"/>
  <c r="K436" i="19" s="1"/>
  <c r="K435" i="19" s="1"/>
  <c r="K406" i="19" s="1"/>
  <c r="L437" i="19"/>
  <c r="L436" i="19" s="1"/>
  <c r="L209" i="19"/>
  <c r="L127" i="19"/>
  <c r="L111" i="19" s="1"/>
  <c r="L67" i="19"/>
  <c r="L66" i="19" s="1"/>
  <c r="L60" i="19" s="1"/>
  <c r="K285" i="19"/>
  <c r="K271" i="19" s="1"/>
  <c r="L213" i="3"/>
  <c r="L212" i="3" s="1"/>
  <c r="K213" i="3"/>
  <c r="K212" i="3" s="1"/>
  <c r="L401" i="3"/>
  <c r="L400" i="3" s="1"/>
  <c r="L399" i="3" s="1"/>
  <c r="L398" i="3" s="1"/>
  <c r="L163" i="3"/>
  <c r="L166" i="3"/>
  <c r="K679" i="3"/>
  <c r="K678" i="3" s="1"/>
  <c r="K165" i="3"/>
  <c r="K164" i="3" s="1"/>
  <c r="K163" i="3" s="1"/>
  <c r="K166" i="3"/>
  <c r="K371" i="3"/>
  <c r="K357" i="3" s="1"/>
  <c r="L285" i="19" l="1"/>
  <c r="L271" i="19" s="1"/>
  <c r="L435" i="19"/>
  <c r="L406" i="19" s="1"/>
  <c r="K18" i="19"/>
  <c r="L19" i="19"/>
  <c r="L546" i="19"/>
  <c r="L545" i="19" s="1"/>
  <c r="L18" i="19"/>
  <c r="L16" i="19" s="1"/>
  <c r="L679" i="3"/>
  <c r="L678" i="3" s="1"/>
  <c r="L17" i="3"/>
  <c r="L16" i="3" s="1"/>
  <c r="K16" i="3"/>
  <c r="K15" i="3" s="1"/>
  <c r="L371" i="3"/>
  <c r="L357" i="3" s="1"/>
  <c r="K16" i="19"/>
  <c r="L15" i="3" l="1"/>
  <c r="H365" i="7"/>
  <c r="H364" i="7" s="1"/>
  <c r="I305" i="18"/>
  <c r="I304" i="18" s="1"/>
  <c r="H305" i="18"/>
  <c r="H304" i="18" s="1"/>
  <c r="H65" i="18" l="1"/>
  <c r="I66" i="18"/>
  <c r="I65" i="18" s="1"/>
  <c r="H92" i="7" l="1"/>
  <c r="H91" i="7"/>
  <c r="H90" i="7" l="1"/>
  <c r="I388" i="18" l="1"/>
  <c r="H388" i="18"/>
  <c r="I387" i="18"/>
  <c r="H387" i="18"/>
  <c r="H468" i="7"/>
  <c r="H467" i="7"/>
  <c r="I61" i="18"/>
  <c r="H61" i="18"/>
  <c r="I60" i="18"/>
  <c r="H60" i="18"/>
  <c r="I70" i="18"/>
  <c r="I69" i="18"/>
  <c r="I68" i="18"/>
  <c r="H70" i="18"/>
  <c r="H69" i="18"/>
  <c r="H68" i="18"/>
  <c r="H70" i="7"/>
  <c r="H69" i="7"/>
  <c r="H77" i="7"/>
  <c r="H76" i="7"/>
  <c r="H75" i="7"/>
  <c r="H386" i="18" l="1"/>
  <c r="H68" i="7"/>
  <c r="I386" i="18"/>
  <c r="H466" i="7"/>
  <c r="H59" i="18"/>
  <c r="I59" i="18"/>
  <c r="H67" i="18"/>
  <c r="I67" i="18"/>
  <c r="H74" i="7"/>
  <c r="H374" i="7" l="1"/>
  <c r="H375" i="7"/>
  <c r="C18" i="5" l="1"/>
  <c r="C16" i="5"/>
  <c r="H329" i="7" l="1"/>
  <c r="H328" i="7" s="1"/>
  <c r="H294" i="7"/>
  <c r="H293" i="7" s="1"/>
  <c r="H473" i="7"/>
  <c r="H472" i="7" s="1"/>
  <c r="F40" i="6" l="1"/>
  <c r="E40" i="6"/>
  <c r="D40" i="6" l="1"/>
  <c r="I24" i="18" l="1"/>
  <c r="I23" i="18" s="1"/>
  <c r="I192" i="18"/>
  <c r="H192" i="18"/>
  <c r="I43" i="18"/>
  <c r="H24" i="18"/>
  <c r="H23" i="18" s="1"/>
  <c r="H341" i="7"/>
  <c r="H340" i="7" s="1"/>
  <c r="H339" i="7" s="1"/>
  <c r="H338" i="7" s="1"/>
  <c r="I409" i="18" l="1"/>
  <c r="I408" i="18" s="1"/>
  <c r="H409" i="18"/>
  <c r="H408" i="18" s="1"/>
  <c r="H53" i="7" l="1"/>
  <c r="I191" i="18"/>
  <c r="I190" i="18" s="1"/>
  <c r="I189" i="18" s="1"/>
  <c r="H191" i="18"/>
  <c r="H190" i="18" s="1"/>
  <c r="H189" i="18" s="1"/>
  <c r="I165" i="18" l="1"/>
  <c r="H165" i="18"/>
  <c r="I164" i="18"/>
  <c r="H164" i="18"/>
  <c r="I421" i="18"/>
  <c r="I420" i="18" s="1"/>
  <c r="I419" i="18" s="1"/>
  <c r="I418" i="18" s="1"/>
  <c r="I417" i="18" s="1"/>
  <c r="H421" i="18"/>
  <c r="H420" i="18" s="1"/>
  <c r="H419" i="18" s="1"/>
  <c r="H418" i="18" s="1"/>
  <c r="H417" i="18" s="1"/>
  <c r="I230" i="18"/>
  <c r="H230" i="18"/>
  <c r="I229" i="18"/>
  <c r="H229" i="18"/>
  <c r="H102" i="18"/>
  <c r="H101" i="18" s="1"/>
  <c r="I80" i="18"/>
  <c r="I79" i="18"/>
  <c r="H79" i="18"/>
  <c r="I40" i="18"/>
  <c r="H40" i="18"/>
  <c r="I39" i="18"/>
  <c r="H39" i="18"/>
  <c r="H271" i="7"/>
  <c r="H270" i="7"/>
  <c r="H52" i="7"/>
  <c r="H25" i="7"/>
  <c r="I38" i="18" l="1"/>
  <c r="H22" i="18"/>
  <c r="H21" i="18" s="1"/>
  <c r="I22" i="18"/>
  <c r="I21" i="18" s="1"/>
  <c r="I102" i="18"/>
  <c r="I101" i="18" s="1"/>
  <c r="H80" i="18"/>
  <c r="H78" i="18" s="1"/>
  <c r="I163" i="18"/>
  <c r="I162" i="18" s="1"/>
  <c r="H163" i="18"/>
  <c r="H162" i="18" s="1"/>
  <c r="I78" i="18"/>
  <c r="H38" i="18"/>
  <c r="H269" i="7"/>
  <c r="I181" i="18" l="1"/>
  <c r="I180" i="18" s="1"/>
  <c r="H181" i="18"/>
  <c r="H180" i="18" s="1"/>
  <c r="F33" i="6" l="1"/>
  <c r="E33" i="6"/>
  <c r="I324" i="18" l="1"/>
  <c r="I323" i="18" s="1"/>
  <c r="I322" i="18" s="1"/>
  <c r="I321" i="18" s="1"/>
  <c r="I320" i="18" s="1"/>
  <c r="H324" i="18"/>
  <c r="H323" i="18" s="1"/>
  <c r="H322" i="18" s="1"/>
  <c r="H321" i="18" s="1"/>
  <c r="H320" i="18" s="1"/>
  <c r="I243" i="18"/>
  <c r="I242" i="18" s="1"/>
  <c r="I241" i="18" s="1"/>
  <c r="I240" i="18" s="1"/>
  <c r="H243" i="18"/>
  <c r="H242" i="18" s="1"/>
  <c r="H241" i="18" s="1"/>
  <c r="H240" i="18" s="1"/>
  <c r="H402" i="7" l="1"/>
  <c r="H401" i="7" s="1"/>
  <c r="H400" i="7"/>
  <c r="H399" i="7" s="1"/>
  <c r="H398" i="7"/>
  <c r="H397" i="7" s="1"/>
  <c r="H390" i="7"/>
  <c r="H389" i="7" s="1"/>
  <c r="H388" i="7" s="1"/>
  <c r="H387" i="7" s="1"/>
  <c r="H441" i="7"/>
  <c r="H396" i="7" l="1"/>
  <c r="H395" i="7" s="1"/>
  <c r="H317" i="7" l="1"/>
  <c r="D33" i="6" l="1"/>
  <c r="I139" i="18" l="1"/>
  <c r="H139" i="18"/>
  <c r="I124" i="18"/>
  <c r="I123" i="18" s="1"/>
  <c r="I122" i="18" s="1"/>
  <c r="H124" i="18"/>
  <c r="H123" i="18" s="1"/>
  <c r="H122" i="18" s="1"/>
  <c r="D58" i="6" l="1"/>
  <c r="E16" i="8"/>
  <c r="D16" i="8"/>
  <c r="C18" i="8"/>
  <c r="C17" i="8" s="1"/>
  <c r="E24" i="5" l="1"/>
  <c r="E14" i="5" s="1"/>
  <c r="D24" i="5"/>
  <c r="D14" i="5" s="1"/>
  <c r="C24" i="5"/>
  <c r="F35" i="6" l="1"/>
  <c r="E35" i="6"/>
  <c r="H166" i="7" l="1"/>
  <c r="H26" i="7" l="1"/>
  <c r="H43" i="18"/>
  <c r="H35" i="7" l="1"/>
  <c r="H34" i="7" s="1"/>
  <c r="H453" i="7" l="1"/>
  <c r="H159" i="7"/>
  <c r="H158" i="7" s="1"/>
  <c r="H24" i="7" l="1"/>
  <c r="H112" i="7" l="1"/>
  <c r="H111" i="7" s="1"/>
  <c r="H394" i="7" l="1"/>
  <c r="H393" i="7" s="1"/>
  <c r="H392" i="7" s="1"/>
  <c r="H391" i="7" s="1"/>
  <c r="H50" i="7" l="1"/>
  <c r="D35" i="6"/>
  <c r="I82" i="18" l="1"/>
  <c r="I81" i="18" s="1"/>
  <c r="H82" i="18"/>
  <c r="H81" i="18" s="1"/>
  <c r="H94" i="7" l="1"/>
  <c r="H93" i="7" s="1"/>
  <c r="H121" i="7"/>
  <c r="H120" i="7" s="1"/>
  <c r="H496" i="7" l="1"/>
  <c r="H495" i="7" s="1"/>
  <c r="H284" i="7"/>
  <c r="H283" i="7" s="1"/>
  <c r="H282" i="7" s="1"/>
  <c r="H281" i="7" s="1"/>
  <c r="H168" i="18"/>
  <c r="H167" i="18" s="1"/>
  <c r="H166" i="18" s="1"/>
  <c r="I168" i="18" l="1"/>
  <c r="I167" i="18" s="1"/>
  <c r="I166" i="18" s="1"/>
  <c r="H55" i="7" l="1"/>
  <c r="H56" i="7"/>
  <c r="H46" i="18"/>
  <c r="I46" i="18"/>
  <c r="I47" i="18"/>
  <c r="H47" i="18"/>
  <c r="E52" i="6" l="1"/>
  <c r="F52" i="6"/>
  <c r="H45" i="18"/>
  <c r="I45" i="18"/>
  <c r="H54" i="7"/>
  <c r="C16" i="8" l="1"/>
  <c r="I107" i="18" l="1"/>
  <c r="I106" i="18" s="1"/>
  <c r="I105" i="18" s="1"/>
  <c r="H107" i="18"/>
  <c r="H106" i="18" s="1"/>
  <c r="H105" i="18" s="1"/>
  <c r="I110" i="18"/>
  <c r="I109" i="18" s="1"/>
  <c r="I108" i="18" s="1"/>
  <c r="H110" i="18"/>
  <c r="H109" i="18" s="1"/>
  <c r="H108" i="18" s="1"/>
  <c r="I113" i="18"/>
  <c r="I112" i="18" s="1"/>
  <c r="I111" i="18" s="1"/>
  <c r="H113" i="18"/>
  <c r="H112" i="18" s="1"/>
  <c r="H111" i="18" s="1"/>
  <c r="H84" i="18"/>
  <c r="I84" i="18"/>
  <c r="H63" i="18"/>
  <c r="I63" i="18"/>
  <c r="I64" i="18"/>
  <c r="H64" i="18"/>
  <c r="H42" i="18"/>
  <c r="I42" i="18"/>
  <c r="I44" i="18"/>
  <c r="H44" i="18"/>
  <c r="I41" i="18" l="1"/>
  <c r="H41" i="18"/>
  <c r="H62" i="18"/>
  <c r="I62" i="18"/>
  <c r="H126" i="7" l="1"/>
  <c r="H125" i="7" s="1"/>
  <c r="H124" i="7" s="1"/>
  <c r="H129" i="7"/>
  <c r="H128" i="7" s="1"/>
  <c r="H127" i="7" s="1"/>
  <c r="H132" i="7"/>
  <c r="H131" i="7" s="1"/>
  <c r="H130" i="7" s="1"/>
  <c r="H114" i="7"/>
  <c r="H113" i="7" s="1"/>
  <c r="H123" i="7"/>
  <c r="H122" i="7" s="1"/>
  <c r="H119" i="7" l="1"/>
  <c r="I188" i="18" l="1"/>
  <c r="I187" i="18" s="1"/>
  <c r="I186" i="18" s="1"/>
  <c r="H188" i="18"/>
  <c r="H187" i="18" s="1"/>
  <c r="H186" i="18" s="1"/>
  <c r="I185" i="18"/>
  <c r="I184" i="18" s="1"/>
  <c r="H185" i="18"/>
  <c r="H184" i="18" s="1"/>
  <c r="H225" i="7"/>
  <c r="H224" i="7" s="1"/>
  <c r="H223" i="7" s="1"/>
  <c r="H215" i="7"/>
  <c r="H214" i="7" s="1"/>
  <c r="H213" i="7" s="1"/>
  <c r="I140" i="18" l="1"/>
  <c r="I138" i="18" s="1"/>
  <c r="H140" i="18"/>
  <c r="H138" i="18" s="1"/>
  <c r="I135" i="18"/>
  <c r="I134" i="18"/>
  <c r="I121" i="18"/>
  <c r="H121" i="18"/>
  <c r="I120" i="18"/>
  <c r="H120" i="18"/>
  <c r="I155" i="18"/>
  <c r="I154" i="18" s="1"/>
  <c r="I153" i="18" s="1"/>
  <c r="H155" i="18"/>
  <c r="H154" i="18" s="1"/>
  <c r="H153" i="18" s="1"/>
  <c r="I363" i="18"/>
  <c r="I362" i="18" s="1"/>
  <c r="I361" i="18" s="1"/>
  <c r="I360" i="18" s="1"/>
  <c r="I359" i="18" s="1"/>
  <c r="H363" i="18"/>
  <c r="H362" i="18" s="1"/>
  <c r="H361" i="18" s="1"/>
  <c r="H360" i="18" s="1"/>
  <c r="H359" i="18" s="1"/>
  <c r="I355" i="18"/>
  <c r="I354" i="18" s="1"/>
  <c r="H355" i="18"/>
  <c r="H354" i="18" s="1"/>
  <c r="I345" i="18"/>
  <c r="I344" i="18" s="1"/>
  <c r="I343" i="18" s="1"/>
  <c r="I342" i="18" s="1"/>
  <c r="H345" i="18"/>
  <c r="H344" i="18" s="1"/>
  <c r="H343" i="18" s="1"/>
  <c r="H342" i="18" s="1"/>
  <c r="I233" i="18"/>
  <c r="I232" i="18" s="1"/>
  <c r="I231" i="18" s="1"/>
  <c r="H233" i="18"/>
  <c r="H232" i="18" s="1"/>
  <c r="H231" i="18" s="1"/>
  <c r="I227" i="18"/>
  <c r="I226" i="18" s="1"/>
  <c r="H227" i="18"/>
  <c r="H226" i="18" s="1"/>
  <c r="I412" i="18"/>
  <c r="I411" i="18" s="1"/>
  <c r="I410" i="18" s="1"/>
  <c r="H412" i="18"/>
  <c r="H411" i="18" s="1"/>
  <c r="H410" i="18" s="1"/>
  <c r="I415" i="18"/>
  <c r="I414" i="18" s="1"/>
  <c r="I413" i="18" s="1"/>
  <c r="H415" i="18"/>
  <c r="H414" i="18" s="1"/>
  <c r="H413" i="18" s="1"/>
  <c r="I399" i="18"/>
  <c r="H399" i="18"/>
  <c r="H393" i="18"/>
  <c r="I393" i="18"/>
  <c r="I394" i="18"/>
  <c r="H394" i="18"/>
  <c r="I397" i="18"/>
  <c r="I396" i="18" s="1"/>
  <c r="H397" i="18"/>
  <c r="H396" i="18" s="1"/>
  <c r="I398" i="18"/>
  <c r="I383" i="18"/>
  <c r="H383" i="18"/>
  <c r="H135" i="18" l="1"/>
  <c r="H134" i="18"/>
  <c r="I395" i="18"/>
  <c r="H398" i="18"/>
  <c r="H395" i="18" s="1"/>
  <c r="H392" i="18"/>
  <c r="I392" i="18"/>
  <c r="I133" i="18" l="1"/>
  <c r="H499" i="7"/>
  <c r="H498" i="7" s="1"/>
  <c r="H497" i="7" s="1"/>
  <c r="H502" i="7"/>
  <c r="H501" i="7" s="1"/>
  <c r="H500" i="7" s="1"/>
  <c r="H476" i="7"/>
  <c r="H133" i="18" l="1"/>
  <c r="I278" i="18"/>
  <c r="I277" i="18" s="1"/>
  <c r="H278" i="18"/>
  <c r="H277" i="18" s="1"/>
  <c r="I281" i="18"/>
  <c r="I280" i="18" s="1"/>
  <c r="I279" i="18" s="1"/>
  <c r="H281" i="18"/>
  <c r="H280" i="18" s="1"/>
  <c r="H279" i="18" s="1"/>
  <c r="I284" i="18"/>
  <c r="I283" i="18" s="1"/>
  <c r="I282" i="18" s="1"/>
  <c r="H284" i="18"/>
  <c r="H283" i="18" s="1"/>
  <c r="H282" i="18" s="1"/>
  <c r="H140" i="7" l="1"/>
  <c r="H139" i="7" s="1"/>
  <c r="H181" i="7" l="1"/>
  <c r="H180" i="7" s="1"/>
  <c r="H162" i="7"/>
  <c r="H161" i="7" s="1"/>
  <c r="H160" i="7" s="1"/>
  <c r="I200" i="18"/>
  <c r="H200" i="18"/>
  <c r="H184" i="7"/>
  <c r="H183" i="7" s="1"/>
  <c r="H182" i="7" s="1"/>
  <c r="I209" i="18"/>
  <c r="I208" i="18" s="1"/>
  <c r="I207" i="18" s="1"/>
  <c r="H209" i="18"/>
  <c r="H208" i="18" s="1"/>
  <c r="H207" i="18" s="1"/>
  <c r="I212" i="18"/>
  <c r="I211" i="18" s="1"/>
  <c r="I210" i="18" s="1"/>
  <c r="H212" i="18"/>
  <c r="H211" i="18" s="1"/>
  <c r="H210" i="18" s="1"/>
  <c r="I215" i="18"/>
  <c r="I214" i="18" s="1"/>
  <c r="I213" i="18" s="1"/>
  <c r="H215" i="18"/>
  <c r="H214" i="18" s="1"/>
  <c r="H213" i="18" s="1"/>
  <c r="H244" i="7"/>
  <c r="H243" i="7" s="1"/>
  <c r="H242" i="7" s="1"/>
  <c r="H247" i="7"/>
  <c r="H246" i="7" s="1"/>
  <c r="H245" i="7" s="1"/>
  <c r="H250" i="7"/>
  <c r="H249" i="7" s="1"/>
  <c r="H248" i="7" s="1"/>
  <c r="I260" i="18" l="1"/>
  <c r="I259" i="18" s="1"/>
  <c r="I258" i="18" s="1"/>
  <c r="H260" i="18"/>
  <c r="H259" i="18" s="1"/>
  <c r="H258" i="18" s="1"/>
  <c r="I257" i="18"/>
  <c r="I256" i="18" s="1"/>
  <c r="I255" i="18" s="1"/>
  <c r="H257" i="18"/>
  <c r="H256" i="18" s="1"/>
  <c r="H255" i="18" s="1"/>
  <c r="H306" i="7"/>
  <c r="H305" i="7" s="1"/>
  <c r="H304" i="7" s="1"/>
  <c r="E21" i="6" l="1"/>
  <c r="E30" i="6"/>
  <c r="E59" i="6"/>
  <c r="E58" i="6" s="1"/>
  <c r="E20" i="6" l="1"/>
  <c r="E41" i="6"/>
  <c r="E53" i="6"/>
  <c r="E49" i="6"/>
  <c r="E47" i="6"/>
  <c r="E19" i="6"/>
  <c r="E45" i="6"/>
  <c r="E23" i="6"/>
  <c r="E31" i="6" l="1"/>
  <c r="E26" i="6"/>
  <c r="E42" i="6"/>
  <c r="E54" i="6"/>
  <c r="E57" i="6"/>
  <c r="E56" i="6" s="1"/>
  <c r="E24" i="6"/>
  <c r="E22" i="6"/>
  <c r="E29" i="6"/>
  <c r="E38" i="6" l="1"/>
  <c r="E37" i="6"/>
  <c r="E51" i="6"/>
  <c r="E50" i="6" s="1"/>
  <c r="E48" i="6"/>
  <c r="E46" i="6" s="1"/>
  <c r="E28" i="6"/>
  <c r="E34" i="6"/>
  <c r="E32" i="6" s="1"/>
  <c r="E18" i="6"/>
  <c r="E39" i="6"/>
  <c r="E44" i="6" l="1"/>
  <c r="E43" i="6" s="1"/>
  <c r="D24" i="6"/>
  <c r="E36" i="6"/>
  <c r="E27" i="6"/>
  <c r="D28" i="8" l="1"/>
  <c r="D27" i="8" s="1"/>
  <c r="D26" i="8" s="1"/>
  <c r="D25" i="8" s="1"/>
  <c r="C28" i="8"/>
  <c r="H89" i="7"/>
  <c r="H88" i="7" s="1"/>
  <c r="I266" i="18" l="1"/>
  <c r="I265" i="18" s="1"/>
  <c r="I264" i="18" s="1"/>
  <c r="H266" i="18"/>
  <c r="H265" i="18" s="1"/>
  <c r="H264" i="18" s="1"/>
  <c r="H72" i="7" l="1"/>
  <c r="H73" i="7"/>
  <c r="H71" i="7" l="1"/>
  <c r="H210" i="7" l="1"/>
  <c r="H209" i="7" s="1"/>
  <c r="H208" i="7" l="1"/>
  <c r="H207" i="7" s="1"/>
  <c r="H463" i="7" l="1"/>
  <c r="H233" i="7" l="1"/>
  <c r="H104" i="18" l="1"/>
  <c r="H103" i="18" s="1"/>
  <c r="H100" i="18" s="1"/>
  <c r="I104" i="18"/>
  <c r="I103" i="18" s="1"/>
  <c r="I100" i="18" s="1"/>
  <c r="H43" i="7" l="1"/>
  <c r="H21" i="7" l="1"/>
  <c r="H20" i="7" s="1"/>
  <c r="H44" i="7"/>
  <c r="H42" i="7" s="1"/>
  <c r="H142" i="7" l="1"/>
  <c r="H141" i="7" s="1"/>
  <c r="F54" i="6" l="1"/>
  <c r="H408" i="7"/>
  <c r="H407" i="7" s="1"/>
  <c r="I26" i="18" l="1"/>
  <c r="I27" i="18"/>
  <c r="I29" i="18"/>
  <c r="I28" i="18" s="1"/>
  <c r="I31" i="18"/>
  <c r="I30" i="18" s="1"/>
  <c r="I34" i="18"/>
  <c r="I37" i="18"/>
  <c r="I49" i="18"/>
  <c r="I50" i="18"/>
  <c r="I51" i="18"/>
  <c r="I57" i="18"/>
  <c r="I58" i="18"/>
  <c r="I83" i="18"/>
  <c r="I88" i="18"/>
  <c r="I89" i="18"/>
  <c r="I90" i="18"/>
  <c r="I93" i="18"/>
  <c r="I94" i="18"/>
  <c r="I95" i="18"/>
  <c r="I97" i="18"/>
  <c r="I99" i="18"/>
  <c r="I127" i="18"/>
  <c r="I126" i="18" s="1"/>
  <c r="I125" i="18" s="1"/>
  <c r="I130" i="18"/>
  <c r="I131" i="18"/>
  <c r="I132" i="18"/>
  <c r="I142" i="18"/>
  <c r="I141" i="18" s="1"/>
  <c r="I137" i="18" s="1"/>
  <c r="I146" i="18"/>
  <c r="I147" i="18"/>
  <c r="I148" i="18"/>
  <c r="I150" i="18"/>
  <c r="I152" i="18"/>
  <c r="I161" i="18"/>
  <c r="I160" i="18" s="1"/>
  <c r="I159" i="18" s="1"/>
  <c r="I158" i="18" s="1"/>
  <c r="I172" i="18"/>
  <c r="I173" i="18"/>
  <c r="I174" i="18"/>
  <c r="I177" i="18"/>
  <c r="I178" i="18"/>
  <c r="I179" i="18"/>
  <c r="I183" i="18"/>
  <c r="I182" i="18" s="1"/>
  <c r="I198" i="18"/>
  <c r="I199" i="18"/>
  <c r="I204" i="18"/>
  <c r="I205" i="18"/>
  <c r="I206" i="18"/>
  <c r="I221" i="18"/>
  <c r="I220" i="18" s="1"/>
  <c r="I223" i="18"/>
  <c r="I222" i="18" s="1"/>
  <c r="I237" i="18"/>
  <c r="I238" i="18"/>
  <c r="I239" i="18"/>
  <c r="I249" i="18"/>
  <c r="I250" i="18"/>
  <c r="I251" i="18"/>
  <c r="I254" i="18"/>
  <c r="I253" i="18" s="1"/>
  <c r="I252" i="18" s="1"/>
  <c r="I270" i="18"/>
  <c r="I271" i="18"/>
  <c r="I272" i="18"/>
  <c r="I274" i="18"/>
  <c r="I275" i="18"/>
  <c r="I276" i="18"/>
  <c r="I290" i="18"/>
  <c r="I291" i="18"/>
  <c r="I293" i="18"/>
  <c r="I294" i="18"/>
  <c r="I296" i="18"/>
  <c r="I297" i="18"/>
  <c r="I299" i="18"/>
  <c r="I300" i="18"/>
  <c r="I303" i="18"/>
  <c r="I302" i="18" s="1"/>
  <c r="I301" i="18" s="1"/>
  <c r="I308" i="18"/>
  <c r="I309" i="18"/>
  <c r="I311" i="18"/>
  <c r="I312" i="18"/>
  <c r="I314" i="18"/>
  <c r="I315" i="18"/>
  <c r="I318" i="18"/>
  <c r="I317" i="18" s="1"/>
  <c r="I316" i="18" s="1"/>
  <c r="I330" i="18"/>
  <c r="I329" i="18" s="1"/>
  <c r="I328" i="18" s="1"/>
  <c r="I333" i="18"/>
  <c r="I332" i="18" s="1"/>
  <c r="I331" i="18" s="1"/>
  <c r="I339" i="18"/>
  <c r="I338" i="18" s="1"/>
  <c r="I337" i="18" s="1"/>
  <c r="I336" i="18" s="1"/>
  <c r="I335" i="18" s="1"/>
  <c r="I349" i="18"/>
  <c r="I348" i="18" s="1"/>
  <c r="I347" i="18" s="1"/>
  <c r="I346" i="18" s="1"/>
  <c r="I341" i="18" s="1"/>
  <c r="I357" i="18"/>
  <c r="I356" i="18" s="1"/>
  <c r="I369" i="18"/>
  <c r="I368" i="18" s="1"/>
  <c r="I367" i="18" s="1"/>
  <c r="I372" i="18"/>
  <c r="I373" i="18"/>
  <c r="I374" i="18"/>
  <c r="I376" i="18"/>
  <c r="I375" i="18" s="1"/>
  <c r="I378" i="18"/>
  <c r="I377" i="18" s="1"/>
  <c r="I380" i="18"/>
  <c r="I379" i="18" s="1"/>
  <c r="I382" i="18"/>
  <c r="I381" i="18" s="1"/>
  <c r="I385" i="18"/>
  <c r="I384" i="18" s="1"/>
  <c r="I391" i="18"/>
  <c r="I390" i="18" s="1"/>
  <c r="I389" i="18" s="1"/>
  <c r="I402" i="18"/>
  <c r="I403" i="18"/>
  <c r="I406" i="18"/>
  <c r="I407" i="18"/>
  <c r="I426" i="18"/>
  <c r="I427" i="18"/>
  <c r="I428" i="18"/>
  <c r="I433" i="18"/>
  <c r="I432" i="18" s="1"/>
  <c r="H99" i="18"/>
  <c r="H98" i="18" s="1"/>
  <c r="H97" i="18"/>
  <c r="H95" i="18"/>
  <c r="H94" i="18"/>
  <c r="H93" i="18"/>
  <c r="H90" i="18"/>
  <c r="H89" i="18"/>
  <c r="H88" i="18"/>
  <c r="H83" i="18"/>
  <c r="H58" i="18"/>
  <c r="H57" i="18"/>
  <c r="H55" i="18"/>
  <c r="H54" i="18"/>
  <c r="H53" i="18"/>
  <c r="H51" i="18"/>
  <c r="H50" i="18"/>
  <c r="H49" i="18"/>
  <c r="H37" i="18"/>
  <c r="H34" i="18"/>
  <c r="H31" i="18"/>
  <c r="H29" i="18"/>
  <c r="H27" i="18"/>
  <c r="H26" i="18"/>
  <c r="I77" i="18"/>
  <c r="I76" i="18"/>
  <c r="I75" i="18"/>
  <c r="I74" i="18"/>
  <c r="I55" i="18"/>
  <c r="I54" i="18"/>
  <c r="I53" i="18"/>
  <c r="I36" i="18"/>
  <c r="I35" i="18"/>
  <c r="I20" i="18"/>
  <c r="I19" i="18" s="1"/>
  <c r="I219" i="18" l="1"/>
  <c r="I218" i="18" s="1"/>
  <c r="I401" i="18"/>
  <c r="I400" i="18" s="1"/>
  <c r="I136" i="18"/>
  <c r="I353" i="18"/>
  <c r="I352" i="18" s="1"/>
  <c r="I351" i="18" s="1"/>
  <c r="I197" i="18"/>
  <c r="I196" i="18" s="1"/>
  <c r="I195" i="18" s="1"/>
  <c r="I425" i="18"/>
  <c r="I424" i="18" s="1"/>
  <c r="I263" i="18"/>
  <c r="I431" i="18"/>
  <c r="I430" i="18" s="1"/>
  <c r="H35" i="18"/>
  <c r="H74" i="18"/>
  <c r="H75" i="18"/>
  <c r="H76" i="18"/>
  <c r="H77" i="18"/>
  <c r="H92" i="18"/>
  <c r="H91" i="18" s="1"/>
  <c r="H20" i="18"/>
  <c r="H36" i="18"/>
  <c r="I228" i="18"/>
  <c r="I225" i="18" s="1"/>
  <c r="I289" i="18"/>
  <c r="I405" i="18"/>
  <c r="I404" i="18" s="1"/>
  <c r="I310" i="18"/>
  <c r="I292" i="18"/>
  <c r="I87" i="18"/>
  <c r="I236" i="18"/>
  <c r="I235" i="18" s="1"/>
  <c r="I234" i="18" s="1"/>
  <c r="I269" i="18"/>
  <c r="I171" i="18"/>
  <c r="I170" i="18" s="1"/>
  <c r="I248" i="18"/>
  <c r="I247" i="18" s="1"/>
  <c r="I203" i="18"/>
  <c r="I202" i="18" s="1"/>
  <c r="I201" i="18" s="1"/>
  <c r="I129" i="18"/>
  <c r="I128" i="18" s="1"/>
  <c r="I96" i="18"/>
  <c r="I48" i="18"/>
  <c r="I33" i="18"/>
  <c r="I25" i="18"/>
  <c r="I18" i="18" s="1"/>
  <c r="I313" i="18"/>
  <c r="I307" i="18"/>
  <c r="I98" i="18"/>
  <c r="I56" i="18"/>
  <c r="I371" i="18"/>
  <c r="I370" i="18" s="1"/>
  <c r="I273" i="18"/>
  <c r="I176" i="18"/>
  <c r="I175" i="18" s="1"/>
  <c r="I52" i="18"/>
  <c r="I295" i="18"/>
  <c r="I298" i="18"/>
  <c r="I145" i="18"/>
  <c r="I73" i="18"/>
  <c r="I72" i="18" s="1"/>
  <c r="I327" i="18"/>
  <c r="I326" i="18" s="1"/>
  <c r="H228" i="18"/>
  <c r="H225" i="18" s="1"/>
  <c r="I92" i="18"/>
  <c r="I91" i="18" s="1"/>
  <c r="I32" i="18" l="1"/>
  <c r="I17" i="18" s="1"/>
  <c r="I288" i="18"/>
  <c r="I71" i="18"/>
  <c r="H224" i="18"/>
  <c r="I169" i="18"/>
  <c r="I157" i="18" s="1"/>
  <c r="I224" i="18"/>
  <c r="I217" i="18" s="1"/>
  <c r="I268" i="18"/>
  <c r="I267" i="18" s="1"/>
  <c r="I262" i="18" s="1"/>
  <c r="I246" i="18"/>
  <c r="I245" i="18" s="1"/>
  <c r="I306" i="18"/>
  <c r="I194" i="18"/>
  <c r="I86" i="18"/>
  <c r="I85" i="18" s="1"/>
  <c r="F37" i="6" l="1"/>
  <c r="I366" i="18"/>
  <c r="I365" i="18" s="1"/>
  <c r="I287" i="18"/>
  <c r="I286" i="18" s="1"/>
  <c r="I16" i="18"/>
  <c r="H508" i="7"/>
  <c r="H118" i="7"/>
  <c r="H116" i="7"/>
  <c r="H115" i="7" s="1"/>
  <c r="H109" i="7"/>
  <c r="H99" i="7"/>
  <c r="H96" i="7"/>
  <c r="H95" i="7" s="1"/>
  <c r="H87" i="7"/>
  <c r="H86" i="7"/>
  <c r="H67" i="7"/>
  <c r="H66" i="7"/>
  <c r="H64" i="7"/>
  <c r="H63" i="7"/>
  <c r="H62" i="7"/>
  <c r="H60" i="7"/>
  <c r="H59" i="7"/>
  <c r="H58" i="7"/>
  <c r="H38" i="7"/>
  <c r="H33" i="7"/>
  <c r="H31" i="7"/>
  <c r="H29" i="7"/>
  <c r="H28" i="7"/>
  <c r="H105" i="7"/>
  <c r="H83" i="7"/>
  <c r="H82" i="7"/>
  <c r="H47" i="7"/>
  <c r="H46" i="7"/>
  <c r="H40" i="7"/>
  <c r="H39" i="7"/>
  <c r="H85" i="7" l="1"/>
  <c r="F38" i="6"/>
  <c r="H84" i="7"/>
  <c r="H104" i="7"/>
  <c r="H110" i="7"/>
  <c r="H41" i="7"/>
  <c r="H37" i="7" s="1"/>
  <c r="H81" i="7"/>
  <c r="H108" i="7"/>
  <c r="H19" i="7"/>
  <c r="H23" i="7"/>
  <c r="H49" i="7"/>
  <c r="H107" i="7"/>
  <c r="H103" i="7"/>
  <c r="H117" i="7"/>
  <c r="H433" i="18" l="1"/>
  <c r="H428" i="18"/>
  <c r="H427" i="18"/>
  <c r="H426" i="18"/>
  <c r="H407" i="18"/>
  <c r="H406" i="18"/>
  <c r="H403" i="18"/>
  <c r="H402" i="18"/>
  <c r="H391" i="18"/>
  <c r="H390" i="18" s="1"/>
  <c r="H389" i="18" s="1"/>
  <c r="H385" i="18"/>
  <c r="H382" i="18"/>
  <c r="H381" i="18" s="1"/>
  <c r="H380" i="18"/>
  <c r="H378" i="18"/>
  <c r="H376" i="18"/>
  <c r="H374" i="18"/>
  <c r="H373" i="18"/>
  <c r="H372" i="18"/>
  <c r="H369" i="18"/>
  <c r="H357" i="18"/>
  <c r="H356" i="18" s="1"/>
  <c r="H349" i="18"/>
  <c r="H348" i="18" s="1"/>
  <c r="H347" i="18" s="1"/>
  <c r="H346" i="18" s="1"/>
  <c r="H341" i="18" s="1"/>
  <c r="H339" i="18"/>
  <c r="H333" i="18"/>
  <c r="H330" i="18"/>
  <c r="H318" i="18"/>
  <c r="H317" i="18" s="1"/>
  <c r="H316" i="18" s="1"/>
  <c r="H315" i="18"/>
  <c r="H314" i="18"/>
  <c r="H312" i="18"/>
  <c r="H311" i="18"/>
  <c r="H309" i="18"/>
  <c r="H308" i="18"/>
  <c r="H303" i="18"/>
  <c r="H300" i="18"/>
  <c r="H299" i="18"/>
  <c r="H297" i="18"/>
  <c r="H296" i="18"/>
  <c r="H294" i="18"/>
  <c r="H293" i="18"/>
  <c r="H291" i="18"/>
  <c r="H290" i="18"/>
  <c r="H276" i="18"/>
  <c r="H275" i="18"/>
  <c r="H274" i="18"/>
  <c r="H272" i="18"/>
  <c r="H271" i="18"/>
  <c r="H270" i="18"/>
  <c r="H401" i="18" l="1"/>
  <c r="H353" i="18"/>
  <c r="H352" i="18" s="1"/>
  <c r="H351" i="18" s="1"/>
  <c r="H425" i="18"/>
  <c r="H424" i="18" s="1"/>
  <c r="H263" i="18"/>
  <c r="D37" i="6"/>
  <c r="H371" i="18"/>
  <c r="H269" i="18"/>
  <c r="H254" i="18"/>
  <c r="H251" i="18"/>
  <c r="H250" i="18"/>
  <c r="H249" i="18"/>
  <c r="H239" i="18"/>
  <c r="H238" i="18"/>
  <c r="H237" i="18"/>
  <c r="H223" i="18"/>
  <c r="H222" i="18" s="1"/>
  <c r="H221" i="18"/>
  <c r="H220" i="18" s="1"/>
  <c r="H206" i="18"/>
  <c r="H205" i="18"/>
  <c r="H204" i="18"/>
  <c r="H199" i="18"/>
  <c r="H198" i="18"/>
  <c r="H183" i="18"/>
  <c r="H182" i="18" s="1"/>
  <c r="H179" i="18"/>
  <c r="H178" i="18"/>
  <c r="H177" i="18"/>
  <c r="H174" i="18"/>
  <c r="H173" i="18"/>
  <c r="H172" i="18"/>
  <c r="H161" i="18"/>
  <c r="H160" i="18" s="1"/>
  <c r="H159" i="18" s="1"/>
  <c r="H158" i="18" s="1"/>
  <c r="H152" i="18"/>
  <c r="H151" i="18"/>
  <c r="H150" i="18"/>
  <c r="H148" i="18"/>
  <c r="H147" i="18"/>
  <c r="H146" i="18"/>
  <c r="H142" i="18"/>
  <c r="H141" i="18" s="1"/>
  <c r="H137" i="18" s="1"/>
  <c r="H132" i="18"/>
  <c r="H131" i="18"/>
  <c r="H130" i="18"/>
  <c r="H127" i="18"/>
  <c r="H119" i="18"/>
  <c r="H219" i="18" l="1"/>
  <c r="H136" i="18"/>
  <c r="H197" i="18"/>
  <c r="H236" i="18"/>
  <c r="H149" i="18"/>
  <c r="H129" i="18"/>
  <c r="H145" i="18"/>
  <c r="H522" i="7" l="1"/>
  <c r="H517" i="7"/>
  <c r="H515" i="7"/>
  <c r="H514" i="7"/>
  <c r="H513" i="7"/>
  <c r="H492" i="7"/>
  <c r="H491" i="7"/>
  <c r="H488" i="7"/>
  <c r="H485" i="7"/>
  <c r="H484" i="7"/>
  <c r="H481" i="7"/>
  <c r="H479" i="7"/>
  <c r="H475" i="7"/>
  <c r="H474" i="7" s="1"/>
  <c r="H471" i="7"/>
  <c r="H465" i="7"/>
  <c r="H460" i="7"/>
  <c r="H458" i="7"/>
  <c r="H456" i="7"/>
  <c r="H452" i="7"/>
  <c r="H451" i="7"/>
  <c r="H450" i="7"/>
  <c r="H447" i="7"/>
  <c r="H433" i="7"/>
  <c r="H427" i="7"/>
  <c r="H423" i="7"/>
  <c r="H417" i="7"/>
  <c r="H411" i="7"/>
  <c r="H386" i="7"/>
  <c r="H378" i="7"/>
  <c r="H372" i="7"/>
  <c r="H371" i="7"/>
  <c r="H369" i="7"/>
  <c r="H368" i="7"/>
  <c r="H363" i="7"/>
  <c r="H360" i="7"/>
  <c r="H359" i="7"/>
  <c r="H357" i="7"/>
  <c r="H356" i="7"/>
  <c r="H354" i="7"/>
  <c r="H353" i="7"/>
  <c r="H351" i="7"/>
  <c r="H350" i="7"/>
  <c r="H337" i="7"/>
  <c r="H334" i="7"/>
  <c r="H333" i="7" s="1"/>
  <c r="H332" i="7" s="1"/>
  <c r="H331" i="7"/>
  <c r="H327" i="7"/>
  <c r="H326" i="7"/>
  <c r="H325" i="7"/>
  <c r="H323" i="7"/>
  <c r="H322" i="7"/>
  <c r="H321" i="7"/>
  <c r="H316" i="7"/>
  <c r="H314" i="7"/>
  <c r="H303" i="7"/>
  <c r="H300" i="7"/>
  <c r="H297" i="7"/>
  <c r="H292" i="7"/>
  <c r="H291" i="7"/>
  <c r="H290" i="7"/>
  <c r="H280" i="7"/>
  <c r="H278" i="7"/>
  <c r="H274" i="7"/>
  <c r="H268" i="7"/>
  <c r="H266" i="7"/>
  <c r="H262" i="7"/>
  <c r="H260" i="7"/>
  <c r="H258" i="7"/>
  <c r="H256" i="7"/>
  <c r="H241" i="7"/>
  <c r="H240" i="7"/>
  <c r="H239" i="7"/>
  <c r="H235" i="7"/>
  <c r="H234" i="7" s="1"/>
  <c r="H232" i="7"/>
  <c r="H231" i="7"/>
  <c r="H212" i="7"/>
  <c r="H211" i="7" s="1"/>
  <c r="H206" i="7"/>
  <c r="H204" i="7"/>
  <c r="H203" i="7"/>
  <c r="H202" i="7"/>
  <c r="H199" i="7"/>
  <c r="H198" i="7"/>
  <c r="H197" i="7"/>
  <c r="H193" i="7"/>
  <c r="H192" i="7" s="1"/>
  <c r="H190" i="7"/>
  <c r="H179" i="7"/>
  <c r="H178" i="7"/>
  <c r="H177" i="7"/>
  <c r="H174" i="7"/>
  <c r="H175" i="7"/>
  <c r="H173" i="7"/>
  <c r="H169" i="7"/>
  <c r="H168" i="7" s="1"/>
  <c r="H157" i="7"/>
  <c r="H156" i="7"/>
  <c r="H155" i="7"/>
  <c r="H152" i="7"/>
  <c r="H148" i="7"/>
  <c r="H145" i="7"/>
  <c r="H138" i="7"/>
  <c r="H483" i="7" l="1"/>
  <c r="H201" i="7"/>
  <c r="H336" i="7"/>
  <c r="H335" i="7" s="1"/>
  <c r="H512" i="7"/>
  <c r="H230" i="7"/>
  <c r="I119" i="18" l="1"/>
  <c r="I118" i="18" s="1"/>
  <c r="I117" i="18" l="1"/>
  <c r="I116" i="18" s="1"/>
  <c r="E41" i="5" l="1"/>
  <c r="E24" i="8" s="1"/>
  <c r="E23" i="8" s="1"/>
  <c r="E22" i="8" s="1"/>
  <c r="E21" i="8" s="1"/>
  <c r="D41" i="5"/>
  <c r="D24" i="8" s="1"/>
  <c r="D23" i="8" s="1"/>
  <c r="D22" i="8" s="1"/>
  <c r="D21" i="8" s="1"/>
  <c r="D20" i="8" l="1"/>
  <c r="D15" i="8" s="1"/>
  <c r="C41" i="5" l="1"/>
  <c r="C24" i="8" s="1"/>
  <c r="F34" i="6"/>
  <c r="F32" i="6" s="1"/>
  <c r="H312" i="7"/>
  <c r="I151" i="18"/>
  <c r="I149" i="18" s="1"/>
  <c r="I144" i="18" s="1"/>
  <c r="I143" i="18" l="1"/>
  <c r="I115" i="18" s="1"/>
  <c r="F24" i="6"/>
  <c r="F45" i="6"/>
  <c r="H150" i="7"/>
  <c r="H167" i="7"/>
  <c r="H165" i="7" s="1"/>
  <c r="D45" i="6"/>
  <c r="I447" i="18" l="1"/>
  <c r="D34" i="6"/>
  <c r="D32" i="6" s="1"/>
  <c r="D39" i="6"/>
  <c r="F30" i="6"/>
  <c r="F21" i="6"/>
  <c r="D30" i="6"/>
  <c r="D21" i="6"/>
  <c r="D19" i="6"/>
  <c r="F44" i="6" l="1"/>
  <c r="F43" i="6" s="1"/>
  <c r="F39" i="6"/>
  <c r="F27" i="6"/>
  <c r="F19" i="6"/>
  <c r="F23" i="6"/>
  <c r="D23" i="6"/>
  <c r="D47" i="6"/>
  <c r="D29" i="6"/>
  <c r="F47" i="6"/>
  <c r="H279" i="7"/>
  <c r="H435" i="7"/>
  <c r="F29" i="6"/>
  <c r="F31" i="6" l="1"/>
  <c r="F28" i="6" s="1"/>
  <c r="D26" i="6"/>
  <c r="D55" i="6"/>
  <c r="D44" i="6"/>
  <c r="F26" i="6"/>
  <c r="F25" i="6" s="1"/>
  <c r="F20" i="6"/>
  <c r="E25" i="6" l="1"/>
  <c r="E16" i="6" s="1"/>
  <c r="D31" i="6" l="1"/>
  <c r="D27" i="6"/>
  <c r="F57" i="6"/>
  <c r="F56" i="6" s="1"/>
  <c r="I423" i="18"/>
  <c r="F53" i="6" l="1"/>
  <c r="F22" i="6"/>
  <c r="F18" i="6" s="1"/>
  <c r="F51" i="6" l="1"/>
  <c r="F50" i="6" s="1"/>
  <c r="F42" i="6" l="1"/>
  <c r="F41" i="6" l="1"/>
  <c r="F36" i="6" s="1"/>
  <c r="H16" i="6" l="1"/>
  <c r="F49" i="6"/>
  <c r="F48" i="6"/>
  <c r="F46" i="6" l="1"/>
  <c r="D49" i="6"/>
  <c r="D53" i="6" l="1"/>
  <c r="D42" i="6" l="1"/>
  <c r="D52" i="6"/>
  <c r="D48" i="6"/>
  <c r="D46" i="6" s="1"/>
  <c r="D51" i="6" l="1"/>
  <c r="D57" i="6" l="1"/>
  <c r="D56" i="6" s="1"/>
  <c r="D41" i="6"/>
  <c r="H487" i="7"/>
  <c r="H486" i="7" s="1"/>
  <c r="H507" i="7"/>
  <c r="H506" i="7" s="1"/>
  <c r="H505" i="7" s="1"/>
  <c r="H504" i="7" s="1"/>
  <c r="D22" i="6" l="1"/>
  <c r="H405" i="18"/>
  <c r="H404" i="18" s="1"/>
  <c r="H265" i="7"/>
  <c r="H205" i="7"/>
  <c r="H385" i="7"/>
  <c r="H382" i="7" s="1"/>
  <c r="D54" i="6" l="1"/>
  <c r="H434" i="7" l="1"/>
  <c r="H375" i="18" l="1"/>
  <c r="H455" i="7" l="1"/>
  <c r="H22" i="7" l="1"/>
  <c r="H490" i="7" l="1"/>
  <c r="H489" i="7" s="1"/>
  <c r="H96" i="18" l="1"/>
  <c r="H384" i="18"/>
  <c r="H362" i="7" l="1"/>
  <c r="H361" i="7" s="1"/>
  <c r="H98" i="7"/>
  <c r="H97" i="7" s="1"/>
  <c r="H154" i="7" l="1"/>
  <c r="H153" i="7" s="1"/>
  <c r="H464" i="7" l="1"/>
  <c r="H302" i="7" l="1"/>
  <c r="H301" i="7" s="1"/>
  <c r="H313" i="7" l="1"/>
  <c r="H330" i="7"/>
  <c r="H381" i="7" l="1"/>
  <c r="H380" i="7" s="1"/>
  <c r="I436" i="18" l="1"/>
  <c r="I435" i="18" s="1"/>
  <c r="I15" i="18" s="1"/>
  <c r="H436" i="18"/>
  <c r="H435" i="18" s="1"/>
  <c r="H454" i="18" s="1"/>
  <c r="H302" i="18"/>
  <c r="H301" i="18" s="1"/>
  <c r="H273" i="18"/>
  <c r="H268" i="18" s="1"/>
  <c r="H267" i="18" s="1"/>
  <c r="H248" i="18"/>
  <c r="I454" i="18" l="1"/>
  <c r="H171" i="18"/>
  <c r="H128" i="18"/>
  <c r="H196" i="18" l="1"/>
  <c r="H56" i="18"/>
  <c r="H48" i="18"/>
  <c r="H30" i="18"/>
  <c r="H28" i="18"/>
  <c r="H19" i="18"/>
  <c r="H432" i="18"/>
  <c r="H400" i="18"/>
  <c r="H379" i="18"/>
  <c r="H377" i="18"/>
  <c r="H368" i="18"/>
  <c r="H367" i="18" s="1"/>
  <c r="H338" i="18"/>
  <c r="H337" i="18" s="1"/>
  <c r="H336" i="18" s="1"/>
  <c r="H335" i="18" s="1"/>
  <c r="H332" i="18"/>
  <c r="H331" i="18" s="1"/>
  <c r="H329" i="18"/>
  <c r="H328" i="18" s="1"/>
  <c r="H313" i="18"/>
  <c r="H310" i="18"/>
  <c r="H307" i="18"/>
  <c r="H298" i="18"/>
  <c r="H295" i="18"/>
  <c r="H292" i="18"/>
  <c r="H289" i="18"/>
  <c r="H253" i="18"/>
  <c r="H252" i="18" s="1"/>
  <c r="H247" i="18"/>
  <c r="H235" i="18"/>
  <c r="H234" i="18" s="1"/>
  <c r="H203" i="18"/>
  <c r="H202" i="18" s="1"/>
  <c r="H201" i="18" s="1"/>
  <c r="H176" i="18"/>
  <c r="H175" i="18" s="1"/>
  <c r="H170" i="18"/>
  <c r="H126" i="18"/>
  <c r="H125" i="18" s="1"/>
  <c r="H118" i="18"/>
  <c r="H117" i="18" s="1"/>
  <c r="H370" i="18" l="1"/>
  <c r="H366" i="18" s="1"/>
  <c r="H288" i="18"/>
  <c r="H116" i="18"/>
  <c r="H169" i="18"/>
  <c r="H157" i="18" s="1"/>
  <c r="H246" i="18"/>
  <c r="H431" i="18"/>
  <c r="H430" i="18" s="1"/>
  <c r="H218" i="18"/>
  <c r="H217" i="18" s="1"/>
  <c r="H73" i="18"/>
  <c r="H72" i="18" s="1"/>
  <c r="H33" i="18"/>
  <c r="I451" i="18"/>
  <c r="H423" i="18"/>
  <c r="H144" i="18"/>
  <c r="H143" i="18" s="1"/>
  <c r="H195" i="18"/>
  <c r="H194" i="18" s="1"/>
  <c r="H52" i="18"/>
  <c r="H87" i="18"/>
  <c r="H25" i="18"/>
  <c r="H18" i="18" s="1"/>
  <c r="H327" i="18"/>
  <c r="H326" i="18" s="1"/>
  <c r="H262" i="18"/>
  <c r="H306" i="18"/>
  <c r="H32" i="18" l="1"/>
  <c r="H17" i="18" s="1"/>
  <c r="H115" i="18"/>
  <c r="H71" i="18"/>
  <c r="H451" i="18"/>
  <c r="H287" i="18"/>
  <c r="H286" i="18" s="1"/>
  <c r="H245" i="18"/>
  <c r="H86" i="18"/>
  <c r="H85" i="18" s="1"/>
  <c r="H365" i="18"/>
  <c r="H16" i="18" l="1"/>
  <c r="H15" i="18" s="1"/>
  <c r="K15" i="18" s="1"/>
  <c r="H447" i="18" l="1"/>
  <c r="H456" i="18" s="1"/>
  <c r="I456" i="18"/>
  <c r="H299" i="7"/>
  <c r="H298" i="7" s="1"/>
  <c r="I449" i="18" l="1"/>
  <c r="I455" i="18"/>
  <c r="I452" i="18"/>
  <c r="H455" i="18"/>
  <c r="H452" i="18"/>
  <c r="H449" i="18"/>
  <c r="E28" i="8" l="1"/>
  <c r="E27" i="8" s="1"/>
  <c r="E26" i="8" s="1"/>
  <c r="E25" i="8" s="1"/>
  <c r="E20" i="8" s="1"/>
  <c r="E15" i="8" s="1"/>
  <c r="L15" i="18"/>
  <c r="F59" i="6"/>
  <c r="F58" i="6" s="1"/>
  <c r="F16" i="6" s="1"/>
  <c r="I16" i="6" s="1"/>
  <c r="H521" i="7" l="1"/>
  <c r="H520" i="7" l="1"/>
  <c r="H519" i="7" s="1"/>
  <c r="H18" i="7"/>
  <c r="H315" i="7" l="1"/>
  <c r="H406" i="7" l="1"/>
  <c r="H259" i="7"/>
  <c r="H267" i="7"/>
  <c r="H264" i="7" s="1"/>
  <c r="H261" i="7"/>
  <c r="H480" i="7" l="1"/>
  <c r="H478" i="7"/>
  <c r="H470" i="7"/>
  <c r="H469" i="7" s="1"/>
  <c r="H457" i="7"/>
  <c r="H477" i="7" l="1"/>
  <c r="H516" i="7"/>
  <c r="H511" i="7" s="1"/>
  <c r="H377" i="7"/>
  <c r="H376" i="7" s="1"/>
  <c r="H440" i="7" l="1"/>
  <c r="H439" i="7" s="1"/>
  <c r="H438" i="7" s="1"/>
  <c r="H437" i="7" s="1"/>
  <c r="H432" i="7"/>
  <c r="H431" i="7" s="1"/>
  <c r="H426" i="7"/>
  <c r="H425" i="7" s="1"/>
  <c r="H424" i="7" s="1"/>
  <c r="H422" i="7"/>
  <c r="H416" i="7"/>
  <c r="H415" i="7" s="1"/>
  <c r="H410" i="7"/>
  <c r="H409" i="7" s="1"/>
  <c r="H358" i="7"/>
  <c r="H355" i="7"/>
  <c r="H352" i="7"/>
  <c r="H349" i="7"/>
  <c r="H348" i="7" l="1"/>
  <c r="H430" i="7"/>
  <c r="H429" i="7" s="1"/>
  <c r="H414" i="7"/>
  <c r="H370" i="7"/>
  <c r="H373" i="7"/>
  <c r="H367" i="7"/>
  <c r="H421" i="7"/>
  <c r="H420" i="7" s="1"/>
  <c r="H311" i="7"/>
  <c r="H310" i="7" s="1"/>
  <c r="H273" i="7"/>
  <c r="H189" i="7"/>
  <c r="H309" i="7" l="1"/>
  <c r="H196" i="7"/>
  <c r="H195" i="7" s="1"/>
  <c r="H176" i="7"/>
  <c r="H238" i="7"/>
  <c r="H237" i="7" s="1"/>
  <c r="H236" i="7" s="1"/>
  <c r="H277" i="7"/>
  <c r="H276" i="7" s="1"/>
  <c r="H275" i="7" s="1"/>
  <c r="H172" i="7"/>
  <c r="H366" i="7"/>
  <c r="H347" i="7" s="1"/>
  <c r="H289" i="7"/>
  <c r="H288" i="7" s="1"/>
  <c r="H151" i="7"/>
  <c r="H149" i="7"/>
  <c r="H144" i="7"/>
  <c r="H143" i="7" s="1"/>
  <c r="H137" i="7"/>
  <c r="H136" i="7" s="1"/>
  <c r="H80" i="7"/>
  <c r="H79" i="7" s="1"/>
  <c r="H65" i="7"/>
  <c r="H57" i="7"/>
  <c r="H45" i="7"/>
  <c r="H32" i="7"/>
  <c r="H30" i="7"/>
  <c r="H255" i="7"/>
  <c r="H78" i="7" l="1"/>
  <c r="H171" i="7"/>
  <c r="H170" i="7" s="1"/>
  <c r="H164" i="7"/>
  <c r="H147" i="7"/>
  <c r="H146" i="7" s="1"/>
  <c r="H27" i="7"/>
  <c r="H17" i="7" s="1"/>
  <c r="H102" i="7"/>
  <c r="H135" i="7" l="1"/>
  <c r="H163" i="7"/>
  <c r="H134" i="7" l="1"/>
  <c r="H482" i="7"/>
  <c r="H320" i="7"/>
  <c r="H324" i="7"/>
  <c r="H319" i="7" l="1"/>
  <c r="H318" i="7" s="1"/>
  <c r="H308" i="7" s="1"/>
  <c r="H200" i="7"/>
  <c r="H194" i="7" s="1"/>
  <c r="H61" i="7" l="1"/>
  <c r="H106" i="7" l="1"/>
  <c r="H101" i="7" s="1"/>
  <c r="H100" i="7" l="1"/>
  <c r="D50" i="6"/>
  <c r="H459" i="7"/>
  <c r="H257" i="7"/>
  <c r="H254" i="7" s="1"/>
  <c r="H253" i="7" s="1"/>
  <c r="H449" i="7"/>
  <c r="D28" i="6" l="1"/>
  <c r="H510" i="7" l="1"/>
  <c r="H536" i="7" s="1"/>
  <c r="D25" i="6"/>
  <c r="H419" i="7"/>
  <c r="H413" i="7"/>
  <c r="H405" i="7"/>
  <c r="H404" i="7" s="1"/>
  <c r="H296" i="7"/>
  <c r="H295" i="7" s="1"/>
  <c r="H272" i="7"/>
  <c r="H229" i="7"/>
  <c r="H228" i="7" s="1"/>
  <c r="H191" i="7"/>
  <c r="H188" i="7"/>
  <c r="H287" i="7" l="1"/>
  <c r="H346" i="7"/>
  <c r="H263" i="7"/>
  <c r="H252" i="7" s="1"/>
  <c r="H187" i="7"/>
  <c r="H186" i="7" s="1"/>
  <c r="H286" i="7" l="1"/>
  <c r="H227" i="7" l="1"/>
  <c r="D43" i="6" l="1"/>
  <c r="H446" i="7" l="1"/>
  <c r="H445" i="7" s="1"/>
  <c r="H462" i="7" l="1"/>
  <c r="C23" i="8" l="1"/>
  <c r="C22" i="8" s="1"/>
  <c r="C21" i="8" s="1"/>
  <c r="H461" i="7"/>
  <c r="D20" i="6"/>
  <c r="D18" i="6" s="1"/>
  <c r="H448" i="7" l="1"/>
  <c r="H444" i="7" s="1"/>
  <c r="H443" i="7" s="1"/>
  <c r="H51" i="7"/>
  <c r="H48" i="7" s="1"/>
  <c r="H36" i="7" l="1"/>
  <c r="H16" i="7" s="1"/>
  <c r="H15" i="7" s="1"/>
  <c r="H14" i="7" s="1"/>
  <c r="D38" i="6" l="1"/>
  <c r="D36" i="6" s="1"/>
  <c r="C27" i="8"/>
  <c r="C26" i="8" s="1"/>
  <c r="C25" i="8" s="1"/>
  <c r="C20" i="8" s="1"/>
  <c r="C15" i="8" s="1"/>
  <c r="H532" i="7"/>
  <c r="H538" i="7" s="1"/>
  <c r="H537" i="7" s="1"/>
  <c r="D16" i="6" l="1"/>
  <c r="G16" i="6" s="1"/>
  <c r="H534" i="7"/>
  <c r="J14" i="7"/>
</calcChain>
</file>

<file path=xl/sharedStrings.xml><?xml version="1.0" encoding="utf-8"?>
<sst xmlns="http://schemas.openxmlformats.org/spreadsheetml/2006/main" count="14903" uniqueCount="559">
  <si>
    <t>Администрация муниципального образования Апшеронский район</t>
  </si>
  <si>
    <t>902</t>
  </si>
  <si>
    <t>Финансовое управление администрации муниципального образования Апшеронский район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</si>
  <si>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</si>
  <si>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</si>
  <si>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Управление имущественных отношений администрации муниципального образования Апшеронский район</t>
  </si>
  <si>
    <t>Управление образования администрации муниципального образования Апшеронский район</t>
  </si>
  <si>
    <t>Отдел культуры администрации муниципального образования Апшеронский район</t>
  </si>
  <si>
    <t>Отдел по физической культуре и спорту администрации муниципального образования Апшеронский район</t>
  </si>
  <si>
    <t>Отдел по делам молодежи администрации муниципального образования Апшеронский район</t>
  </si>
  <si>
    <t>Отдел по вопросам семьи и детства администрации муниципального образования Апшеронский район</t>
  </si>
  <si>
    <t>Код</t>
  </si>
  <si>
    <t>Наименование дохода</t>
  </si>
  <si>
    <t>Сумма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</si>
  <si>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</si>
  <si>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</si>
  <si>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</si>
  <si>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(тыс. рублей)</t>
  </si>
  <si>
    <t>№ п\п</t>
  </si>
  <si>
    <t>Наименование</t>
  </si>
  <si>
    <t>Вед</t>
  </si>
  <si>
    <t>РЗ</t>
  </si>
  <si>
    <t>ПР</t>
  </si>
  <si>
    <t>ЦСР</t>
  </si>
  <si>
    <t>ВР</t>
  </si>
  <si>
    <t>3</t>
  </si>
  <si>
    <t>4</t>
  </si>
  <si>
    <t>5</t>
  </si>
  <si>
    <t>6</t>
  </si>
  <si>
    <t>7</t>
  </si>
  <si>
    <t>Контрольно-счетная палата муниципального образования Апшеронский район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</si>
  <si>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</si>
  <si>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</si>
  <si>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</si>
  <si>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</si>
  <si>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муниципального образования Апшеронский район "Организация муниципального управления"</t>
  </si>
  <si>
    <t>17</t>
  </si>
  <si>
    <t>0</t>
  </si>
  <si>
    <t>00</t>
  </si>
  <si>
    <t>00000</t>
  </si>
  <si>
    <t>1</t>
  </si>
  <si>
    <t xml:space="preserve">Обеспечение деятельности высшего должностного лица муниципального образования </t>
  </si>
  <si>
    <t>Расходы на обеспечение функций органов местного самоуправления</t>
  </si>
  <si>
    <t>00190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</si>
  <si>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</si>
  <si>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</si>
  <si>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</si>
  <si>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</si>
  <si>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муниципального образования  Апшеронский район "Организация муниципального управления"</t>
  </si>
  <si>
    <t>Обеспечение деятельности администрации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</si>
  <si>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</si>
  <si>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</si>
  <si>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</si>
  <si>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</si>
  <si>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60870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</si>
  <si>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</si>
  <si>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60910</t>
  </si>
  <si>
    <t>Развитие муниципального управления</t>
  </si>
  <si>
    <t>03</t>
  </si>
  <si>
    <t>Административная реформа</t>
  </si>
  <si>
    <t>05</t>
  </si>
  <si>
    <t>Резервные фонды</t>
  </si>
  <si>
    <t>11</t>
  </si>
  <si>
    <t>99</t>
  </si>
  <si>
    <t>90010</t>
  </si>
  <si>
    <t>Другие общегосударственные вопросы</t>
  </si>
  <si>
    <t>13</t>
  </si>
  <si>
    <t>Муниципальная программа муниципального образования Апшеронский район "Поддержка социально ориентированных некоммерческих организаций"</t>
  </si>
  <si>
    <t>15</t>
  </si>
  <si>
    <t>Субсидии на поддержку социально ориентированных некоммерческих организаций</t>
  </si>
  <si>
    <t>11600</t>
  </si>
  <si>
    <t>Предоставление субсидий бюджетным, автономным учреждениям и иным некоммерческим организациям</t>
  </si>
  <si>
    <t>600</t>
  </si>
  <si>
    <t>Национальная безопасность и правоохранительная деятельность</t>
  </si>
  <si>
    <t>09</t>
  </si>
  <si>
    <t>Муниципальная программа муниципального образования Апшеронский район "Обеспечение безопасности населения"</t>
  </si>
  <si>
    <t>06</t>
  </si>
  <si>
    <t>Предупреждение и ликвидация чрезвычайных ситуаций, стихийных бедствий и их последствий в муниципальном образовании</t>
  </si>
  <si>
    <t>Обеспечение защиты населения и территории муниципального образования Апшеронский район от чрезвычайных ситуаций природного и техногенного характера</t>
  </si>
  <si>
    <t>10600</t>
  </si>
  <si>
    <t>Реализация мероприятий муниципальной программы "Обеспечение безопасности населения"</t>
  </si>
  <si>
    <t>10660</t>
  </si>
  <si>
    <t>Другие вопросы в области национальной безопасности и правоохранительной деятельности</t>
  </si>
  <si>
    <t>14</t>
  </si>
  <si>
    <t>2</t>
  </si>
  <si>
    <t>10610</t>
  </si>
  <si>
    <t>00590</t>
  </si>
  <si>
    <t>Национальная экономика</t>
  </si>
  <si>
    <t>Сельское хозяйство и рыболовство</t>
  </si>
  <si>
    <t xml:space="preserve">Муниципальная программа муниципального образования  Апшеронский район "Развитие сельского хозяйства" </t>
  </si>
  <si>
    <t>Развитие малых форм хозяйствования в АПК в муниципальном образовании Апшеронский район</t>
  </si>
  <si>
    <t>Обеспечение эпизоотического, ветеринарно-санитарного благополучия в муниципальном образовании Апшеронский район</t>
  </si>
  <si>
    <t>61650</t>
  </si>
  <si>
    <t>Дорожное хозяйство (дорожные фонды)</t>
  </si>
  <si>
    <t>Муниципальная программа муниципального образования Апшеронский район "Поддержка дорожного хозяйства"</t>
  </si>
  <si>
    <t>12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</si>
  <si>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 Апшеронский район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</si>
  <si>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</si>
  <si>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11300</t>
  </si>
  <si>
    <t>10</t>
  </si>
  <si>
    <t>11820</t>
  </si>
  <si>
    <t>Другие вопросы в области национальной экономики</t>
  </si>
  <si>
    <t>Муниципальная программа муниципального образования Апшеронский район "Экономическое развитие муниципального образования"</t>
  </si>
  <si>
    <t>Развитие малого и среднего предпринимательства в муниципальном образовании</t>
  </si>
  <si>
    <t>Финансовая поддержка субъектов малого и среднего предпринимательства</t>
  </si>
  <si>
    <t>Развитие и поддержка малого и среднего предпринимательства</t>
  </si>
  <si>
    <t>11400</t>
  </si>
  <si>
    <t>Инвестиционное развитие муниципального образования</t>
  </si>
  <si>
    <t>Создание условий для инвестиционного развития муниципального образования Апшеронский район</t>
  </si>
  <si>
    <t>Формирование и продвижение экономически и инвестиционно привлекательного образа муниципального образования Апшеронский район за его пределами</t>
  </si>
  <si>
    <t>11410</t>
  </si>
  <si>
    <t>Муниципальная программа муниципального образования Апшеронский район "Развитие санаторно-курортного и туристского комплекса"</t>
  </si>
  <si>
    <t xml:space="preserve">Реализация мероприятий муниципальной программы "Развитие санаторно-курортного и туристского комплекса" </t>
  </si>
  <si>
    <t>11500</t>
  </si>
  <si>
    <t>Социальная политика</t>
  </si>
  <si>
    <t>Социальное обеспечение и иные выплаты населению</t>
  </si>
  <si>
    <t>300</t>
  </si>
  <si>
    <t>Другие  вопросы в области социальной политики</t>
  </si>
  <si>
    <t>Межбюджетные трансферты</t>
  </si>
  <si>
    <t>500</t>
  </si>
  <si>
    <t>Профилактика терроризма и экстремизма в муниципальном образовании</t>
  </si>
  <si>
    <t>Организация физической охраны в здании администрации муниципального образования Апшеронский район</t>
  </si>
  <si>
    <t>Мероприятия по профилактике терроризма и экстремизма</t>
  </si>
  <si>
    <t>910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</si>
  <si>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</si>
  <si>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Контрольно-счетной палаты муниципального образования</t>
  </si>
  <si>
    <t>51</t>
  </si>
  <si>
    <t>Контрольно-счетная палата муниципального образования</t>
  </si>
  <si>
    <t>20010</t>
  </si>
  <si>
    <t>1 00 00000 00 0000 000</t>
  </si>
  <si>
    <t>Налоговые и неналоговые доходы</t>
  </si>
  <si>
    <t>1 01 01000 00 0000 110</t>
  </si>
  <si>
    <t>Налог на прибыль организаций*</t>
  </si>
  <si>
    <t>1 01 02000 01 0000 110</t>
  </si>
  <si>
    <t>Налог на доходы физических лиц*</t>
  </si>
  <si>
    <t>1 03 02230 01 0000 110
1 03 02240 01 0000 110
1 03 02250 01 0000 110
1 03 02260 01 0000 110</t>
  </si>
  <si>
    <t>1 05 02000 02 0000 110</t>
  </si>
  <si>
    <t>1 05 03000 01 0000 110</t>
  </si>
  <si>
    <t>Единый сельскохозяйственный налог*</t>
  </si>
  <si>
    <t>1 05 04000 02 0000 110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</si>
  <si>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</si>
  <si>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</si>
  <si>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пошлина*</t>
  </si>
  <si>
    <t>1 11 01050 05 0000 120</t>
  </si>
  <si>
    <t>1 11 05010 00 0000 120</t>
  </si>
  <si>
    <t>1 11 07015 05 0000 120</t>
  </si>
  <si>
    <t>1 12 01000 01 0000 120</t>
  </si>
  <si>
    <t>Плата за негативное воздействие на окружающую среду*</t>
  </si>
  <si>
    <t>1 14 00000 00 0000 000</t>
  </si>
  <si>
    <t>Доходы от продажи материальных и нематериальных активов*</t>
  </si>
  <si>
    <t>1 16 00000 00 0000 000</t>
  </si>
  <si>
    <t>Штрафы, санкции, возмещение ущерба*</t>
  </si>
  <si>
    <t>Иные межбюджетные трансферты*</t>
  </si>
  <si>
    <t>Всего доходов</t>
  </si>
  <si>
    <t>Распределение бюджетных ассигнований по разделам и подразделам</t>
  </si>
  <si>
    <t>№ п/п</t>
  </si>
  <si>
    <t>Всего расходов</t>
  </si>
  <si>
    <t>в том числе:</t>
  </si>
  <si>
    <t>0100</t>
  </si>
  <si>
    <t>0102</t>
  </si>
  <si>
    <t xml:space="preserve">Функционирование высшего должностного лица субъекта Российской Федерации и муниципального образования   </t>
  </si>
  <si>
    <t>0104</t>
  </si>
  <si>
    <t>0106</t>
  </si>
  <si>
    <t>0111</t>
  </si>
  <si>
    <t>0113</t>
  </si>
  <si>
    <t>0300</t>
  </si>
  <si>
    <t>0314</t>
  </si>
  <si>
    <t>0400</t>
  </si>
  <si>
    <t>0405</t>
  </si>
  <si>
    <t>0409</t>
  </si>
  <si>
    <t>0412</t>
  </si>
  <si>
    <t>0500</t>
  </si>
  <si>
    <t>Жилищно-коммунальное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</si>
  <si>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</si>
  <si>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</si>
  <si>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</si>
  <si>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</si>
  <si>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</si>
  <si>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</si>
  <si>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</si>
  <si>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</si>
  <si>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</si>
  <si>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</si>
  <si>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</si>
  <si>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</si>
  <si>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</si>
  <si>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</si>
  <si>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</si>
  <si>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Охрана семьи и детства</t>
  </si>
  <si>
    <t>Другие вопросы в области социальной политики</t>
  </si>
  <si>
    <t xml:space="preserve">Физическая культура и спорт </t>
  </si>
  <si>
    <t>1102</t>
  </si>
  <si>
    <t>Массовый спорт</t>
  </si>
  <si>
    <t>1105</t>
  </si>
  <si>
    <t>Другие вопросы в области физической культуры и спорта</t>
  </si>
  <si>
    <t xml:space="preserve">Межбюджетные трансферты общего характера бюджетам бюджетной системы Российской Федерации </t>
  </si>
  <si>
    <t>Дотации на выравнивание бюджетной обеспеченности субъектов Российской Федерации и муниципальных образований</t>
  </si>
  <si>
    <t>ВСЕГО</t>
  </si>
  <si>
    <t>Капитальные вложения в объекты государственной (муниципальной) собственности</t>
  </si>
  <si>
    <t>400</t>
  </si>
  <si>
    <t>Муниципальная программа муниципального образования Апшеронский район "Развитие образования"</t>
  </si>
  <si>
    <t>Развитие дошкольного и общего образования детей</t>
  </si>
  <si>
    <t>Мероприятия по повышению уровня безопасности  муниципальных образовательных учреждений</t>
  </si>
  <si>
    <t>Реализация мероприятий муниципальной программы "Развитие образования"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</si>
  <si>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</si>
  <si>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Развитие дополнительного образования детей</t>
  </si>
  <si>
    <t>Стипендии главы муниципального образования Апшеронский район для одаренных детей</t>
  </si>
  <si>
    <t>Обеспечение реализации муниципальной программы и прочие мероприятия в области образования</t>
  </si>
  <si>
    <t>Муниципальная программа муниципального образования Апшеронский район "Развитие культуры"</t>
  </si>
  <si>
    <t>Совершенствование деятельности муниципальных учреждений отрасли "Культура и искусство" по предоставлению муниципальных услуг</t>
  </si>
  <si>
    <t>Организация библиотечного обслуживания населения, комплектование библиотечных фондов библиотек поселения</t>
  </si>
  <si>
    <t>Обеспечение реализации муниципальной программы и прочие мероприятия в сфере культуры и искусства</t>
  </si>
  <si>
    <t>Муниципальная программа муниципального образования Апшеронский район "Развитие физической культуры и спорта"</t>
  </si>
  <si>
    <t>Развитие физической культуры и массового спорта</t>
  </si>
  <si>
    <t>Реализация мероприятий муниципальной программы "Развитие физической культуры и спорта"</t>
  </si>
  <si>
    <t>Управление реализацией муниципальной программы</t>
  </si>
  <si>
    <t>Муниципальная программа муниципального образования Апшеронский район "Развитие молодежной политики"</t>
  </si>
  <si>
    <t>Молодежь Апшеронского района</t>
  </si>
  <si>
    <t>Муниципальная программа муниципального образования Апшеронский район "Управление муниципальными финансами"</t>
  </si>
  <si>
    <t>07</t>
  </si>
  <si>
    <t>Муниципальная программа муниципального образования Апшеронский район "Управление муниципальным имуществом"</t>
  </si>
  <si>
    <t>08</t>
  </si>
  <si>
    <t>Повышение эффективности управления муниципальным имуществом и приватизации</t>
  </si>
  <si>
    <t>Оценка недвижимости, признание прав и регулирование отношений по муниципальной собственности</t>
  </si>
  <si>
    <t>Управление реализацией муниципальной программы и прочие мероприятия</t>
  </si>
  <si>
    <t xml:space="preserve">Муниципальная программа муниципального образования Апшеронский район "Социальная поддержка граждан" 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</si>
  <si>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</si>
  <si>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</si>
  <si>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Муниципальная программа муниципального образования Апшеронский район "Доступная среда"</t>
  </si>
  <si>
    <t>20</t>
  </si>
  <si>
    <t>Реализация мероприятий муниципальной программы "Доступная среда"</t>
  </si>
  <si>
    <t>Осуществление внешнего муниципального финансового контроля</t>
  </si>
  <si>
    <t>программы</t>
  </si>
  <si>
    <t>непрограммные</t>
  </si>
  <si>
    <t>(тыс.рублей)</t>
  </si>
  <si>
    <t>000 01 00 00 00 00 0000 000</t>
  </si>
  <si>
    <t>Источники внутреннего финансирования дефицитов бюджетов, всего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</si>
  <si>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</si>
  <si>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</si>
  <si>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</si>
  <si>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</si>
  <si>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</si>
  <si>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</si>
  <si>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Увеличение прочих остатков денежных средств бюджетов</t>
  </si>
  <si>
    <t>000 01 05 02 01 05 0000 510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</si>
  <si>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</si>
  <si>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</si>
  <si>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</si>
  <si>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</si>
  <si>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</si>
  <si>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</si>
  <si>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000 01 05 02 01 05 0000 610</t>
  </si>
  <si>
    <t>Дотации на выравнивание бюджетной обеспеченности поселений</t>
  </si>
  <si>
    <t>60070</t>
  </si>
  <si>
    <t>Оказание финансовой поддержки социально ориентированным некоммерческим организациям</t>
  </si>
  <si>
    <t>Содействие развитию дошкольного образования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</si>
  <si>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</si>
  <si>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60820</t>
  </si>
  <si>
    <t>60860</t>
  </si>
  <si>
    <t>Обеспечение мероприятий по противодействию терроризму и экстремизму</t>
  </si>
  <si>
    <t>Содействие развитию общего образования</t>
  </si>
  <si>
    <t>10200</t>
  </si>
  <si>
    <t>10210</t>
  </si>
  <si>
    <t>62370</t>
  </si>
  <si>
    <t>Содействие развитию дополнительного образования детей</t>
  </si>
  <si>
    <t>Выявление и поддержка одаренных детей</t>
  </si>
  <si>
    <t xml:space="preserve">Стипендии главы муниципального образования Апшеронский район для одаренных детей </t>
  </si>
  <si>
    <t>00300</t>
  </si>
  <si>
    <t>12100</t>
  </si>
  <si>
    <t>Создание условий для полноценного и безопасного отдыха детей в каникулярное время</t>
  </si>
  <si>
    <t>Совершенствование управления реализацией Программы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</si>
  <si>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 образовательную программу дошкольного образования</t>
  </si>
  <si>
    <t>60710</t>
  </si>
  <si>
    <t>Совершенствование социальной поддержки семьи и детей</t>
  </si>
  <si>
    <t>Создание условий для формирования доступной среды жизнедеятельности для инвалидов и других маломобильных групп населения</t>
  </si>
  <si>
    <t>934</t>
  </si>
  <si>
    <t>Развитие и реализация потенциала молодежи в интересах Кубани, формирование благоприятной среды, обеспечивающей всестороннее развитие личности</t>
  </si>
  <si>
    <t xml:space="preserve">Реализация мероприятий муниципальной программы "Развитие молодежной политики" </t>
  </si>
  <si>
    <t>10500</t>
  </si>
  <si>
    <t>929</t>
  </si>
  <si>
    <t>Формирование здорового образа жизни и гармоничное воспитание здорового,  физически крепкого поколения</t>
  </si>
  <si>
    <t>10400</t>
  </si>
  <si>
    <t xml:space="preserve">Массовый спорт </t>
  </si>
  <si>
    <t>953</t>
  </si>
  <si>
    <t>Муниципальная программа муниципального образования Апшеронский район "Социальная поддержка граждан"</t>
  </si>
  <si>
    <t>Другие вопросы в области социальной политики</t>
  </si>
  <si>
    <t>Создание условий для эффективного управления и распоряжения муниципальным имуществом Апшеронского района в целях увеличения доходной части бюджета муниципального образования</t>
  </si>
  <si>
    <t>10800</t>
  </si>
  <si>
    <t>Повышение эффективности осуществления закупок товаров, работ, услуг для муниципальных нужд и нужд бюджетных учреждений муниципального образования</t>
  </si>
  <si>
    <t>Государственная поддержка решения жилищной проблемы детей-сирот и детей, оставшихся без попечения родителей, лиц из числа детей-сирот и детей, оставшихся без попечения родителей</t>
  </si>
  <si>
    <t>Создание условий для эффективного управления в сфере развития системы управления муниципальным имуществом, находящимся в муниципальной собственности</t>
  </si>
  <si>
    <t>905</t>
  </si>
  <si>
    <t>Создание условий для эффективного и ответственного управления муниципальными финансами</t>
  </si>
  <si>
    <t xml:space="preserve">Выравнивание финансовых возможностей бюджетов </t>
  </si>
  <si>
    <t>Субсидии бюджетам бюджетной системы Российской Федерации (межбюджетные субсидии)*</t>
  </si>
  <si>
    <t>Создание условий для развития санаторно-курортного и туристского комплекса муниципального образования Апшеронский район</t>
  </si>
  <si>
    <t>1 11 05075 05 0000 120</t>
  </si>
  <si>
    <t>1 05 01000 00 0000 110</t>
  </si>
  <si>
    <t>Налог, взимаемый в связи с применением упрощенной системы налогообложения*</t>
  </si>
  <si>
    <t>Безвозмездные поступления</t>
  </si>
  <si>
    <t xml:space="preserve">* По видам и подвидам доходов, входящим в соответствующий группировочный код бюджетной классификации, зачисляемым в районный бюджет в соответствии с законодательством Российской Федерации.   </t>
  </si>
  <si>
    <t>926</t>
  </si>
  <si>
    <t>Реализация мероприятий муниципальной программы  "Развитие культуры"</t>
  </si>
  <si>
    <t>10300</t>
  </si>
  <si>
    <t>Содействие развитию библиотечного дела</t>
  </si>
  <si>
    <t>20020</t>
  </si>
  <si>
    <t>Содействие развитию культурно-досуговых организаций</t>
  </si>
  <si>
    <t>Организация, проведение и участие в конкурсах, фестивалях, концертах, выставках, приемах, конференциях, форумах, акциях, праздниках, семинарах, экспедициях в рамках их организации и поддержки</t>
  </si>
  <si>
    <t xml:space="preserve">Другие вопросы в области культуры, кинематографии </t>
  </si>
  <si>
    <t>Физическая культура и спорт</t>
  </si>
  <si>
    <t>Обеспечение деятельности  муниципального казенного учреждения "Ситуационный центр "Комплексное обеспечение безопасности жизнедеятельности"</t>
  </si>
  <si>
    <t>Осуществление части полномочий по решению вопросов местного значения в соответствии с заключенными соглашениями</t>
  </si>
  <si>
    <t>Рз,Пр</t>
  </si>
  <si>
    <t>000 01 05 02 01 00 0000 510</t>
  </si>
  <si>
    <t>Сохранение и развитие традиционной народной культуры муниципального образования</t>
  </si>
  <si>
    <t xml:space="preserve">Сохранение и развитие традиционной народной культуры муниципального образования </t>
  </si>
  <si>
    <t>Единый налог на вмененный доход для отдельных видов деятельности</t>
  </si>
  <si>
    <t>10670</t>
  </si>
  <si>
    <t>10690</t>
  </si>
  <si>
    <t>10680</t>
  </si>
  <si>
    <t>Реализация полномочий в области строительства, архитектуры и градостроительства</t>
  </si>
  <si>
    <t xml:space="preserve">Муниципальная программа муниципального образования Апшеронский район "Развитие топливно-энергетического комплекса и жилищно-коммунального хозяйства" </t>
  </si>
  <si>
    <t>Коммунальное хозяйство</t>
  </si>
  <si>
    <t>Газификация населенных пунктов поселений муниципального образования Апшеронский район</t>
  </si>
  <si>
    <t>0502</t>
  </si>
  <si>
    <t>10820</t>
  </si>
  <si>
    <t>Выполнение других обязательств муниципального образования</t>
  </si>
  <si>
    <t>Содержание имущества, находящегося в муниципальной казне</t>
  </si>
  <si>
    <t>Основные мероприятия муниципальной программы</t>
  </si>
  <si>
    <t>Иные межбюджетные трансферты на организацию участия аварийно-спасательного отряда в ликвидации чрезвычайных ситуаций и иных происшествий на территории сельских поселений Апшеронского района</t>
  </si>
  <si>
    <t>Иные межбюджетные трансферты на реализацию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</si>
  <si>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Иные межбюджетные трансферты на реализацию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</si>
  <si>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Субвенции бюджетам бюджетной системы Российской Федерации*</t>
  </si>
  <si>
    <t xml:space="preserve">Дотации бюджетам бюджетной системы Российской Федерации* 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</si>
  <si>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</si>
  <si>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62500</t>
  </si>
  <si>
    <t>1 11 09045 05 0000 120</t>
  </si>
  <si>
    <t>0703</t>
  </si>
  <si>
    <t>Дополнительное образование детей</t>
  </si>
  <si>
    <t xml:space="preserve">Молодежная политика </t>
  </si>
  <si>
    <t>Информатизация деятельности органов местного самоуправления</t>
  </si>
  <si>
    <t>Мероприятия по информатизации администрации муниципального образования, ее отраслевых (функциональных) органов</t>
  </si>
  <si>
    <t>11840</t>
  </si>
  <si>
    <t>Обеспечение информационной открытости и доступности информации о деятельности органов местного самоуправления</t>
  </si>
  <si>
    <t>Пенсионное обеспечение</t>
  </si>
  <si>
    <t>11850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</si>
  <si>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</t>
  </si>
  <si>
    <t>Осуществление отдельных государственных полномочий по выплате ежемесячного вознаграждения, причитающегося приемным родителям за оказание услуг по воспитанию приемных детей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</si>
  <si>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</si>
  <si>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Физическая культура</t>
  </si>
  <si>
    <t>Содействие развитию спортивных организаций</t>
  </si>
  <si>
    <t>Условно утвержденные расходы</t>
  </si>
  <si>
    <t>% УУР</t>
  </si>
  <si>
    <t>УУР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</si>
  <si>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</si>
  <si>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аппарат соцсферы</t>
  </si>
  <si>
    <t>соцкультсфера (без аппарата)</t>
  </si>
  <si>
    <t>Система комплексного обеспечения безопасности жизнедеятельности муниципального образования. Построение и развитие АПК "Безопасный город"</t>
  </si>
  <si>
    <t>10810</t>
  </si>
  <si>
    <t>Мероприятия по землеустройству и землепользованию</t>
  </si>
  <si>
    <t>Обеспечение строительства газопроводов на территории муниципального образования Апшеронский район</t>
  </si>
  <si>
    <t>20030</t>
  </si>
  <si>
    <t>Осуществление части полномочий по исполнению бюджета поселения</t>
  </si>
  <si>
    <t>Прочие обязательства муниципального образования</t>
  </si>
  <si>
    <t>62600</t>
  </si>
  <si>
    <t>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</si>
  <si>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Начальник Финансового управления</t>
  </si>
  <si>
    <t xml:space="preserve">администрации муниципального образования </t>
  </si>
  <si>
    <t>Апшеронский район</t>
  </si>
  <si>
    <t>Обеспечение своевременности и полноты исполнения долговых обязательств муниципального образования</t>
  </si>
  <si>
    <t>Процентные платежи по муниципальному долгу</t>
  </si>
  <si>
    <t>11810</t>
  </si>
  <si>
    <t>Обслуживание государственного (муниципального) долга</t>
  </si>
  <si>
    <t>700</t>
  </si>
  <si>
    <t>11880</t>
  </si>
  <si>
    <t>Материально-техническое обеспечение деятельности органов местного самоуправления муниципального образования</t>
  </si>
  <si>
    <t>09020</t>
  </si>
  <si>
    <t>000 01 03 00 00 00 0000 000</t>
  </si>
  <si>
    <t>000 01 03 01 00 00 0000 000</t>
  </si>
  <si>
    <t>000 01 03 01 00 00 0000 800</t>
  </si>
  <si>
    <t>000 01 03 01 00 05 0000 810</t>
  </si>
  <si>
    <t>1300</t>
  </si>
  <si>
    <t>1301</t>
  </si>
  <si>
    <t>Судебная система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</si>
  <si>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</si>
  <si>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</si>
  <si>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1 13 00000 00 0000 000</t>
  </si>
  <si>
    <t>О.В.Чуйко</t>
  </si>
  <si>
    <t>0105</t>
  </si>
  <si>
    <t>60740</t>
  </si>
  <si>
    <t>2 02 10000 00 0000 150</t>
  </si>
  <si>
    <t>2 02 20000 00 0000 150</t>
  </si>
  <si>
    <t>2 02 30000 00 0000 150</t>
  </si>
  <si>
    <t>Доходы от оказания платных услуг и компенсации затрат государства*</t>
  </si>
  <si>
    <t>10700</t>
  </si>
  <si>
    <t>2 02 40000 00 0000 150</t>
  </si>
  <si>
    <t>2022 год</t>
  </si>
  <si>
    <t>Осуществление отдельных государственных полномочий Краснодарского края по поддержке сельскохозяйственного производства</t>
  </si>
  <si>
    <t>S2820</t>
  </si>
  <si>
    <t>Совершенствование спортивной инфраструктуры и материально-технической базы для занятий физической культурой и массовым спортом</t>
  </si>
  <si>
    <t>16</t>
  </si>
  <si>
    <t>Создание условий для организации досуга и обеспечения жителей услугами организаций культуры</t>
  </si>
  <si>
    <t>S0560</t>
  </si>
  <si>
    <t>921</t>
  </si>
  <si>
    <t>S0620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</si>
  <si>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</si>
  <si>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С0820</t>
  </si>
  <si>
    <t>925</t>
  </si>
  <si>
    <t>1 06 02000 02 0000 110</t>
  </si>
  <si>
    <t>Налог на имущество организаций*</t>
  </si>
  <si>
    <t>Профилактика терроризма</t>
  </si>
  <si>
    <t>S0460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</si>
  <si>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</si>
  <si>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 xml:space="preserve"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</si>
  <si>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 отрасли "Физическая культура и спорт" и муниципальных организаций дополнительного образования, реализующих дополнительные общеобразовательные программы в области физической культуры и спорта, отрасли "Образование"</t>
  </si>
  <si>
    <t>Муниципальная программа муниципального образования Апшеронский район «Развитие образования»</t>
  </si>
  <si>
    <t>Обеспечение условий для развития физической культуры и массового спорта в части оплаты труда инструкторов по спорту</t>
  </si>
  <si>
    <t>63110</t>
  </si>
  <si>
    <t>Осуществление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</si>
  <si>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 xml:space="preserve"> </t>
  </si>
  <si>
    <t xml:space="preserve">Выплата пенсии за выслугу лет лицам, замещавшим муниципальные должности и должности муниципальной службы в органах местного самоуправления 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</si>
  <si>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чрезвычайной ситуации</t>
  </si>
  <si>
    <t>Резервный фонд администрации муниципального образования</t>
  </si>
  <si>
    <t>Непрограммные расходы органов местного самоуправления</t>
  </si>
  <si>
    <t>Непрограммные расходы</t>
  </si>
  <si>
    <t>Меры государственной поддержки лиц, замещавших муниципальные должности и должности муниципальной службы муниципального образования Апшеронский район</t>
  </si>
  <si>
    <t>Меры государственной поддержки лиц, замещавших муниципальные должности и  должности муниципальной службы муниципального образования Апшеронский район</t>
  </si>
  <si>
    <t xml:space="preserve">Непрограммные расходы органов 
местного самоуправления
</t>
  </si>
  <si>
    <t>Мероприятия по предупреждению и ликвидации чрезвычайных ситуаций</t>
  </si>
  <si>
    <t>Осуществление отдельных государственных полномочий по ведению учета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</si>
  <si>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</si>
  <si>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</si>
  <si>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Обслуживание государственного (муниципального) внутреннего долга</t>
  </si>
  <si>
    <t>2023 год</t>
  </si>
  <si>
    <t>Осуществление отдельных государственных полномочий Краснодарского края по организации и обеспечению отдыха и оздоровления детей (за исключением организации отдыха детей в каникулярное время)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</si>
  <si>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</si>
  <si>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</si>
  <si>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обеспечение деятельности (оказание услуг) муниципальных учреждений</t>
  </si>
  <si>
    <t>Осуществление капитального ремонта</t>
  </si>
  <si>
    <t>Мероприятия по пожарной безопасности</t>
  </si>
  <si>
    <t>10640</t>
  </si>
  <si>
    <t>Пожарная безопасность в органах местного самоуправления</t>
  </si>
  <si>
    <t>Молодежная политика</t>
  </si>
  <si>
    <t>00400</t>
  </si>
  <si>
    <t>Мероприятия по организации отдыха детей в каникулярное время</t>
  </si>
  <si>
    <t>Профилактика терроризма и экстремизма в органах местного самоуправления</t>
  </si>
  <si>
    <t xml:space="preserve">Мероприятия по информатизации администрации муниципального образования, ее отраслевых (функциональных) органов </t>
  </si>
  <si>
    <t xml:space="preserve">Мероприятия по пожарной безопасности </t>
  </si>
  <si>
    <t>F3</t>
  </si>
  <si>
    <t>67483</t>
  </si>
  <si>
    <t>67484</t>
  </si>
  <si>
    <t>Федеральный проект "Обеспечение устойчивого сокращения непригодного для проживания жилищного фонда"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</si>
  <si>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</si>
  <si>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Жилищное хозяйство</t>
  </si>
  <si>
    <t xml:space="preserve">Доходы от уплаты акцизов на дизельное топливо, моторные масла для дизельных и (или) карбюраторных (инжекторных) двигателей,  автомобильный бензин,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бюджеты*
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</si>
  <si>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</si>
  <si>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</si>
  <si>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</si>
  <si>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Бюджетные кредиты из других бюджетов бюджетной системы Российской Федерации</t>
  </si>
  <si>
    <t>Переселение граждан из аварийного жилищного фонда</t>
  </si>
  <si>
    <t>8</t>
  </si>
  <si>
    <t>Наименование кода группы, подгруппы, статьи, элемента, подвида, аналитической группы вида источников финансирования дефицитов бюджетов</t>
  </si>
  <si>
    <t>P5</t>
  </si>
  <si>
    <t>Федеральный проект "Спорт – норма жизни"</t>
  </si>
  <si>
    <t>Оснащение объектов спортивной инфраструктуры спортивно-технологическим оборудованием</t>
  </si>
  <si>
    <t>Укрепление правопорядка, профилактика правонарушений, усиление борьбы с преступностью в муниципальном образовании</t>
  </si>
  <si>
    <t>Повышение эффективности мер, принимаемых для охраны общественного порядка и профилактики правонарушений  в муниципальном образовании</t>
  </si>
  <si>
    <t>1 11 00000 00 0000 000</t>
  </si>
  <si>
    <t>Доходы от использования имущества, находящегося в государственной и муниципальной собственности*, в том числе: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</si>
  <si>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 муниципальным районам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</si>
  <si>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участков*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</si>
  <si>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</si>
  <si>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перечисления части прибыли, остающейся после уплаты налогов и иных обязательных  платежей муниципальных унитарных предприятий, созданных муниципальными районами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</si>
  <si>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</si>
  <si>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52280</t>
  </si>
  <si>
    <t>Благоустройство</t>
  </si>
  <si>
    <t>Муниципальная программа муниципального образования Апшеронский район "Развитие топливно-энергетического комплекса и жилищно-коммунального хозяйства"</t>
  </si>
  <si>
    <t>Обращение с твердыми коммунальными отходами на территории сельских поселений Апшеронского района</t>
  </si>
  <si>
    <t>Обеспечение мероприятий в области обращения с твердыми коммунальными отходами</t>
  </si>
  <si>
    <t>Создание и содержание мест (площадок) накопления твердых коммунальных отходов</t>
  </si>
  <si>
    <t>11200</t>
  </si>
  <si>
    <t>0503</t>
  </si>
  <si>
    <t>Организация газоснабжения населения (поселений) (строительство подводящих газопроводов, распределительных газопроводов)</t>
  </si>
  <si>
    <t>S0470</t>
  </si>
  <si>
    <t>Строительство, реконструкция (в том числе реконструкция объектов незавершенного строительства) и техническое перевооружение объектов общественной инфраструктуры муниципального значения, приобретение объектов недвижимости</t>
  </si>
  <si>
    <t>11190</t>
  </si>
  <si>
    <t>Обеспечение прочих мероприятий по благоустройству</t>
  </si>
  <si>
    <t xml:space="preserve">Прочие мероприятия по благоустройству </t>
  </si>
  <si>
    <t>Объем поступлений доходов в районный бюджет по кодам видов (подвидов) доходов на 2022 год и плановый период 2023 и 2024 годов</t>
  </si>
  <si>
    <t>Распределение бюджетных ассигнований по целевым статьям (муниципальным программам муниципального образования Апшеронский район и непрограммным направлениям деятельности),  группам видов расходов классификации расходов бюджетов на 2022 год</t>
  </si>
  <si>
    <t>Источники финансирования дефицита районного бюджета,                                                                                                                                                                                                                                                                перечень статей источников финансирования дефицитов бюджетов на 2022 год и плановый период 2023 и 2024 годов</t>
  </si>
  <si>
    <t>2024 год</t>
  </si>
  <si>
    <t>классификации расходов бюджетов на 2022 год и плановый период 2023 и 2024 годов</t>
  </si>
  <si>
    <t>Ведомственная структура расходов районного бюджета на 2022 год</t>
  </si>
  <si>
    <t>Распределение бюджетных ассигнований по целевым статьям (муниципальным программам муниципального образования Апшеронский район и непрограммным направлениям деятельности),  группам видов расходов классификации расходов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2023 и 2024 годы</t>
  </si>
  <si>
    <t>Ведомственная структура расходов районного бюджета на 2023 и 2024 годы</t>
  </si>
  <si>
    <t xml:space="preserve">                                Приложение 1 к решению Совета муниципального образования</t>
  </si>
  <si>
    <t xml:space="preserve">                                Приложение 2 к решению Совета муниципального образования</t>
  </si>
  <si>
    <t xml:space="preserve">                                Приложение 3 к решению Совета муниципального образования</t>
  </si>
  <si>
    <t xml:space="preserve">                                Приложение 4 к решению Совета муниципального образования</t>
  </si>
  <si>
    <t xml:space="preserve">                                Приложение 6 к решению Совета муниципального образования</t>
  </si>
  <si>
    <t xml:space="preserve">                                Приложение 7 к решению Совета муниципального образования</t>
  </si>
  <si>
    <t xml:space="preserve">                                Приложение 8 к решению Совета муниципального образования</t>
  </si>
  <si>
    <t xml:space="preserve">                                Приложение 9 к решению Совета муниципального образования</t>
  </si>
  <si>
    <t xml:space="preserve">                                Приложение 10 к решению Совета муниципального образования</t>
  </si>
  <si>
    <t xml:space="preserve">                                Приложение 11 к решению Совета муниципального образования</t>
  </si>
  <si>
    <t>6748S</t>
  </si>
  <si>
    <t>0501</t>
  </si>
  <si>
    <t>Мероприятия по профилактике детского дорожно-транспортного травматизма в муниципальных образовательных учреждениях</t>
  </si>
  <si>
    <t>10220</t>
  </si>
  <si>
    <t>53032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</si>
  <si>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(субвенции на 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организаций)</t>
  </si>
  <si>
    <t>________________________</t>
  </si>
  <si>
    <t>S3350</t>
  </si>
  <si>
    <t>Осуществление государственных полномочий Краснодарского края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 и федеральной территории "Сириус"</t>
  </si>
  <si>
    <t>Защита населения и территории муниципальных образований от чрезвычайных ситуаций природного характера на объектах туристского показа, находящихся в муниципальной собственности</t>
  </si>
  <si>
    <t>10830</t>
  </si>
  <si>
    <t>Внесение вкладов в имущество</t>
  </si>
  <si>
    <t>Внесение вкладов в имущество ООО "Тепловые сети Апшеронского района"</t>
  </si>
  <si>
    <t>до изменений (скрыть)</t>
  </si>
  <si>
    <t>10230</t>
  </si>
  <si>
    <t>Обеспечение функционирования системы персонифицированного финансирования дополнительного образования детей</t>
  </si>
  <si>
    <t>0705</t>
  </si>
  <si>
    <t>Профессиональная подготовка, переподготовка и повышение квалификации</t>
  </si>
  <si>
    <t>10240</t>
  </si>
  <si>
    <t>Мероприятия по переподготовке и повышению квалификации кадров</t>
  </si>
  <si>
    <t>Ремонт и укрепление материально-технической базы, техническое оснащение муниципальных учреждений культуры и (или) детских музыкальных школ, художественных школ, школ искусств, домов детского творчества</t>
  </si>
  <si>
    <t>S0640</t>
  </si>
  <si>
    <t>S2560</t>
  </si>
  <si>
    <t>Подготовка изменений в генеральные планы муниципальных образований Краснодарского края</t>
  </si>
  <si>
    <t>69200</t>
  </si>
  <si>
    <t>69180</t>
  </si>
  <si>
    <t>69190</t>
  </si>
  <si>
    <t>69100</t>
  </si>
  <si>
    <t>69130</t>
  </si>
  <si>
    <t>69110</t>
  </si>
  <si>
    <t>69140</t>
  </si>
  <si>
    <t>69170</t>
  </si>
  <si>
    <t>S3550</t>
  </si>
  <si>
    <t>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</t>
  </si>
  <si>
    <t>63540</t>
  </si>
  <si>
    <t>Осуществление отдельных государственных полномочий по обеспечению бесплатным двухразовым питанием детей-инвалидов (инвалидов), не являющихся обучающимися с ограниченными возможностями здоровья, получающих начальное общее, основное общее и среднее общее образование в муниципальных общеобразовательных организациях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</si>
  <si>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зданий и сооружений, благоустройство территорий, прилегающих к зданиям и сооружениям муниципальных образовательных организаций)</t>
  </si>
  <si>
    <t>S3410</t>
  </si>
  <si>
    <t>R0820</t>
  </si>
  <si>
    <t>Апшеронский район от 23.12.2021 № 89</t>
  </si>
  <si>
    <t>Апшеронский район от___________№___</t>
  </si>
  <si>
    <t xml:space="preserve">                                Приложение 5 к решению Совета муниципального образования</t>
  </si>
  <si>
    <t>изменения</t>
  </si>
  <si>
    <t>с учетом изменений</t>
  </si>
  <si>
    <t>11110</t>
  </si>
  <si>
    <t>Реализация мероприятий по газификации населенных пунктов поселений муниципального образования Апшеронский район</t>
  </si>
  <si>
    <t>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</si>
  <si>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</si>
  <si>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(субвенции на осуществление отдельных государственных полномочий Краснодарского края на 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организаций)</t>
  </si>
  <si>
    <t>Содействие развитию физической культуры и спорта</t>
  </si>
  <si>
    <t>Мероприятия по повышению уровня безопасности муниципальных образовательных учреждений</t>
  </si>
  <si>
    <t>Реализация мероприятий в области строительства, архитектуры и градостроительства</t>
  </si>
  <si>
    <t>11420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</si>
</sst>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#,##0.0"/>
    <numFmt numFmtId="168" formatCode="0.00000"/>
    <numFmt numFmtId="169" formatCode="0.0_ ;[Red]\-0.0\ "/>
    <numFmt numFmtId="170" formatCode="#,##0.00000"/>
    <numFmt numFmtId="171" formatCode="0.000000"/>
    <numFmt numFmtId="172" formatCode="0.00000_ ;[Red]\-0.00000\ "/>
    <numFmt numFmtId="173" formatCode="_-* #,##0.00000_р_._-;\-* #,##0.00000_р_._-;_-* &quot;-&quot;?????_р_._-;_-@_-"/>
    <numFmt numFmtId="174" formatCode="0.000"/>
    <numFmt numFmtId="175" formatCode="#,##0.0_ ;\-#,##0.0\ "/>
    <numFmt numFmtId="176" formatCode="#,##0.0_ ;[Red]\-#,##0.0\ "/>
    <numFmt numFmtId="177" formatCode="0.0000"/>
  </numFmts>
  <fonts count="27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</font>
    <font>
      <sz val="14"/>
      <name val="Arial"/>
      <family val="2"/>
      <charset val="204"/>
    </font>
    <font>
      <b/>
      <sz val="12"/>
      <name val="Times New Roman"/>
      <family val="1"/>
    </font>
    <font>
      <sz val="14"/>
      <name val="Arial Cyr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</font>
    <font>
      <sz val="14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color rgb="FF8A0000"/>
      <name val="Times New Roman"/>
      <family val="1"/>
    </font>
    <font>
      <sz val="14"/>
      <color rgb="FFC00000"/>
      <name val="Times New Roman"/>
      <family val="1"/>
    </font>
    <font>
      <sz val="11"/>
      <color rgb="FFC00000"/>
      <name val="Calibri"/>
      <family val="2"/>
      <scheme val="minor"/>
    </font>
    <font>
      <sz val="14"/>
      <color rgb="FF8A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20">
    <xf numFmtId="0" fontId="0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8" fillId="0" borderId="0"/>
    <xf numFmtId="0" fontId="6" fillId="0" borderId="0"/>
    <xf numFmtId="0" fontId="6" fillId="0" borderId="0"/>
    <xf numFmtId="0" fontId="5" fillId="0" borderId="0"/>
    <xf numFmtId="0" fontId="6" fillId="0" borderId="0"/>
    <xf numFmtId="165" fontId="6" fillId="0" borderId="0" applyFont="0" applyFill="0" applyBorder="0" applyAlignment="0" applyProtection="0"/>
    <xf numFmtId="0" fontId="8" fillId="0" borderId="0"/>
    <xf numFmtId="0" fontId="8" fillId="0" borderId="0"/>
    <xf numFmtId="164" fontId="16" fillId="0" borderId="0" applyFont="0" applyFill="0" applyBorder="0" applyAlignment="0" applyProtection="0"/>
    <xf numFmtId="0" fontId="8" fillId="0" borderId="0"/>
    <xf numFmtId="0" fontId="5" fillId="0" borderId="0"/>
    <xf numFmtId="0" fontId="8" fillId="0" borderId="0"/>
    <xf numFmtId="0" fontId="16" fillId="0" borderId="0"/>
    <xf numFmtId="0" fontId="6" fillId="0" borderId="0"/>
    <xf numFmtId="43" fontId="16" fillId="0" borderId="0" applyFont="0" applyFill="0" applyBorder="0" applyAlignment="0" applyProtection="0"/>
  </cellStyleXfs>
  <cellXfs count="643">
    <xf numFmtId="0" fontId="0" fillId="0" borderId="0" xfId="0"/>
    <xf numFmtId="0" fontId="15" fillId="2" borderId="0" xfId="0" applyFont="1" applyFill="1"/>
    <xf numFmtId="0" fontId="7" fillId="2" borderId="0" xfId="0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 vertical="top" wrapText="1"/>
    </xf>
    <xf numFmtId="49" fontId="7" fillId="2" borderId="0" xfId="0" applyNumberFormat="1" applyFont="1" applyFill="1" applyBorder="1" applyAlignment="1">
      <alignment horizontal="center"/>
    </xf>
    <xf numFmtId="168" fontId="15" fillId="2" borderId="0" xfId="0" applyNumberFormat="1" applyFont="1" applyFill="1" applyBorder="1" applyAlignment="1"/>
    <xf numFmtId="168" fontId="7" fillId="2" borderId="0" xfId="0" applyNumberFormat="1" applyFont="1" applyFill="1" applyAlignment="1">
      <alignment horizontal="center"/>
    </xf>
    <xf numFmtId="0" fontId="7" fillId="2" borderId="0" xfId="0" applyFont="1" applyFill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vertical="top" wrapText="1"/>
    </xf>
    <xf numFmtId="49" fontId="1" fillId="2" borderId="1" xfId="6" applyNumberFormat="1" applyFont="1" applyFill="1" applyBorder="1" applyAlignment="1">
      <alignment horizontal="center" vertical="top" wrapText="1"/>
    </xf>
    <xf numFmtId="49" fontId="1" fillId="2" borderId="1" xfId="6" applyNumberFormat="1" applyFont="1" applyFill="1" applyBorder="1" applyAlignment="1">
      <alignment horizontal="center" vertical="top"/>
    </xf>
    <xf numFmtId="49" fontId="1" fillId="2" borderId="2" xfId="6" applyNumberFormat="1" applyFont="1" applyFill="1" applyBorder="1" applyAlignment="1">
      <alignment horizontal="center" vertical="top"/>
    </xf>
    <xf numFmtId="49" fontId="1" fillId="2" borderId="9" xfId="6" applyNumberFormat="1" applyFont="1" applyFill="1" applyBorder="1" applyAlignment="1">
      <alignment horizontal="center" vertical="top"/>
    </xf>
    <xf numFmtId="49" fontId="1" fillId="2" borderId="3" xfId="6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wrapText="1"/>
    </xf>
    <xf numFmtId="166" fontId="1" fillId="2" borderId="1" xfId="0" applyNumberFormat="1" applyFont="1" applyFill="1" applyBorder="1" applyAlignment="1">
      <alignment horizontal="right"/>
    </xf>
    <xf numFmtId="49" fontId="1" fillId="2" borderId="3" xfId="4" applyNumberFormat="1" applyFont="1" applyFill="1" applyBorder="1" applyAlignment="1" applyProtection="1">
      <alignment horizontal="left" wrapText="1"/>
      <protection hidden="1"/>
    </xf>
    <xf numFmtId="49" fontId="1" fillId="2" borderId="3" xfId="5" applyNumberFormat="1" applyFont="1" applyFill="1" applyBorder="1" applyAlignment="1">
      <alignment horizontal="left" wrapText="1"/>
    </xf>
    <xf numFmtId="49" fontId="1" fillId="2" borderId="3" xfId="6" applyNumberFormat="1" applyFont="1" applyFill="1" applyBorder="1" applyAlignment="1">
      <alignment horizontal="left" wrapText="1"/>
    </xf>
    <xf numFmtId="49" fontId="1" fillId="2" borderId="3" xfId="0" applyNumberFormat="1" applyFont="1" applyFill="1" applyBorder="1" applyAlignment="1">
      <alignment horizontal="left" wrapText="1"/>
    </xf>
    <xf numFmtId="49" fontId="1" fillId="2" borderId="3" xfId="5" applyNumberFormat="1" applyFont="1" applyFill="1" applyBorder="1" applyAlignment="1">
      <alignment wrapText="1"/>
    </xf>
    <xf numFmtId="49" fontId="1" fillId="2" borderId="14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2" xfId="6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166" fontId="15" fillId="2" borderId="0" xfId="0" applyNumberFormat="1" applyFont="1" applyFill="1"/>
    <xf numFmtId="166" fontId="3" fillId="2" borderId="0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/>
    <xf numFmtId="0" fontId="18" fillId="2" borderId="0" xfId="0" applyFont="1" applyFill="1"/>
    <xf numFmtId="11" fontId="1" fillId="2" borderId="3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 vertical="top"/>
    </xf>
    <xf numFmtId="0" fontId="3" fillId="2" borderId="0" xfId="7" applyFont="1" applyFill="1" applyBorder="1" applyAlignment="1">
      <alignment horizontal="left"/>
    </xf>
    <xf numFmtId="49" fontId="9" fillId="2" borderId="0" xfId="7" applyNumberFormat="1" applyFont="1" applyFill="1" applyBorder="1" applyAlignment="1">
      <alignment vertical="top" wrapText="1"/>
    </xf>
    <xf numFmtId="49" fontId="10" fillId="2" borderId="0" xfId="7" applyNumberFormat="1" applyFont="1" applyFill="1" applyBorder="1" applyAlignment="1">
      <alignment horizontal="center"/>
    </xf>
    <xf numFmtId="166" fontId="4" fillId="2" borderId="0" xfId="7" applyNumberFormat="1" applyFont="1" applyFill="1" applyBorder="1" applyAlignment="1"/>
    <xf numFmtId="168" fontId="10" fillId="2" borderId="0" xfId="7" applyNumberFormat="1" applyFont="1" applyFill="1"/>
    <xf numFmtId="0" fontId="10" fillId="2" borderId="0" xfId="7" applyFont="1" applyFill="1"/>
    <xf numFmtId="0" fontId="3" fillId="2" borderId="0" xfId="7" applyFont="1" applyFill="1" applyAlignment="1">
      <alignment horizontal="left"/>
    </xf>
    <xf numFmtId="168" fontId="3" fillId="2" borderId="0" xfId="7" applyNumberFormat="1" applyFont="1" applyFill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vertical="top"/>
    </xf>
    <xf numFmtId="0" fontId="3" fillId="2" borderId="0" xfId="0" applyFont="1" applyFill="1" applyAlignment="1">
      <alignment horizontal="left" vertical="top" wrapText="1"/>
    </xf>
    <xf numFmtId="166" fontId="1" fillId="2" borderId="1" xfId="0" applyNumberFormat="1" applyFont="1" applyFill="1" applyBorder="1" applyAlignment="1">
      <alignment vertical="top" wrapText="1"/>
    </xf>
    <xf numFmtId="49" fontId="3" fillId="2" borderId="5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166" fontId="18" fillId="2" borderId="0" xfId="0" applyNumberFormat="1" applyFont="1" applyFill="1" applyBorder="1"/>
    <xf numFmtId="0" fontId="15" fillId="2" borderId="0" xfId="0" applyFont="1" applyFill="1" applyBorder="1"/>
    <xf numFmtId="166" fontId="3" fillId="2" borderId="0" xfId="0" applyNumberFormat="1" applyFont="1" applyFill="1" applyBorder="1"/>
    <xf numFmtId="166" fontId="15" fillId="2" borderId="0" xfId="0" applyNumberFormat="1" applyFont="1" applyFill="1" applyBorder="1"/>
    <xf numFmtId="0" fontId="7" fillId="2" borderId="0" xfId="7" applyFont="1" applyFill="1"/>
    <xf numFmtId="166" fontId="7" fillId="2" borderId="0" xfId="7" applyNumberFormat="1" applyFont="1" applyFill="1"/>
    <xf numFmtId="49" fontId="13" fillId="2" borderId="0" xfId="7" applyNumberFormat="1" applyFont="1" applyFill="1" applyBorder="1" applyAlignment="1">
      <alignment vertical="top" wrapText="1"/>
    </xf>
    <xf numFmtId="49" fontId="7" fillId="2" borderId="0" xfId="7" applyNumberFormat="1" applyFont="1" applyFill="1" applyBorder="1" applyAlignment="1">
      <alignment horizontal="center"/>
    </xf>
    <xf numFmtId="49" fontId="1" fillId="2" borderId="1" xfId="7" applyNumberFormat="1" applyFont="1" applyFill="1" applyBorder="1" applyAlignment="1">
      <alignment horizontal="center"/>
    </xf>
    <xf numFmtId="0" fontId="1" fillId="2" borderId="1" xfId="7" applyFont="1" applyFill="1" applyBorder="1" applyAlignment="1">
      <alignment horizontal="center" vertical="top"/>
    </xf>
    <xf numFmtId="49" fontId="2" fillId="2" borderId="1" xfId="7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wrapText="1"/>
    </xf>
    <xf numFmtId="49" fontId="1" fillId="2" borderId="1" xfId="5" applyNumberFormat="1" applyFont="1" applyFill="1" applyBorder="1" applyAlignment="1">
      <alignment horizontal="left" wrapText="1"/>
    </xf>
    <xf numFmtId="49" fontId="1" fillId="2" borderId="19" xfId="11" applyNumberFormat="1" applyFont="1" applyFill="1" applyBorder="1" applyAlignment="1">
      <alignment wrapText="1"/>
    </xf>
    <xf numFmtId="49" fontId="1" fillId="2" borderId="17" xfId="11" applyNumberFormat="1" applyFont="1" applyFill="1" applyBorder="1" applyAlignment="1">
      <alignment horizontal="center"/>
    </xf>
    <xf numFmtId="49" fontId="1" fillId="2" borderId="18" xfId="16" applyNumberFormat="1" applyFont="1" applyFill="1" applyBorder="1" applyAlignment="1">
      <alignment horizontal="center"/>
    </xf>
    <xf numFmtId="49" fontId="1" fillId="2" borderId="19" xfId="16" applyNumberFormat="1" applyFont="1" applyFill="1" applyBorder="1" applyAlignment="1">
      <alignment horizontal="center"/>
    </xf>
    <xf numFmtId="49" fontId="1" fillId="2" borderId="16" xfId="16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wrapText="1"/>
    </xf>
    <xf numFmtId="0" fontId="2" fillId="2" borderId="1" xfId="7" applyFont="1" applyFill="1" applyBorder="1" applyAlignment="1">
      <alignment horizontal="center" vertical="top"/>
    </xf>
    <xf numFmtId="49" fontId="2" fillId="2" borderId="9" xfId="7" applyNumberFormat="1" applyFont="1" applyFill="1" applyBorder="1" applyAlignment="1">
      <alignment horizontal="center"/>
    </xf>
    <xf numFmtId="49" fontId="2" fillId="2" borderId="3" xfId="7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 wrapText="1"/>
    </xf>
    <xf numFmtId="49" fontId="1" fillId="2" borderId="9" xfId="6" applyNumberFormat="1" applyFont="1" applyFill="1" applyBorder="1" applyAlignment="1">
      <alignment horizontal="center"/>
    </xf>
    <xf numFmtId="49" fontId="1" fillId="2" borderId="3" xfId="6" applyNumberFormat="1" applyFont="1" applyFill="1" applyBorder="1" applyAlignment="1">
      <alignment horizontal="center"/>
    </xf>
    <xf numFmtId="49" fontId="1" fillId="2" borderId="1" xfId="6" applyNumberFormat="1" applyFont="1" applyFill="1" applyBorder="1" applyAlignment="1">
      <alignment horizontal="center"/>
    </xf>
    <xf numFmtId="49" fontId="1" fillId="2" borderId="0" xfId="7" applyNumberFormat="1" applyFont="1" applyFill="1" applyBorder="1" applyAlignment="1">
      <alignment horizontal="center"/>
    </xf>
    <xf numFmtId="49" fontId="1" fillId="2" borderId="17" xfId="6" applyNumberFormat="1" applyFont="1" applyFill="1" applyBorder="1" applyAlignment="1">
      <alignment horizontal="center"/>
    </xf>
    <xf numFmtId="49" fontId="1" fillId="2" borderId="18" xfId="14" applyNumberFormat="1" applyFont="1" applyFill="1" applyBorder="1" applyAlignment="1">
      <alignment horizontal="center"/>
    </xf>
    <xf numFmtId="49" fontId="1" fillId="2" borderId="19" xfId="14" applyNumberFormat="1" applyFont="1" applyFill="1" applyBorder="1" applyAlignment="1">
      <alignment horizontal="center"/>
    </xf>
    <xf numFmtId="49" fontId="1" fillId="2" borderId="21" xfId="14" applyNumberFormat="1" applyFont="1" applyFill="1" applyBorder="1" applyAlignment="1">
      <alignment horizontal="center"/>
    </xf>
    <xf numFmtId="49" fontId="1" fillId="2" borderId="16" xfId="14" applyNumberFormat="1" applyFont="1" applyFill="1" applyBorder="1" applyAlignment="1">
      <alignment horizontal="center"/>
    </xf>
    <xf numFmtId="49" fontId="1" fillId="2" borderId="20" xfId="6" applyNumberFormat="1" applyFont="1" applyFill="1" applyBorder="1" applyAlignment="1">
      <alignment horizontal="center"/>
    </xf>
    <xf numFmtId="49" fontId="1" fillId="2" borderId="20" xfId="14" applyNumberFormat="1" applyFont="1" applyFill="1" applyBorder="1" applyAlignment="1">
      <alignment horizontal="center"/>
    </xf>
    <xf numFmtId="49" fontId="1" fillId="2" borderId="19" xfId="5" applyNumberFormat="1" applyFont="1" applyFill="1" applyBorder="1" applyAlignment="1">
      <alignment wrapText="1"/>
    </xf>
    <xf numFmtId="49" fontId="1" fillId="2" borderId="17" xfId="5" applyNumberFormat="1" applyFont="1" applyFill="1" applyBorder="1" applyAlignment="1">
      <alignment horizontal="center"/>
    </xf>
    <xf numFmtId="49" fontId="1" fillId="2" borderId="18" xfId="5" applyNumberFormat="1" applyFont="1" applyFill="1" applyBorder="1" applyAlignment="1">
      <alignment horizontal="center"/>
    </xf>
    <xf numFmtId="49" fontId="1" fillId="2" borderId="19" xfId="5" applyNumberFormat="1" applyFont="1" applyFill="1" applyBorder="1" applyAlignment="1">
      <alignment horizontal="center"/>
    </xf>
    <xf numFmtId="49" fontId="1" fillId="2" borderId="16" xfId="5" applyNumberFormat="1" applyFont="1" applyFill="1" applyBorder="1" applyAlignment="1">
      <alignment horizontal="center"/>
    </xf>
    <xf numFmtId="49" fontId="1" fillId="2" borderId="19" xfId="16" applyNumberFormat="1" applyFont="1" applyFill="1" applyBorder="1" applyAlignment="1">
      <alignment wrapText="1"/>
    </xf>
    <xf numFmtId="49" fontId="1" fillId="2" borderId="19" xfId="16" applyNumberFormat="1" applyFont="1" applyFill="1" applyBorder="1" applyAlignment="1">
      <alignment horizontal="center" wrapText="1"/>
    </xf>
    <xf numFmtId="49" fontId="1" fillId="2" borderId="0" xfId="0" applyNumberFormat="1" applyFont="1" applyFill="1" applyBorder="1" applyAlignment="1">
      <alignment wrapText="1"/>
    </xf>
    <xf numFmtId="49" fontId="1" fillId="2" borderId="0" xfId="0" applyNumberFormat="1" applyFont="1" applyFill="1" applyBorder="1" applyAlignment="1">
      <alignment horizontal="center"/>
    </xf>
    <xf numFmtId="166" fontId="2" fillId="2" borderId="0" xfId="7" applyNumberFormat="1" applyFont="1" applyFill="1" applyBorder="1" applyAlignment="1"/>
    <xf numFmtId="0" fontId="1" fillId="2" borderId="0" xfId="7" applyFont="1" applyFill="1" applyBorder="1" applyAlignment="1">
      <alignment horizontal="left"/>
    </xf>
    <xf numFmtId="0" fontId="1" fillId="2" borderId="0" xfId="7" applyFont="1" applyFill="1" applyAlignment="1">
      <alignment horizontal="left"/>
    </xf>
    <xf numFmtId="168" fontId="1" fillId="2" borderId="0" xfId="7" applyNumberFormat="1" applyFont="1" applyFill="1" applyAlignment="1">
      <alignment horizontal="right"/>
    </xf>
    <xf numFmtId="166" fontId="2" fillId="2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center" vertical="top"/>
    </xf>
    <xf numFmtId="0" fontId="13" fillId="2" borderId="0" xfId="0" applyFont="1" applyFill="1"/>
    <xf numFmtId="168" fontId="15" fillId="2" borderId="0" xfId="0" applyNumberFormat="1" applyFont="1" applyFill="1"/>
    <xf numFmtId="168" fontId="3" fillId="2" borderId="0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vertical="top" wrapText="1"/>
    </xf>
    <xf numFmtId="0" fontId="9" fillId="2" borderId="0" xfId="0" applyFont="1" applyFill="1"/>
    <xf numFmtId="0" fontId="10" fillId="2" borderId="0" xfId="0" applyFont="1" applyFill="1"/>
    <xf numFmtId="0" fontId="20" fillId="2" borderId="0" xfId="0" applyFont="1" applyFill="1"/>
    <xf numFmtId="0" fontId="2" fillId="2" borderId="16" xfId="16" applyFont="1" applyFill="1" applyBorder="1" applyAlignment="1">
      <alignment horizontal="center" vertical="top"/>
    </xf>
    <xf numFmtId="49" fontId="2" fillId="2" borderId="19" xfId="16" applyNumberFormat="1" applyFont="1" applyFill="1" applyBorder="1" applyAlignment="1">
      <alignment wrapText="1"/>
    </xf>
    <xf numFmtId="49" fontId="2" fillId="2" borderId="16" xfId="16" applyNumberFormat="1" applyFont="1" applyFill="1" applyBorder="1" applyAlignment="1">
      <alignment horizontal="center" wrapText="1"/>
    </xf>
    <xf numFmtId="49" fontId="2" fillId="2" borderId="16" xfId="16" applyNumberFormat="1" applyFont="1" applyFill="1" applyBorder="1" applyAlignment="1">
      <alignment horizontal="center"/>
    </xf>
    <xf numFmtId="49" fontId="2" fillId="2" borderId="25" xfId="16" applyNumberFormat="1" applyFont="1" applyFill="1" applyBorder="1" applyAlignment="1">
      <alignment horizontal="center"/>
    </xf>
    <xf numFmtId="49" fontId="2" fillId="2" borderId="20" xfId="16" applyNumberFormat="1" applyFont="1" applyFill="1" applyBorder="1" applyAlignment="1">
      <alignment horizontal="center"/>
    </xf>
    <xf numFmtId="49" fontId="2" fillId="2" borderId="26" xfId="16" applyNumberFormat="1" applyFont="1" applyFill="1" applyBorder="1" applyAlignment="1">
      <alignment horizontal="center"/>
    </xf>
    <xf numFmtId="166" fontId="2" fillId="2" borderId="16" xfId="16" applyNumberFormat="1" applyFont="1" applyFill="1" applyBorder="1" applyAlignment="1">
      <alignment horizontal="right"/>
    </xf>
    <xf numFmtId="0" fontId="13" fillId="2" borderId="0" xfId="16" applyFont="1" applyFill="1"/>
    <xf numFmtId="0" fontId="1" fillId="2" borderId="16" xfId="16" applyFont="1" applyFill="1" applyBorder="1" applyAlignment="1">
      <alignment horizontal="center" vertical="top"/>
    </xf>
    <xf numFmtId="49" fontId="1" fillId="2" borderId="16" xfId="11" applyNumberFormat="1" applyFont="1" applyFill="1" applyBorder="1" applyAlignment="1">
      <alignment horizontal="center" wrapText="1"/>
    </xf>
    <xf numFmtId="49" fontId="1" fillId="2" borderId="16" xfId="11" applyNumberFormat="1" applyFont="1" applyFill="1" applyBorder="1" applyAlignment="1">
      <alignment horizontal="center"/>
    </xf>
    <xf numFmtId="49" fontId="1" fillId="2" borderId="17" xfId="16" applyNumberFormat="1" applyFont="1" applyFill="1" applyBorder="1" applyAlignment="1">
      <alignment horizontal="center"/>
    </xf>
    <xf numFmtId="166" fontId="1" fillId="2" borderId="16" xfId="16" applyNumberFormat="1" applyFont="1" applyFill="1" applyBorder="1" applyAlignment="1">
      <alignment horizontal="right"/>
    </xf>
    <xf numFmtId="0" fontId="7" fillId="2" borderId="0" xfId="16" applyFont="1" applyFill="1"/>
    <xf numFmtId="49" fontId="1" fillId="2" borderId="25" xfId="11" applyNumberFormat="1" applyFont="1" applyFill="1" applyBorder="1" applyAlignment="1">
      <alignment horizontal="center"/>
    </xf>
    <xf numFmtId="49" fontId="1" fillId="2" borderId="20" xfId="16" applyNumberFormat="1" applyFont="1" applyFill="1" applyBorder="1" applyAlignment="1">
      <alignment horizontal="center"/>
    </xf>
    <xf numFmtId="49" fontId="1" fillId="2" borderId="26" xfId="16" applyNumberFormat="1" applyFont="1" applyFill="1" applyBorder="1" applyAlignment="1">
      <alignment horizontal="center"/>
    </xf>
    <xf numFmtId="49" fontId="1" fillId="2" borderId="25" xfId="6" applyNumberFormat="1" applyFont="1" applyFill="1" applyBorder="1" applyAlignment="1">
      <alignment horizontal="center"/>
    </xf>
    <xf numFmtId="49" fontId="1" fillId="2" borderId="18" xfId="16" applyNumberFormat="1" applyFont="1" applyFill="1" applyBorder="1" applyAlignment="1">
      <alignment wrapText="1"/>
    </xf>
    <xf numFmtId="49" fontId="1" fillId="2" borderId="18" xfId="6" applyNumberFormat="1" applyFont="1" applyFill="1" applyBorder="1" applyAlignment="1">
      <alignment horizontal="center"/>
    </xf>
    <xf numFmtId="49" fontId="1" fillId="2" borderId="19" xfId="8" applyNumberFormat="1" applyFont="1" applyFill="1" applyBorder="1" applyAlignment="1">
      <alignment wrapText="1"/>
    </xf>
    <xf numFmtId="0" fontId="1" fillId="2" borderId="16" xfId="5" applyFont="1" applyFill="1" applyBorder="1" applyAlignment="1">
      <alignment horizontal="center" vertical="top"/>
    </xf>
    <xf numFmtId="49" fontId="1" fillId="2" borderId="19" xfId="5" applyNumberFormat="1" applyFont="1" applyFill="1" applyBorder="1" applyAlignment="1">
      <alignment horizontal="left" wrapText="1"/>
    </xf>
    <xf numFmtId="49" fontId="1" fillId="2" borderId="16" xfId="5" applyNumberFormat="1" applyFont="1" applyFill="1" applyBorder="1" applyAlignment="1">
      <alignment horizontal="center" wrapText="1"/>
    </xf>
    <xf numFmtId="0" fontId="7" fillId="2" borderId="0" xfId="5" applyFont="1" applyFill="1"/>
    <xf numFmtId="49" fontId="1" fillId="2" borderId="19" xfId="16" applyNumberFormat="1" applyFont="1" applyFill="1" applyBorder="1" applyAlignment="1">
      <alignment horizontal="left" wrapText="1"/>
    </xf>
    <xf numFmtId="0" fontId="13" fillId="2" borderId="0" xfId="5" applyFont="1" applyFill="1"/>
    <xf numFmtId="166" fontId="9" fillId="2" borderId="0" xfId="0" applyNumberFormat="1" applyFont="1" applyFill="1"/>
    <xf numFmtId="166" fontId="10" fillId="2" borderId="0" xfId="0" applyNumberFormat="1" applyFont="1" applyFill="1"/>
    <xf numFmtId="49" fontId="2" fillId="2" borderId="3" xfId="0" applyNumberFormat="1" applyFont="1" applyFill="1" applyBorder="1" applyAlignment="1">
      <alignment horizontal="left" wrapText="1"/>
    </xf>
    <xf numFmtId="49" fontId="1" fillId="2" borderId="1" xfId="6" applyNumberFormat="1" applyFont="1" applyFill="1" applyBorder="1" applyAlignment="1">
      <alignment horizontal="center" wrapText="1"/>
    </xf>
    <xf numFmtId="168" fontId="7" fillId="2" borderId="0" xfId="7" applyNumberFormat="1" applyFont="1" applyFill="1"/>
    <xf numFmtId="0" fontId="17" fillId="2" borderId="0" xfId="0" applyFont="1" applyFill="1"/>
    <xf numFmtId="168" fontId="17" fillId="2" borderId="0" xfId="0" applyNumberFormat="1" applyFont="1" applyFill="1"/>
    <xf numFmtId="166" fontId="10" fillId="2" borderId="1" xfId="0" applyNumberFormat="1" applyFont="1" applyFill="1" applyBorder="1"/>
    <xf numFmtId="49" fontId="4" fillId="2" borderId="1" xfId="0" applyNumberFormat="1" applyFont="1" applyFill="1" applyBorder="1" applyAlignment="1">
      <alignment horizontal="center"/>
    </xf>
    <xf numFmtId="166" fontId="9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left"/>
    </xf>
    <xf numFmtId="168" fontId="3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left" wrapText="1"/>
    </xf>
    <xf numFmtId="172" fontId="7" fillId="2" borderId="0" xfId="0" applyNumberFormat="1" applyFont="1" applyFill="1"/>
    <xf numFmtId="166" fontId="3" fillId="2" borderId="0" xfId="0" applyNumberFormat="1" applyFont="1" applyFill="1" applyAlignment="1">
      <alignment horizontal="right"/>
    </xf>
    <xf numFmtId="49" fontId="1" fillId="2" borderId="16" xfId="12" applyNumberFormat="1" applyFont="1" applyFill="1" applyBorder="1" applyAlignment="1">
      <alignment horizontal="center" wrapText="1"/>
    </xf>
    <xf numFmtId="49" fontId="1" fillId="2" borderId="16" xfId="12" applyNumberFormat="1" applyFont="1" applyFill="1" applyBorder="1" applyAlignment="1">
      <alignment horizontal="center"/>
    </xf>
    <xf numFmtId="49" fontId="1" fillId="2" borderId="17" xfId="12" applyNumberFormat="1" applyFont="1" applyFill="1" applyBorder="1" applyAlignment="1">
      <alignment horizontal="center"/>
    </xf>
    <xf numFmtId="49" fontId="1" fillId="2" borderId="18" xfId="12" applyNumberFormat="1" applyFont="1" applyFill="1" applyBorder="1" applyAlignment="1">
      <alignment horizontal="center"/>
    </xf>
    <xf numFmtId="49" fontId="1" fillId="2" borderId="19" xfId="12" applyNumberFormat="1" applyFont="1" applyFill="1" applyBorder="1" applyAlignment="1">
      <alignment horizontal="center"/>
    </xf>
    <xf numFmtId="172" fontId="7" fillId="2" borderId="0" xfId="16" applyNumberFormat="1" applyFont="1" applyFill="1"/>
    <xf numFmtId="49" fontId="1" fillId="2" borderId="0" xfId="16" applyNumberFormat="1" applyFont="1" applyFill="1" applyBorder="1" applyAlignment="1">
      <alignment horizontal="center"/>
    </xf>
    <xf numFmtId="0" fontId="1" fillId="2" borderId="21" xfId="14" applyFont="1" applyFill="1" applyBorder="1" applyAlignment="1">
      <alignment horizontal="center" vertical="top"/>
    </xf>
    <xf numFmtId="49" fontId="1" fillId="2" borderId="22" xfId="14" applyNumberFormat="1" applyFont="1" applyFill="1" applyBorder="1" applyAlignment="1">
      <alignment wrapText="1"/>
    </xf>
    <xf numFmtId="49" fontId="1" fillId="2" borderId="27" xfId="11" applyNumberFormat="1" applyFont="1" applyFill="1" applyBorder="1" applyAlignment="1">
      <alignment horizontal="center" wrapText="1"/>
    </xf>
    <xf numFmtId="49" fontId="1" fillId="2" borderId="27" xfId="11" applyNumberFormat="1" applyFont="1" applyFill="1" applyBorder="1" applyAlignment="1">
      <alignment horizontal="center"/>
    </xf>
    <xf numFmtId="166" fontId="1" fillId="2" borderId="21" xfId="14" applyNumberFormat="1" applyFont="1" applyFill="1" applyBorder="1" applyAlignment="1">
      <alignment horizontal="right"/>
    </xf>
    <xf numFmtId="172" fontId="7" fillId="2" borderId="0" xfId="14" applyNumberFormat="1" applyFont="1" applyFill="1"/>
    <xf numFmtId="0" fontId="7" fillId="2" borderId="0" xfId="14" applyFont="1" applyFill="1"/>
    <xf numFmtId="0" fontId="1" fillId="2" borderId="16" xfId="14" applyFont="1" applyFill="1" applyBorder="1" applyAlignment="1">
      <alignment horizontal="center" vertical="top"/>
    </xf>
    <xf numFmtId="49" fontId="1" fillId="2" borderId="18" xfId="14" applyNumberFormat="1" applyFont="1" applyFill="1" applyBorder="1" applyAlignment="1">
      <alignment wrapText="1"/>
    </xf>
    <xf numFmtId="166" fontId="1" fillId="2" borderId="16" xfId="14" applyNumberFormat="1" applyFont="1" applyFill="1" applyBorder="1" applyAlignment="1">
      <alignment horizontal="right"/>
    </xf>
    <xf numFmtId="49" fontId="1" fillId="2" borderId="20" xfId="16" applyNumberFormat="1" applyFont="1" applyFill="1" applyBorder="1" applyAlignment="1">
      <alignment wrapText="1"/>
    </xf>
    <xf numFmtId="49" fontId="1" fillId="2" borderId="26" xfId="14" applyNumberFormat="1" applyFont="1" applyFill="1" applyBorder="1" applyAlignment="1">
      <alignment horizontal="center"/>
    </xf>
    <xf numFmtId="49" fontId="1" fillId="2" borderId="23" xfId="14" applyNumberFormat="1" applyFont="1" applyFill="1" applyBorder="1" applyAlignment="1">
      <alignment horizontal="center"/>
    </xf>
    <xf numFmtId="49" fontId="1" fillId="2" borderId="16" xfId="16" applyNumberFormat="1" applyFont="1" applyFill="1" applyBorder="1" applyAlignment="1">
      <alignment wrapText="1"/>
    </xf>
    <xf numFmtId="0" fontId="1" fillId="2" borderId="23" xfId="14" applyFont="1" applyFill="1" applyBorder="1" applyAlignment="1">
      <alignment horizontal="center" vertical="top"/>
    </xf>
    <xf numFmtId="49" fontId="1" fillId="2" borderId="23" xfId="11" applyNumberFormat="1" applyFont="1" applyFill="1" applyBorder="1" applyAlignment="1">
      <alignment horizontal="center" wrapText="1"/>
    </xf>
    <xf numFmtId="49" fontId="1" fillId="2" borderId="19" xfId="6" applyNumberFormat="1" applyFont="1" applyFill="1" applyBorder="1" applyAlignment="1">
      <alignment horizontal="left" wrapText="1"/>
    </xf>
    <xf numFmtId="166" fontId="1" fillId="2" borderId="16" xfId="5" applyNumberFormat="1" applyFont="1" applyFill="1" applyBorder="1" applyAlignment="1">
      <alignment horizontal="right"/>
    </xf>
    <xf numFmtId="169" fontId="9" fillId="2" borderId="0" xfId="0" applyNumberFormat="1" applyFont="1" applyFill="1"/>
    <xf numFmtId="169" fontId="13" fillId="2" borderId="0" xfId="0" applyNumberFormat="1" applyFont="1" applyFill="1"/>
    <xf numFmtId="0" fontId="1" fillId="2" borderId="0" xfId="0" applyFont="1" applyFill="1" applyBorder="1" applyAlignment="1">
      <alignment horizontal="center" vertical="top"/>
    </xf>
    <xf numFmtId="49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right"/>
    </xf>
    <xf numFmtId="0" fontId="20" fillId="2" borderId="0" xfId="0" applyFont="1" applyFill="1" applyBorder="1"/>
    <xf numFmtId="166" fontId="10" fillId="2" borderId="0" xfId="0" applyNumberFormat="1" applyFont="1" applyFill="1" applyBorder="1"/>
    <xf numFmtId="166" fontId="9" fillId="2" borderId="0" xfId="0" applyNumberFormat="1" applyFont="1" applyFill="1" applyBorder="1"/>
    <xf numFmtId="170" fontId="1" fillId="2" borderId="0" xfId="1" applyNumberFormat="1" applyFont="1" applyFill="1" applyAlignment="1">
      <alignment horizontal="right"/>
    </xf>
    <xf numFmtId="170" fontId="1" fillId="2" borderId="1" xfId="1" applyNumberFormat="1" applyFont="1" applyFill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167" fontId="2" fillId="2" borderId="1" xfId="1" applyNumberFormat="1" applyFont="1" applyFill="1" applyBorder="1" applyAlignment="1">
      <alignment horizontal="right"/>
    </xf>
    <xf numFmtId="167" fontId="1" fillId="2" borderId="1" xfId="1" applyNumberFormat="1" applyFont="1" applyFill="1" applyBorder="1" applyAlignment="1"/>
    <xf numFmtId="167" fontId="2" fillId="2" borderId="1" xfId="10" applyNumberFormat="1" applyFont="1" applyFill="1" applyBorder="1" applyAlignment="1">
      <alignment vertical="top"/>
    </xf>
    <xf numFmtId="170" fontId="1" fillId="2" borderId="0" xfId="1" applyNumberFormat="1" applyFont="1" applyFill="1"/>
    <xf numFmtId="170" fontId="1" fillId="2" borderId="0" xfId="7" applyNumberFormat="1" applyFont="1" applyFill="1" applyBorder="1"/>
    <xf numFmtId="0" fontId="1" fillId="2" borderId="0" xfId="1" applyFont="1" applyFill="1"/>
    <xf numFmtId="167" fontId="1" fillId="2" borderId="1" xfId="1" applyNumberFormat="1" applyFont="1" applyFill="1" applyBorder="1" applyAlignment="1">
      <alignment horizontal="right" vertical="top"/>
    </xf>
    <xf numFmtId="166" fontId="1" fillId="2" borderId="23" xfId="16" applyNumberFormat="1" applyFont="1" applyFill="1" applyBorder="1" applyAlignment="1">
      <alignment horizontal="right"/>
    </xf>
    <xf numFmtId="166" fontId="1" fillId="2" borderId="1" xfId="3" applyNumberFormat="1" applyFont="1" applyFill="1" applyBorder="1" applyAlignment="1">
      <alignment horizontal="right" wrapText="1"/>
    </xf>
    <xf numFmtId="0" fontId="2" fillId="2" borderId="1" xfId="3" applyFont="1" applyFill="1" applyBorder="1" applyAlignment="1">
      <alignment wrapText="1"/>
    </xf>
    <xf numFmtId="0" fontId="1" fillId="2" borderId="1" xfId="3" applyFont="1" applyFill="1" applyBorder="1" applyAlignment="1">
      <alignment wrapText="1"/>
    </xf>
    <xf numFmtId="49" fontId="3" fillId="2" borderId="1" xfId="3" applyNumberFormat="1" applyFont="1" applyFill="1" applyBorder="1" applyAlignment="1">
      <alignment horizontal="center" vertical="top"/>
    </xf>
    <xf numFmtId="0" fontId="3" fillId="2" borderId="1" xfId="3" applyFont="1" applyFill="1" applyBorder="1" applyAlignment="1">
      <alignment wrapText="1"/>
    </xf>
    <xf numFmtId="166" fontId="3" fillId="2" borderId="1" xfId="3" applyNumberFormat="1" applyFont="1" applyFill="1" applyBorder="1" applyAlignment="1">
      <alignment horizontal="right" wrapText="1"/>
    </xf>
    <xf numFmtId="0" fontId="12" fillId="2" borderId="0" xfId="3" applyFont="1" applyFill="1"/>
    <xf numFmtId="2" fontId="15" fillId="2" borderId="0" xfId="0" applyNumberFormat="1" applyFont="1" applyFill="1"/>
    <xf numFmtId="0" fontId="3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49" fontId="3" fillId="2" borderId="2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right"/>
    </xf>
    <xf numFmtId="49" fontId="1" fillId="2" borderId="0" xfId="16" applyNumberFormat="1" applyFont="1" applyFill="1" applyBorder="1" applyAlignment="1">
      <alignment wrapText="1"/>
    </xf>
    <xf numFmtId="49" fontId="1" fillId="2" borderId="0" xfId="12" applyNumberFormat="1" applyFont="1" applyFill="1" applyBorder="1" applyAlignment="1">
      <alignment horizontal="center"/>
    </xf>
    <xf numFmtId="49" fontId="1" fillId="2" borderId="23" xfId="12" applyNumberFormat="1" applyFont="1" applyFill="1" applyBorder="1" applyAlignment="1">
      <alignment horizontal="center"/>
    </xf>
    <xf numFmtId="49" fontId="1" fillId="2" borderId="1" xfId="12" applyNumberFormat="1" applyFont="1" applyFill="1" applyBorder="1" applyAlignment="1">
      <alignment horizontal="center"/>
    </xf>
    <xf numFmtId="49" fontId="1" fillId="2" borderId="28" xfId="12" applyNumberFormat="1" applyFont="1" applyFill="1" applyBorder="1" applyAlignment="1">
      <alignment horizontal="center"/>
    </xf>
    <xf numFmtId="0" fontId="1" fillId="2" borderId="23" xfId="16" applyFont="1" applyFill="1" applyBorder="1" applyAlignment="1">
      <alignment horizontal="center" vertical="top"/>
    </xf>
    <xf numFmtId="49" fontId="1" fillId="2" borderId="26" xfId="16" applyNumberFormat="1" applyFont="1" applyFill="1" applyBorder="1" applyAlignment="1">
      <alignment wrapText="1"/>
    </xf>
    <xf numFmtId="0" fontId="1" fillId="2" borderId="1" xfId="16" applyFont="1" applyFill="1" applyBorder="1" applyAlignment="1">
      <alignment horizontal="center" vertical="top"/>
    </xf>
    <xf numFmtId="49" fontId="1" fillId="3" borderId="3" xfId="0" applyNumberFormat="1" applyFont="1" applyFill="1" applyBorder="1" applyAlignment="1">
      <alignment horizontal="left" wrapText="1"/>
    </xf>
    <xf numFmtId="49" fontId="3" fillId="2" borderId="3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 wrapText="1"/>
    </xf>
    <xf numFmtId="166" fontId="3" fillId="2" borderId="1" xfId="7" applyNumberFormat="1" applyFont="1" applyFill="1" applyBorder="1" applyAlignment="1">
      <alignment horizontal="right"/>
    </xf>
    <xf numFmtId="49" fontId="3" fillId="2" borderId="3" xfId="0" applyNumberFormat="1" applyFont="1" applyFill="1" applyBorder="1" applyAlignment="1">
      <alignment horizontal="left" wrapText="1"/>
    </xf>
    <xf numFmtId="49" fontId="1" fillId="2" borderId="3" xfId="7" applyNumberFormat="1" applyFont="1" applyFill="1" applyBorder="1" applyAlignment="1">
      <alignment wrapText="1"/>
    </xf>
    <xf numFmtId="0" fontId="2" fillId="2" borderId="1" xfId="7" applyFont="1" applyFill="1" applyBorder="1" applyAlignment="1">
      <alignment vertical="top" wrapText="1"/>
    </xf>
    <xf numFmtId="0" fontId="1" fillId="2" borderId="1" xfId="7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wrapText="1"/>
    </xf>
    <xf numFmtId="0" fontId="11" fillId="2" borderId="0" xfId="1" applyFont="1" applyFill="1"/>
    <xf numFmtId="0" fontId="1" fillId="2" borderId="0" xfId="3" applyFont="1" applyFill="1"/>
    <xf numFmtId="0" fontId="3" fillId="2" borderId="1" xfId="7" applyFont="1" applyFill="1" applyBorder="1" applyAlignment="1">
      <alignment horizontal="center"/>
    </xf>
    <xf numFmtId="1" fontId="3" fillId="2" borderId="1" xfId="7" applyNumberFormat="1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 vertical="top" wrapText="1"/>
    </xf>
    <xf numFmtId="0" fontId="4" fillId="2" borderId="1" xfId="3" applyFont="1" applyFill="1" applyBorder="1" applyAlignment="1">
      <alignment horizontal="center" vertical="top" wrapText="1"/>
    </xf>
    <xf numFmtId="0" fontId="2" fillId="2" borderId="1" xfId="3" applyFont="1" applyFill="1" applyBorder="1" applyAlignment="1">
      <alignment horizontal="center" vertical="top"/>
    </xf>
    <xf numFmtId="166" fontId="4" fillId="2" borderId="1" xfId="3" applyNumberFormat="1" applyFont="1" applyFill="1" applyBorder="1" applyAlignment="1">
      <alignment horizontal="right" wrapText="1"/>
    </xf>
    <xf numFmtId="0" fontId="3" fillId="2" borderId="1" xfId="3" applyFont="1" applyFill="1" applyBorder="1" applyAlignment="1">
      <alignment horizontal="center" vertical="top" wrapText="1"/>
    </xf>
    <xf numFmtId="0" fontId="1" fillId="2" borderId="1" xfId="3" applyFont="1" applyFill="1" applyBorder="1" applyAlignment="1">
      <alignment horizontal="center" vertical="top"/>
    </xf>
    <xf numFmtId="49" fontId="3" fillId="2" borderId="1" xfId="9" applyNumberFormat="1" applyFont="1" applyFill="1" applyBorder="1" applyAlignment="1">
      <alignment wrapText="1"/>
    </xf>
    <xf numFmtId="49" fontId="1" fillId="2" borderId="1" xfId="7" applyNumberFormat="1" applyFont="1" applyFill="1" applyBorder="1" applyAlignment="1">
      <alignment horizontal="left" wrapText="1"/>
    </xf>
    <xf numFmtId="166" fontId="2" fillId="2" borderId="1" xfId="3" applyNumberFormat="1" applyFont="1" applyFill="1" applyBorder="1" applyAlignment="1"/>
    <xf numFmtId="0" fontId="12" fillId="2" borderId="1" xfId="3" applyFont="1" applyFill="1" applyBorder="1" applyAlignment="1">
      <alignment vertical="top"/>
    </xf>
    <xf numFmtId="166" fontId="1" fillId="2" borderId="1" xfId="3" applyNumberFormat="1" applyFont="1" applyFill="1" applyBorder="1" applyAlignment="1"/>
    <xf numFmtId="49" fontId="3" fillId="2" borderId="3" xfId="7" applyNumberFormat="1" applyFont="1" applyFill="1" applyBorder="1" applyAlignment="1">
      <alignment wrapText="1"/>
    </xf>
    <xf numFmtId="49" fontId="3" fillId="2" borderId="1" xfId="7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wrapText="1"/>
    </xf>
    <xf numFmtId="49" fontId="1" fillId="2" borderId="1" xfId="14" applyNumberFormat="1" applyFont="1" applyFill="1" applyBorder="1" applyAlignment="1">
      <alignment wrapText="1"/>
    </xf>
    <xf numFmtId="49" fontId="1" fillId="2" borderId="19" xfId="14" applyNumberFormat="1" applyFont="1" applyFill="1" applyBorder="1" applyAlignment="1">
      <alignment wrapText="1"/>
    </xf>
    <xf numFmtId="49" fontId="1" fillId="2" borderId="30" xfId="14" applyNumberFormat="1" applyFont="1" applyFill="1" applyBorder="1" applyAlignment="1">
      <alignment wrapText="1"/>
    </xf>
    <xf numFmtId="49" fontId="1" fillId="2" borderId="13" xfId="14" applyNumberFormat="1" applyFont="1" applyFill="1" applyBorder="1" applyAlignment="1">
      <alignment wrapText="1"/>
    </xf>
    <xf numFmtId="49" fontId="3" fillId="2" borderId="1" xfId="7" applyNumberFormat="1" applyFont="1" applyFill="1" applyBorder="1" applyAlignment="1">
      <alignment horizontal="left" wrapText="1"/>
    </xf>
    <xf numFmtId="49" fontId="3" fillId="2" borderId="1" xfId="7" applyNumberFormat="1" applyFont="1" applyFill="1" applyBorder="1" applyAlignment="1">
      <alignment horizontal="center" wrapText="1"/>
    </xf>
    <xf numFmtId="49" fontId="2" fillId="2" borderId="2" xfId="7" applyNumberFormat="1" applyFont="1" applyFill="1" applyBorder="1" applyAlignment="1">
      <alignment horizontal="center"/>
    </xf>
    <xf numFmtId="49" fontId="1" fillId="2" borderId="1" xfId="7" applyNumberFormat="1" applyFont="1" applyFill="1" applyBorder="1" applyAlignment="1">
      <alignment horizontal="center" wrapText="1"/>
    </xf>
    <xf numFmtId="170" fontId="1" fillId="2" borderId="0" xfId="7" applyNumberFormat="1" applyFont="1" applyFill="1" applyBorder="1" applyAlignment="1">
      <alignment horizontal="right"/>
    </xf>
    <xf numFmtId="0" fontId="3" fillId="2" borderId="9" xfId="3" applyFont="1" applyFill="1" applyBorder="1" applyAlignment="1">
      <alignment horizontal="center" wrapText="1"/>
    </xf>
    <xf numFmtId="0" fontId="3" fillId="2" borderId="1" xfId="3" applyFont="1" applyFill="1" applyBorder="1" applyAlignment="1">
      <alignment horizontal="center" wrapText="1"/>
    </xf>
    <xf numFmtId="0" fontId="4" fillId="2" borderId="5" xfId="3" applyFont="1" applyFill="1" applyBorder="1" applyAlignment="1">
      <alignment horizontal="center" vertical="top"/>
    </xf>
    <xf numFmtId="175" fontId="4" fillId="2" borderId="5" xfId="13" applyNumberFormat="1" applyFont="1" applyFill="1" applyBorder="1" applyAlignment="1">
      <alignment horizontal="right" vertical="center"/>
    </xf>
    <xf numFmtId="0" fontId="4" fillId="2" borderId="12" xfId="3" applyFont="1" applyFill="1" applyBorder="1" applyAlignment="1">
      <alignment horizontal="center" vertical="top"/>
    </xf>
    <xf numFmtId="0" fontId="3" fillId="2" borderId="12" xfId="3" applyFont="1" applyFill="1" applyBorder="1" applyAlignment="1">
      <alignment horizontal="center" vertical="top"/>
    </xf>
    <xf numFmtId="0" fontId="4" fillId="2" borderId="12" xfId="3" applyFont="1" applyFill="1" applyBorder="1" applyAlignment="1">
      <alignment wrapText="1"/>
    </xf>
    <xf numFmtId="0" fontId="3" fillId="2" borderId="12" xfId="3" applyFont="1" applyFill="1" applyBorder="1" applyAlignment="1">
      <alignment wrapText="1"/>
    </xf>
    <xf numFmtId="0" fontId="3" fillId="2" borderId="12" xfId="3" applyFont="1" applyFill="1" applyBorder="1" applyAlignment="1">
      <alignment vertical="top" wrapText="1"/>
    </xf>
    <xf numFmtId="0" fontId="3" fillId="2" borderId="13" xfId="3" applyFont="1" applyFill="1" applyBorder="1" applyAlignment="1">
      <alignment horizontal="center" vertical="top"/>
    </xf>
    <xf numFmtId="0" fontId="3" fillId="2" borderId="13" xfId="3" applyFont="1" applyFill="1" applyBorder="1" applyAlignment="1">
      <alignment vertical="top" wrapText="1"/>
    </xf>
    <xf numFmtId="0" fontId="3" fillId="2" borderId="0" xfId="3" applyFont="1" applyFill="1" applyBorder="1" applyAlignment="1">
      <alignment horizontal="center" vertical="top"/>
    </xf>
    <xf numFmtId="0" fontId="1" fillId="2" borderId="0" xfId="3" applyFont="1" applyFill="1" applyBorder="1" applyAlignment="1">
      <alignment wrapText="1"/>
    </xf>
    <xf numFmtId="175" fontId="1" fillId="2" borderId="0" xfId="3" applyNumberFormat="1" applyFont="1" applyFill="1" applyBorder="1" applyAlignment="1"/>
    <xf numFmtId="166" fontId="4" fillId="2" borderId="1" xfId="7" applyNumberFormat="1" applyFont="1" applyFill="1" applyBorder="1" applyAlignment="1">
      <alignment horizontal="right"/>
    </xf>
    <xf numFmtId="166" fontId="3" fillId="2" borderId="1" xfId="0" applyNumberFormat="1" applyFont="1" applyFill="1" applyBorder="1"/>
    <xf numFmtId="174" fontId="18" fillId="2" borderId="0" xfId="0" applyNumberFormat="1" applyFont="1" applyFill="1"/>
    <xf numFmtId="166" fontId="18" fillId="2" borderId="0" xfId="0" applyNumberFormat="1" applyFont="1" applyFill="1"/>
    <xf numFmtId="166" fontId="2" fillId="2" borderId="1" xfId="19" applyNumberFormat="1" applyFont="1" applyFill="1" applyBorder="1" applyAlignment="1">
      <alignment horizontal="right" vertical="top"/>
    </xf>
    <xf numFmtId="166" fontId="1" fillId="2" borderId="1" xfId="19" applyNumberFormat="1" applyFont="1" applyFill="1" applyBorder="1" applyAlignment="1">
      <alignment horizontal="right"/>
    </xf>
    <xf numFmtId="166" fontId="1" fillId="2" borderId="23" xfId="14" applyNumberFormat="1" applyFont="1" applyFill="1" applyBorder="1" applyAlignment="1">
      <alignment horizontal="right"/>
    </xf>
    <xf numFmtId="166" fontId="1" fillId="2" borderId="1" xfId="16" applyNumberFormat="1" applyFont="1" applyFill="1" applyBorder="1" applyAlignment="1">
      <alignment horizontal="right"/>
    </xf>
    <xf numFmtId="0" fontId="1" fillId="2" borderId="0" xfId="1" applyFont="1" applyFill="1" applyBorder="1" applyAlignment="1">
      <alignment wrapText="1"/>
    </xf>
    <xf numFmtId="0" fontId="1" fillId="2" borderId="1" xfId="1" applyFont="1" applyFill="1" applyBorder="1" applyAlignment="1">
      <alignment horizontal="center" vertical="top"/>
    </xf>
    <xf numFmtId="0" fontId="1" fillId="2" borderId="1" xfId="1" applyFont="1" applyFill="1" applyBorder="1" applyAlignment="1">
      <alignment vertical="top"/>
    </xf>
    <xf numFmtId="0" fontId="1" fillId="2" borderId="0" xfId="7" applyFont="1" applyFill="1" applyBorder="1"/>
    <xf numFmtId="0" fontId="1" fillId="2" borderId="0" xfId="7" applyFont="1" applyFill="1" applyAlignment="1">
      <alignment wrapText="1"/>
    </xf>
    <xf numFmtId="166" fontId="1" fillId="2" borderId="21" xfId="16" applyNumberFormat="1" applyFont="1" applyFill="1" applyBorder="1" applyAlignment="1">
      <alignment horizontal="right"/>
    </xf>
    <xf numFmtId="166" fontId="3" fillId="2" borderId="0" xfId="19" applyNumberFormat="1" applyFont="1" applyFill="1" applyAlignment="1">
      <alignment horizontal="right"/>
    </xf>
    <xf numFmtId="166" fontId="1" fillId="2" borderId="0" xfId="7" applyNumberFormat="1" applyFont="1" applyFill="1" applyAlignment="1">
      <alignment horizontal="right"/>
    </xf>
    <xf numFmtId="166" fontId="19" fillId="2" borderId="1" xfId="0" applyNumberFormat="1" applyFont="1" applyFill="1" applyBorder="1"/>
    <xf numFmtId="2" fontId="10" fillId="2" borderId="1" xfId="0" applyNumberFormat="1" applyFont="1" applyFill="1" applyBorder="1"/>
    <xf numFmtId="177" fontId="10" fillId="2" borderId="1" xfId="0" applyNumberFormat="1" applyFont="1" applyFill="1" applyBorder="1"/>
    <xf numFmtId="0" fontId="1" fillId="2" borderId="0" xfId="7" applyFont="1" applyFill="1"/>
    <xf numFmtId="166" fontId="1" fillId="2" borderId="19" xfId="16" applyNumberFormat="1" applyFont="1" applyFill="1" applyBorder="1" applyAlignment="1">
      <alignment horizontal="right"/>
    </xf>
    <xf numFmtId="0" fontId="1" fillId="2" borderId="1" xfId="0" applyFont="1" applyFill="1" applyBorder="1"/>
    <xf numFmtId="0" fontId="1" fillId="2" borderId="21" xfId="16" applyFont="1" applyFill="1" applyBorder="1" applyAlignment="1">
      <alignment horizontal="center" vertical="top"/>
    </xf>
    <xf numFmtId="49" fontId="1" fillId="2" borderId="32" xfId="16" applyNumberFormat="1" applyFont="1" applyFill="1" applyBorder="1" applyAlignment="1">
      <alignment horizontal="center"/>
    </xf>
    <xf numFmtId="49" fontId="1" fillId="2" borderId="23" xfId="11" applyNumberFormat="1" applyFont="1" applyFill="1" applyBorder="1" applyAlignment="1">
      <alignment horizontal="center"/>
    </xf>
    <xf numFmtId="49" fontId="1" fillId="2" borderId="22" xfId="16" applyNumberFormat="1" applyFont="1" applyFill="1" applyBorder="1" applyAlignment="1">
      <alignment wrapText="1"/>
    </xf>
    <xf numFmtId="49" fontId="1" fillId="2" borderId="21" xfId="12" applyNumberFormat="1" applyFont="1" applyFill="1" applyBorder="1" applyAlignment="1">
      <alignment horizontal="center" wrapText="1"/>
    </xf>
    <xf numFmtId="49" fontId="1" fillId="2" borderId="21" xfId="12" applyNumberFormat="1" applyFont="1" applyFill="1" applyBorder="1" applyAlignment="1">
      <alignment horizontal="center"/>
    </xf>
    <xf numFmtId="49" fontId="1" fillId="2" borderId="31" xfId="12" applyNumberFormat="1" applyFont="1" applyFill="1" applyBorder="1" applyAlignment="1">
      <alignment horizontal="center"/>
    </xf>
    <xf numFmtId="49" fontId="1" fillId="2" borderId="34" xfId="12" applyNumberFormat="1" applyFont="1" applyFill="1" applyBorder="1" applyAlignment="1">
      <alignment horizontal="center"/>
    </xf>
    <xf numFmtId="49" fontId="1" fillId="2" borderId="22" xfId="12" applyNumberFormat="1" applyFont="1" applyFill="1" applyBorder="1" applyAlignment="1">
      <alignment horizontal="center"/>
    </xf>
    <xf numFmtId="49" fontId="1" fillId="2" borderId="1" xfId="16" applyNumberFormat="1" applyFont="1" applyFill="1" applyBorder="1" applyAlignment="1">
      <alignment wrapText="1"/>
    </xf>
    <xf numFmtId="166" fontId="1" fillId="2" borderId="33" xfId="16" applyNumberFormat="1" applyFont="1" applyFill="1" applyBorder="1" applyAlignment="1">
      <alignment horizontal="right"/>
    </xf>
    <xf numFmtId="0" fontId="1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/>
    </xf>
    <xf numFmtId="0" fontId="3" fillId="2" borderId="0" xfId="3" applyFont="1" applyFill="1"/>
    <xf numFmtId="0" fontId="3" fillId="2" borderId="0" xfId="7" applyFont="1" applyFill="1" applyAlignment="1">
      <alignment horizontal="right"/>
    </xf>
    <xf numFmtId="168" fontId="3" fillId="2" borderId="0" xfId="3" applyNumberFormat="1" applyFont="1" applyFill="1"/>
    <xf numFmtId="170" fontId="3" fillId="2" borderId="0" xfId="1" applyNumberFormat="1" applyFont="1" applyFill="1" applyAlignment="1">
      <alignment horizontal="right"/>
    </xf>
    <xf numFmtId="0" fontId="3" fillId="2" borderId="1" xfId="3" applyFont="1" applyFill="1" applyBorder="1"/>
    <xf numFmtId="0" fontId="4" fillId="2" borderId="1" xfId="3" applyFont="1" applyFill="1" applyBorder="1" applyAlignment="1"/>
    <xf numFmtId="166" fontId="4" fillId="2" borderId="1" xfId="10" applyNumberFormat="1" applyFont="1" applyFill="1" applyBorder="1" applyAlignment="1">
      <alignment horizontal="right" wrapText="1"/>
    </xf>
    <xf numFmtId="166" fontId="3" fillId="2" borderId="0" xfId="3" applyNumberFormat="1" applyFont="1" applyFill="1"/>
    <xf numFmtId="0" fontId="3" fillId="2" borderId="1" xfId="3" applyFont="1" applyFill="1" applyBorder="1" applyAlignment="1">
      <alignment horizontal="left"/>
    </xf>
    <xf numFmtId="49" fontId="4" fillId="2" borderId="1" xfId="3" applyNumberFormat="1" applyFont="1" applyFill="1" applyBorder="1" applyAlignment="1">
      <alignment horizontal="center" vertical="top"/>
    </xf>
    <xf numFmtId="0" fontId="4" fillId="2" borderId="1" xfId="3" applyFont="1" applyFill="1" applyBorder="1" applyAlignment="1">
      <alignment wrapText="1"/>
    </xf>
    <xf numFmtId="0" fontId="4" fillId="2" borderId="0" xfId="3" applyFont="1" applyFill="1"/>
    <xf numFmtId="0" fontId="4" fillId="2" borderId="1" xfId="3" applyFont="1" applyFill="1" applyBorder="1" applyAlignment="1">
      <alignment horizontal="center" vertical="top"/>
    </xf>
    <xf numFmtId="0" fontId="3" fillId="2" borderId="1" xfId="3" applyFont="1" applyFill="1" applyBorder="1" applyAlignment="1">
      <alignment horizontal="center" vertical="top"/>
    </xf>
    <xf numFmtId="0" fontId="3" fillId="2" borderId="1" xfId="3" applyFont="1" applyFill="1" applyBorder="1" applyAlignment="1"/>
    <xf numFmtId="49" fontId="4" fillId="2" borderId="1" xfId="7" applyNumberFormat="1" applyFont="1" applyFill="1" applyBorder="1" applyAlignment="1">
      <alignment horizontal="left" wrapText="1"/>
    </xf>
    <xf numFmtId="166" fontId="4" fillId="2" borderId="1" xfId="3" applyNumberFormat="1" applyFont="1" applyFill="1" applyBorder="1" applyAlignment="1"/>
    <xf numFmtId="0" fontId="3" fillId="2" borderId="1" xfId="3" applyFont="1" applyFill="1" applyBorder="1" applyAlignment="1">
      <alignment vertical="top"/>
    </xf>
    <xf numFmtId="166" fontId="3" fillId="2" borderId="1" xfId="3" applyNumberFormat="1" applyFont="1" applyFill="1" applyBorder="1" applyAlignment="1"/>
    <xf numFmtId="0" fontId="21" fillId="2" borderId="1" xfId="3" applyFont="1" applyFill="1" applyBorder="1"/>
    <xf numFmtId="49" fontId="4" fillId="2" borderId="0" xfId="7" applyNumberFormat="1" applyFont="1" applyFill="1" applyBorder="1" applyAlignment="1">
      <alignment vertical="top" wrapText="1"/>
    </xf>
    <xf numFmtId="49" fontId="3" fillId="2" borderId="0" xfId="7" applyNumberFormat="1" applyFont="1" applyFill="1" applyBorder="1" applyAlignment="1">
      <alignment horizontal="center"/>
    </xf>
    <xf numFmtId="168" fontId="3" fillId="2" borderId="0" xfId="7" applyNumberFormat="1" applyFont="1" applyFill="1"/>
    <xf numFmtId="0" fontId="3" fillId="2" borderId="0" xfId="7" applyFont="1" applyFill="1"/>
    <xf numFmtId="0" fontId="3" fillId="2" borderId="1" xfId="3" applyFont="1" applyFill="1" applyBorder="1" applyAlignment="1">
      <alignment horizontal="center"/>
    </xf>
    <xf numFmtId="49" fontId="2" fillId="2" borderId="0" xfId="7" applyNumberFormat="1" applyFont="1" applyFill="1" applyBorder="1" applyAlignment="1">
      <alignment vertical="top" wrapText="1"/>
    </xf>
    <xf numFmtId="175" fontId="3" fillId="2" borderId="15" xfId="0" applyNumberFormat="1" applyFont="1" applyFill="1" applyBorder="1"/>
    <xf numFmtId="175" fontId="3" fillId="2" borderId="15" xfId="0" applyNumberFormat="1" applyFont="1" applyFill="1" applyBorder="1" applyAlignment="1">
      <alignment vertical="top"/>
    </xf>
    <xf numFmtId="175" fontId="3" fillId="2" borderId="14" xfId="0" applyNumberFormat="1" applyFont="1" applyFill="1" applyBorder="1" applyAlignment="1">
      <alignment vertical="top"/>
    </xf>
    <xf numFmtId="167" fontId="4" fillId="2" borderId="1" xfId="0" applyNumberFormat="1" applyFont="1" applyFill="1" applyBorder="1" applyAlignment="1">
      <alignment horizontal="right"/>
    </xf>
    <xf numFmtId="167" fontId="3" fillId="2" borderId="1" xfId="0" applyNumberFormat="1" applyFont="1" applyFill="1" applyBorder="1" applyAlignment="1">
      <alignment horizontal="right"/>
    </xf>
    <xf numFmtId="167" fontId="1" fillId="2" borderId="1" xfId="0" applyNumberFormat="1" applyFont="1" applyFill="1" applyBorder="1" applyAlignment="1">
      <alignment horizontal="right"/>
    </xf>
    <xf numFmtId="167" fontId="1" fillId="2" borderId="1" xfId="1" applyNumberFormat="1" applyFont="1" applyFill="1" applyBorder="1" applyAlignment="1">
      <alignment horizontal="right"/>
    </xf>
    <xf numFmtId="167" fontId="3" fillId="2" borderId="1" xfId="0" applyNumberFormat="1" applyFont="1" applyFill="1" applyBorder="1" applyAlignment="1">
      <alignment horizontal="right" vertical="top"/>
    </xf>
    <xf numFmtId="167" fontId="1" fillId="2" borderId="1" xfId="0" applyNumberFormat="1" applyFont="1" applyFill="1" applyBorder="1" applyAlignment="1">
      <alignment horizontal="right" vertical="top"/>
    </xf>
    <xf numFmtId="175" fontId="1" fillId="2" borderId="12" xfId="19" applyNumberFormat="1" applyFont="1" applyFill="1" applyBorder="1" applyAlignment="1">
      <alignment vertical="top"/>
    </xf>
    <xf numFmtId="175" fontId="3" fillId="2" borderId="12" xfId="0" applyNumberFormat="1" applyFont="1" applyFill="1" applyBorder="1"/>
    <xf numFmtId="175" fontId="3" fillId="2" borderId="12" xfId="0" applyNumberFormat="1" applyFont="1" applyFill="1" applyBorder="1" applyAlignment="1">
      <alignment vertical="top"/>
    </xf>
    <xf numFmtId="175" fontId="3" fillId="2" borderId="13" xfId="0" applyNumberFormat="1" applyFont="1" applyFill="1" applyBorder="1" applyAlignment="1">
      <alignment vertical="top"/>
    </xf>
    <xf numFmtId="0" fontId="4" fillId="2" borderId="6" xfId="3" applyFont="1" applyFill="1" applyBorder="1" applyAlignment="1">
      <alignment vertical="top" wrapText="1"/>
    </xf>
    <xf numFmtId="0" fontId="4" fillId="2" borderId="0" xfId="3" applyFont="1" applyFill="1" applyBorder="1" applyAlignment="1">
      <alignment vertical="top" wrapText="1"/>
    </xf>
    <xf numFmtId="0" fontId="3" fillId="2" borderId="0" xfId="3" applyFont="1" applyFill="1" applyBorder="1" applyAlignment="1">
      <alignment vertical="top" wrapText="1"/>
    </xf>
    <xf numFmtId="0" fontId="3" fillId="2" borderId="4" xfId="3" applyFont="1" applyFill="1" applyBorder="1" applyAlignment="1">
      <alignment vertical="top" wrapText="1"/>
    </xf>
    <xf numFmtId="0" fontId="3" fillId="2" borderId="5" xfId="3" applyFont="1" applyFill="1" applyBorder="1" applyAlignment="1">
      <alignment horizontal="center" wrapText="1"/>
    </xf>
    <xf numFmtId="175" fontId="4" fillId="2" borderId="12" xfId="13" applyNumberFormat="1" applyFont="1" applyFill="1" applyBorder="1" applyAlignment="1">
      <alignment horizontal="right" vertical="center"/>
    </xf>
    <xf numFmtId="175" fontId="3" fillId="2" borderId="12" xfId="13" applyNumberFormat="1" applyFont="1" applyFill="1" applyBorder="1" applyAlignment="1">
      <alignment horizontal="right" vertical="center"/>
    </xf>
    <xf numFmtId="175" fontId="3" fillId="2" borderId="13" xfId="13" applyNumberFormat="1" applyFont="1" applyFill="1" applyBorder="1" applyAlignment="1">
      <alignment horizontal="right" vertical="center"/>
    </xf>
    <xf numFmtId="175" fontId="4" fillId="2" borderId="6" xfId="13" applyNumberFormat="1" applyFont="1" applyFill="1" applyBorder="1" applyAlignment="1">
      <alignment horizontal="right" vertical="center"/>
    </xf>
    <xf numFmtId="175" fontId="4" fillId="2" borderId="8" xfId="13" applyNumberFormat="1" applyFont="1" applyFill="1" applyBorder="1" applyAlignment="1">
      <alignment horizontal="right" vertical="center"/>
    </xf>
    <xf numFmtId="175" fontId="4" fillId="2" borderId="11" xfId="13" applyNumberFormat="1" applyFont="1" applyFill="1" applyBorder="1" applyAlignment="1">
      <alignment horizontal="right" vertical="center"/>
    </xf>
    <xf numFmtId="175" fontId="3" fillId="2" borderId="11" xfId="13" applyNumberFormat="1" applyFont="1" applyFill="1" applyBorder="1" applyAlignment="1">
      <alignment horizontal="right" vertical="center"/>
    </xf>
    <xf numFmtId="175" fontId="3" fillId="2" borderId="10" xfId="13" applyNumberFormat="1" applyFont="1" applyFill="1" applyBorder="1" applyAlignment="1">
      <alignment horizontal="right" vertical="center"/>
    </xf>
    <xf numFmtId="175" fontId="3" fillId="2" borderId="11" xfId="0" applyNumberFormat="1" applyFont="1" applyFill="1" applyBorder="1"/>
    <xf numFmtId="175" fontId="3" fillId="2" borderId="11" xfId="0" applyNumberFormat="1" applyFont="1" applyFill="1" applyBorder="1" applyAlignment="1">
      <alignment vertical="top"/>
    </xf>
    <xf numFmtId="175" fontId="1" fillId="2" borderId="11" xfId="19" applyNumberFormat="1" applyFont="1" applyFill="1" applyBorder="1" applyAlignment="1">
      <alignment vertical="top"/>
    </xf>
    <xf numFmtId="175" fontId="3" fillId="2" borderId="10" xfId="0" applyNumberFormat="1" applyFont="1" applyFill="1" applyBorder="1" applyAlignment="1">
      <alignment vertical="top"/>
    </xf>
    <xf numFmtId="0" fontId="1" fillId="2" borderId="7" xfId="1" applyFont="1" applyFill="1" applyBorder="1" applyAlignment="1">
      <alignment vertical="top"/>
    </xf>
    <xf numFmtId="0" fontId="2" fillId="2" borderId="7" xfId="7" applyFont="1" applyFill="1" applyBorder="1" applyAlignment="1">
      <alignment vertical="top" wrapText="1"/>
    </xf>
    <xf numFmtId="167" fontId="2" fillId="2" borderId="7" xfId="10" applyNumberFormat="1" applyFont="1" applyFill="1" applyBorder="1" applyAlignment="1">
      <alignment vertical="top"/>
    </xf>
    <xf numFmtId="0" fontId="1" fillId="2" borderId="1" xfId="0" applyFont="1" applyFill="1" applyBorder="1" applyAlignment="1">
      <alignment wrapText="1"/>
    </xf>
    <xf numFmtId="49" fontId="1" fillId="2" borderId="3" xfId="8" applyNumberFormat="1" applyFont="1" applyFill="1" applyBorder="1" applyAlignment="1">
      <alignment wrapText="1"/>
    </xf>
    <xf numFmtId="49" fontId="1" fillId="2" borderId="19" xfId="4" applyNumberFormat="1" applyFont="1" applyFill="1" applyBorder="1" applyAlignment="1">
      <alignment wrapText="1"/>
    </xf>
    <xf numFmtId="0" fontId="3" fillId="2" borderId="1" xfId="0" applyFont="1" applyFill="1" applyBorder="1" applyAlignment="1"/>
    <xf numFmtId="166" fontId="3" fillId="2" borderId="1" xfId="0" applyNumberFormat="1" applyFont="1" applyFill="1" applyBorder="1" applyAlignment="1"/>
    <xf numFmtId="49" fontId="1" fillId="2" borderId="18" xfId="5" applyNumberFormat="1" applyFont="1" applyFill="1" applyBorder="1" applyAlignment="1">
      <alignment wrapText="1"/>
    </xf>
    <xf numFmtId="49" fontId="1" fillId="2" borderId="1" xfId="11" applyNumberFormat="1" applyFont="1" applyFill="1" applyBorder="1" applyAlignment="1">
      <alignment horizontal="center" wrapText="1"/>
    </xf>
    <xf numFmtId="49" fontId="1" fillId="2" borderId="1" xfId="11" applyNumberFormat="1" applyFont="1" applyFill="1" applyBorder="1" applyAlignment="1">
      <alignment horizontal="center"/>
    </xf>
    <xf numFmtId="0" fontId="10" fillId="2" borderId="0" xfId="7" applyFont="1" applyFill="1" applyAlignment="1">
      <alignment horizontal="center"/>
    </xf>
    <xf numFmtId="166" fontId="10" fillId="2" borderId="0" xfId="7" applyNumberFormat="1" applyFont="1" applyFill="1"/>
    <xf numFmtId="0" fontId="10" fillId="2" borderId="0" xfId="7" applyFont="1" applyFill="1" applyBorder="1" applyAlignment="1">
      <alignment horizontal="center" vertical="top"/>
    </xf>
    <xf numFmtId="168" fontId="3" fillId="2" borderId="0" xfId="7" applyNumberFormat="1" applyFont="1" applyFill="1" applyBorder="1" applyAlignment="1">
      <alignment horizontal="right"/>
    </xf>
    <xf numFmtId="168" fontId="3" fillId="2" borderId="1" xfId="3" applyNumberFormat="1" applyFont="1" applyFill="1" applyBorder="1" applyAlignment="1">
      <alignment horizontal="center" vertical="center"/>
    </xf>
    <xf numFmtId="49" fontId="3" fillId="2" borderId="1" xfId="7" applyNumberFormat="1" applyFont="1" applyFill="1" applyBorder="1" applyAlignment="1">
      <alignment horizontal="center" vertical="top" wrapText="1"/>
    </xf>
    <xf numFmtId="0" fontId="3" fillId="2" borderId="1" xfId="7" applyFont="1" applyFill="1" applyBorder="1" applyAlignment="1">
      <alignment horizontal="center" vertical="top"/>
    </xf>
    <xf numFmtId="49" fontId="4" fillId="2" borderId="1" xfId="7" applyNumberFormat="1" applyFont="1" applyFill="1" applyBorder="1" applyAlignment="1">
      <alignment horizontal="left" vertical="top" wrapText="1"/>
    </xf>
    <xf numFmtId="49" fontId="3" fillId="2" borderId="9" xfId="7" applyNumberFormat="1" applyFont="1" applyFill="1" applyBorder="1" applyAlignment="1">
      <alignment horizontal="center" vertical="top"/>
    </xf>
    <xf numFmtId="49" fontId="3" fillId="2" borderId="1" xfId="7" applyNumberFormat="1" applyFont="1" applyFill="1" applyBorder="1" applyAlignment="1">
      <alignment horizontal="center" vertical="top"/>
    </xf>
    <xf numFmtId="166" fontId="4" fillId="2" borderId="1" xfId="7" applyNumberFormat="1" applyFont="1" applyFill="1" applyBorder="1" applyAlignment="1">
      <alignment horizontal="right" vertical="top"/>
    </xf>
    <xf numFmtId="172" fontId="22" fillId="2" borderId="0" xfId="7" applyNumberFormat="1" applyFont="1" applyFill="1"/>
    <xf numFmtId="0" fontId="4" fillId="2" borderId="1" xfId="5" applyFont="1" applyFill="1" applyBorder="1" applyAlignment="1">
      <alignment horizontal="center" vertical="top"/>
    </xf>
    <xf numFmtId="49" fontId="4" fillId="2" borderId="4" xfId="7" applyNumberFormat="1" applyFont="1" applyFill="1" applyBorder="1" applyAlignment="1">
      <alignment horizontal="center"/>
    </xf>
    <xf numFmtId="49" fontId="4" fillId="2" borderId="10" xfId="7" applyNumberFormat="1" applyFont="1" applyFill="1" applyBorder="1" applyAlignment="1">
      <alignment horizontal="center"/>
    </xf>
    <xf numFmtId="49" fontId="4" fillId="2" borderId="1" xfId="7" applyNumberFormat="1" applyFont="1" applyFill="1" applyBorder="1" applyAlignment="1">
      <alignment horizontal="center"/>
    </xf>
    <xf numFmtId="0" fontId="9" fillId="2" borderId="0" xfId="7" applyFont="1" applyFill="1"/>
    <xf numFmtId="49" fontId="3" fillId="2" borderId="1" xfId="0" applyNumberFormat="1" applyFont="1" applyFill="1" applyBorder="1" applyAlignment="1">
      <alignment wrapText="1"/>
    </xf>
    <xf numFmtId="49" fontId="3" fillId="2" borderId="17" xfId="11" applyNumberFormat="1" applyFont="1" applyFill="1" applyBorder="1" applyAlignment="1">
      <alignment horizontal="center"/>
    </xf>
    <xf numFmtId="49" fontId="3" fillId="2" borderId="18" xfId="16" applyNumberFormat="1" applyFont="1" applyFill="1" applyBorder="1" applyAlignment="1">
      <alignment horizontal="center"/>
    </xf>
    <xf numFmtId="49" fontId="3" fillId="2" borderId="19" xfId="16" applyNumberFormat="1" applyFont="1" applyFill="1" applyBorder="1" applyAlignment="1">
      <alignment horizontal="center" wrapText="1"/>
    </xf>
    <xf numFmtId="49" fontId="3" fillId="2" borderId="16" xfId="16" applyNumberFormat="1" applyFont="1" applyFill="1" applyBorder="1" applyAlignment="1">
      <alignment horizontal="center"/>
    </xf>
    <xf numFmtId="49" fontId="3" fillId="2" borderId="19" xfId="11" applyNumberFormat="1" applyFont="1" applyFill="1" applyBorder="1" applyAlignment="1">
      <alignment wrapText="1"/>
    </xf>
    <xf numFmtId="49" fontId="3" fillId="2" borderId="1" xfId="5" applyNumberFormat="1" applyFont="1" applyFill="1" applyBorder="1" applyAlignment="1">
      <alignment horizontal="left" wrapText="1"/>
    </xf>
    <xf numFmtId="2" fontId="3" fillId="2" borderId="3" xfId="0" applyNumberFormat="1" applyFont="1" applyFill="1" applyBorder="1" applyAlignment="1">
      <alignment wrapText="1"/>
    </xf>
    <xf numFmtId="49" fontId="3" fillId="2" borderId="1" xfId="7" applyNumberFormat="1" applyFont="1" applyFill="1" applyBorder="1" applyAlignment="1">
      <alignment wrapText="1"/>
    </xf>
    <xf numFmtId="0" fontId="4" fillId="2" borderId="1" xfId="7" applyFont="1" applyFill="1" applyBorder="1" applyAlignment="1">
      <alignment horizontal="center" vertical="top"/>
    </xf>
    <xf numFmtId="49" fontId="4" fillId="2" borderId="9" xfId="7" applyNumberFormat="1" applyFont="1" applyFill="1" applyBorder="1" applyAlignment="1">
      <alignment horizontal="center"/>
    </xf>
    <xf numFmtId="49" fontId="4" fillId="2" borderId="3" xfId="7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left" wrapText="1"/>
    </xf>
    <xf numFmtId="49" fontId="3" fillId="2" borderId="3" xfId="5" applyNumberFormat="1" applyFont="1" applyFill="1" applyBorder="1" applyAlignment="1">
      <alignment horizontal="left" wrapText="1"/>
    </xf>
    <xf numFmtId="49" fontId="3" fillId="2" borderId="2" xfId="6" applyNumberFormat="1" applyFont="1" applyFill="1" applyBorder="1" applyAlignment="1">
      <alignment horizontal="center"/>
    </xf>
    <xf numFmtId="49" fontId="3" fillId="2" borderId="9" xfId="6" applyNumberFormat="1" applyFont="1" applyFill="1" applyBorder="1" applyAlignment="1">
      <alignment horizontal="center"/>
    </xf>
    <xf numFmtId="49" fontId="3" fillId="2" borderId="3" xfId="6" applyNumberFormat="1" applyFont="1" applyFill="1" applyBorder="1" applyAlignment="1">
      <alignment horizontal="center"/>
    </xf>
    <xf numFmtId="49" fontId="3" fillId="2" borderId="1" xfId="6" applyNumberFormat="1" applyFont="1" applyFill="1" applyBorder="1" applyAlignment="1">
      <alignment horizontal="center"/>
    </xf>
    <xf numFmtId="49" fontId="3" fillId="2" borderId="4" xfId="7" applyNumberFormat="1" applyFont="1" applyFill="1" applyBorder="1" applyAlignment="1">
      <alignment horizontal="center"/>
    </xf>
    <xf numFmtId="49" fontId="3" fillId="2" borderId="11" xfId="7" applyNumberFormat="1" applyFont="1" applyFill="1" applyBorder="1" applyAlignment="1">
      <alignment horizontal="center"/>
    </xf>
    <xf numFmtId="49" fontId="4" fillId="2" borderId="1" xfId="7" applyNumberFormat="1" applyFont="1" applyFill="1" applyBorder="1" applyAlignment="1">
      <alignment wrapText="1"/>
    </xf>
    <xf numFmtId="49" fontId="3" fillId="2" borderId="19" xfId="16" applyNumberFormat="1" applyFont="1" applyFill="1" applyBorder="1" applyAlignment="1">
      <alignment wrapText="1"/>
    </xf>
    <xf numFmtId="49" fontId="3" fillId="2" borderId="16" xfId="6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wrapText="1"/>
    </xf>
    <xf numFmtId="49" fontId="3" fillId="3" borderId="3" xfId="0" applyNumberFormat="1" applyFont="1" applyFill="1" applyBorder="1" applyAlignment="1">
      <alignment horizontal="left" wrapText="1"/>
    </xf>
    <xf numFmtId="49" fontId="3" fillId="2" borderId="10" xfId="7" applyNumberFormat="1" applyFont="1" applyFill="1" applyBorder="1" applyAlignment="1">
      <alignment horizontal="center"/>
    </xf>
    <xf numFmtId="49" fontId="3" fillId="2" borderId="1" xfId="6" applyNumberFormat="1" applyFont="1" applyFill="1" applyBorder="1" applyAlignment="1">
      <alignment horizontal="left" wrapText="1"/>
    </xf>
    <xf numFmtId="49" fontId="3" fillId="2" borderId="3" xfId="4" applyNumberFormat="1" applyFont="1" applyFill="1" applyBorder="1" applyAlignment="1" applyProtection="1">
      <alignment horizontal="left" wrapText="1"/>
      <protection hidden="1"/>
    </xf>
    <xf numFmtId="49" fontId="3" fillId="2" borderId="3" xfId="6" applyNumberFormat="1" applyFont="1" applyFill="1" applyBorder="1" applyAlignment="1">
      <alignment horizontal="left" wrapText="1"/>
    </xf>
    <xf numFmtId="49" fontId="3" fillId="2" borderId="1" xfId="4" applyNumberFormat="1" applyFont="1" applyFill="1" applyBorder="1" applyAlignment="1" applyProtection="1">
      <alignment horizontal="left" wrapText="1"/>
      <protection hidden="1"/>
    </xf>
    <xf numFmtId="49" fontId="3" fillId="2" borderId="30" xfId="14" applyNumberFormat="1" applyFont="1" applyFill="1" applyBorder="1" applyAlignment="1">
      <alignment wrapText="1"/>
    </xf>
    <xf numFmtId="49" fontId="3" fillId="2" borderId="13" xfId="14" applyNumberFormat="1" applyFont="1" applyFill="1" applyBorder="1" applyAlignment="1">
      <alignment wrapText="1"/>
    </xf>
    <xf numFmtId="49" fontId="3" fillId="2" borderId="1" xfId="14" applyNumberFormat="1" applyFont="1" applyFill="1" applyBorder="1" applyAlignment="1">
      <alignment wrapText="1"/>
    </xf>
    <xf numFmtId="49" fontId="3" fillId="2" borderId="19" xfId="14" applyNumberFormat="1" applyFont="1" applyFill="1" applyBorder="1" applyAlignment="1">
      <alignment wrapText="1"/>
    </xf>
    <xf numFmtId="0" fontId="3" fillId="2" borderId="1" xfId="5" applyFont="1" applyFill="1" applyBorder="1" applyAlignment="1">
      <alignment horizontal="center" vertical="top"/>
    </xf>
    <xf numFmtId="49" fontId="3" fillId="2" borderId="9" xfId="5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4" fillId="2" borderId="1" xfId="5" applyNumberFormat="1" applyFont="1" applyFill="1" applyBorder="1" applyAlignment="1">
      <alignment horizontal="left" wrapText="1"/>
    </xf>
    <xf numFmtId="49" fontId="4" fillId="2" borderId="9" xfId="6" applyNumberFormat="1" applyFont="1" applyFill="1" applyBorder="1" applyAlignment="1">
      <alignment horizontal="center"/>
    </xf>
    <xf numFmtId="168" fontId="4" fillId="2" borderId="1" xfId="7" applyNumberFormat="1" applyFont="1" applyFill="1" applyBorder="1" applyAlignment="1">
      <alignment horizontal="center"/>
    </xf>
    <xf numFmtId="49" fontId="3" fillId="2" borderId="25" xfId="11" applyNumberFormat="1" applyFont="1" applyFill="1" applyBorder="1" applyAlignment="1">
      <alignment horizontal="center"/>
    </xf>
    <xf numFmtId="49" fontId="3" fillId="2" borderId="20" xfId="16" applyNumberFormat="1" applyFont="1" applyFill="1" applyBorder="1" applyAlignment="1">
      <alignment horizontal="center"/>
    </xf>
    <xf numFmtId="49" fontId="3" fillId="2" borderId="26" xfId="16" applyNumberFormat="1" applyFont="1" applyFill="1" applyBorder="1" applyAlignment="1">
      <alignment horizontal="center"/>
    </xf>
    <xf numFmtId="49" fontId="3" fillId="2" borderId="19" xfId="5" applyNumberFormat="1" applyFont="1" applyFill="1" applyBorder="1" applyAlignment="1">
      <alignment wrapText="1"/>
    </xf>
    <xf numFmtId="49" fontId="3" fillId="2" borderId="19" xfId="16" applyNumberFormat="1" applyFont="1" applyFill="1" applyBorder="1" applyAlignment="1">
      <alignment horizontal="center"/>
    </xf>
    <xf numFmtId="49" fontId="3" fillId="2" borderId="1" xfId="5" applyNumberFormat="1" applyFont="1" applyFill="1" applyBorder="1" applyAlignment="1">
      <alignment wrapText="1"/>
    </xf>
    <xf numFmtId="49" fontId="3" fillId="2" borderId="3" xfId="5" applyNumberFormat="1" applyFont="1" applyFill="1" applyBorder="1" applyAlignment="1">
      <alignment horizontal="center"/>
    </xf>
    <xf numFmtId="49" fontId="3" fillId="2" borderId="1" xfId="5" applyNumberFormat="1" applyFont="1" applyFill="1" applyBorder="1" applyAlignment="1">
      <alignment horizontal="center"/>
    </xf>
    <xf numFmtId="49" fontId="3" fillId="2" borderId="6" xfId="6" applyNumberFormat="1" applyFont="1" applyFill="1" applyBorder="1" applyAlignment="1">
      <alignment horizontal="center"/>
    </xf>
    <xf numFmtId="49" fontId="3" fillId="2" borderId="7" xfId="5" applyNumberFormat="1" applyFont="1" applyFill="1" applyBorder="1" applyAlignment="1">
      <alignment horizontal="center"/>
    </xf>
    <xf numFmtId="49" fontId="3" fillId="2" borderId="8" xfId="5" applyNumberFormat="1" applyFont="1" applyFill="1" applyBorder="1" applyAlignment="1">
      <alignment horizontal="center"/>
    </xf>
    <xf numFmtId="49" fontId="3" fillId="2" borderId="17" xfId="6" applyNumberFormat="1" applyFont="1" applyFill="1" applyBorder="1" applyAlignment="1">
      <alignment horizontal="center"/>
    </xf>
    <xf numFmtId="49" fontId="3" fillId="2" borderId="3" xfId="5" applyNumberFormat="1" applyFont="1" applyFill="1" applyBorder="1" applyAlignment="1">
      <alignment wrapText="1"/>
    </xf>
    <xf numFmtId="49" fontId="3" fillId="2" borderId="0" xfId="16" applyNumberFormat="1" applyFont="1" applyFill="1" applyBorder="1" applyAlignment="1">
      <alignment horizontal="center"/>
    </xf>
    <xf numFmtId="49" fontId="3" fillId="2" borderId="22" xfId="14" applyNumberFormat="1" applyFont="1" applyFill="1" applyBorder="1" applyAlignment="1">
      <alignment wrapText="1"/>
    </xf>
    <xf numFmtId="49" fontId="3" fillId="2" borderId="18" xfId="14" applyNumberFormat="1" applyFont="1" applyFill="1" applyBorder="1" applyAlignment="1">
      <alignment horizontal="center"/>
    </xf>
    <xf numFmtId="49" fontId="3" fillId="2" borderId="19" xfId="14" applyNumberFormat="1" applyFont="1" applyFill="1" applyBorder="1" applyAlignment="1">
      <alignment horizontal="center"/>
    </xf>
    <xf numFmtId="49" fontId="3" fillId="2" borderId="21" xfId="14" applyNumberFormat="1" applyFont="1" applyFill="1" applyBorder="1" applyAlignment="1">
      <alignment horizontal="center"/>
    </xf>
    <xf numFmtId="49" fontId="3" fillId="2" borderId="29" xfId="14" applyNumberFormat="1" applyFont="1" applyFill="1" applyBorder="1" applyAlignment="1">
      <alignment wrapText="1"/>
    </xf>
    <xf numFmtId="49" fontId="3" fillId="2" borderId="18" xfId="6" applyNumberFormat="1" applyFont="1" applyFill="1" applyBorder="1" applyAlignment="1">
      <alignment horizontal="center"/>
    </xf>
    <xf numFmtId="49" fontId="3" fillId="2" borderId="16" xfId="14" applyNumberFormat="1" applyFont="1" applyFill="1" applyBorder="1" applyAlignment="1">
      <alignment horizontal="center"/>
    </xf>
    <xf numFmtId="49" fontId="3" fillId="2" borderId="29" xfId="16" applyNumberFormat="1" applyFont="1" applyFill="1" applyBorder="1" applyAlignment="1">
      <alignment wrapText="1"/>
    </xf>
    <xf numFmtId="49" fontId="3" fillId="2" borderId="20" xfId="14" applyNumberFormat="1" applyFont="1" applyFill="1" applyBorder="1" applyAlignment="1">
      <alignment horizontal="center"/>
    </xf>
    <xf numFmtId="49" fontId="3" fillId="2" borderId="26" xfId="14" applyNumberFormat="1" applyFont="1" applyFill="1" applyBorder="1" applyAlignment="1">
      <alignment horizontal="center"/>
    </xf>
    <xf numFmtId="49" fontId="3" fillId="2" borderId="23" xfId="14" applyNumberFormat="1" applyFont="1" applyFill="1" applyBorder="1" applyAlignment="1">
      <alignment horizontal="center"/>
    </xf>
    <xf numFmtId="49" fontId="3" fillId="2" borderId="16" xfId="16" applyNumberFormat="1" applyFont="1" applyFill="1" applyBorder="1" applyAlignment="1">
      <alignment wrapText="1"/>
    </xf>
    <xf numFmtId="49" fontId="3" fillId="2" borderId="20" xfId="6" applyNumberFormat="1" applyFont="1" applyFill="1" applyBorder="1" applyAlignment="1">
      <alignment horizontal="center"/>
    </xf>
    <xf numFmtId="49" fontId="3" fillId="2" borderId="2" xfId="11" applyNumberFormat="1" applyFont="1" applyFill="1" applyBorder="1" applyAlignment="1">
      <alignment horizontal="center"/>
    </xf>
    <xf numFmtId="49" fontId="3" fillId="2" borderId="3" xfId="5" applyNumberFormat="1" applyFont="1" applyFill="1" applyBorder="1" applyAlignment="1">
      <alignment horizontal="center" wrapText="1"/>
    </xf>
    <xf numFmtId="49" fontId="3" fillId="2" borderId="17" xfId="5" applyNumberFormat="1" applyFont="1" applyFill="1" applyBorder="1" applyAlignment="1">
      <alignment horizontal="center"/>
    </xf>
    <xf numFmtId="49" fontId="3" fillId="2" borderId="18" xfId="5" applyNumberFormat="1" applyFont="1" applyFill="1" applyBorder="1" applyAlignment="1">
      <alignment horizontal="center"/>
    </xf>
    <xf numFmtId="49" fontId="3" fillId="2" borderId="19" xfId="5" applyNumberFormat="1" applyFont="1" applyFill="1" applyBorder="1" applyAlignment="1">
      <alignment horizontal="center"/>
    </xf>
    <xf numFmtId="49" fontId="3" fillId="2" borderId="16" xfId="5" applyNumberFormat="1" applyFont="1" applyFill="1" applyBorder="1" applyAlignment="1">
      <alignment horizontal="center"/>
    </xf>
    <xf numFmtId="49" fontId="4" fillId="2" borderId="19" xfId="8" applyNumberFormat="1" applyFont="1" applyFill="1" applyBorder="1" applyAlignment="1">
      <alignment wrapText="1"/>
    </xf>
    <xf numFmtId="49" fontId="4" fillId="2" borderId="17" xfId="11" applyNumberFormat="1" applyFont="1" applyFill="1" applyBorder="1" applyAlignment="1">
      <alignment horizontal="center"/>
    </xf>
    <xf numFmtId="49" fontId="4" fillId="2" borderId="18" xfId="16" applyNumberFormat="1" applyFont="1" applyFill="1" applyBorder="1" applyAlignment="1">
      <alignment horizontal="center"/>
    </xf>
    <xf numFmtId="49" fontId="4" fillId="2" borderId="19" xfId="16" applyNumberFormat="1" applyFont="1" applyFill="1" applyBorder="1" applyAlignment="1">
      <alignment horizontal="center" wrapText="1"/>
    </xf>
    <xf numFmtId="49" fontId="4" fillId="2" borderId="16" xfId="16" applyNumberFormat="1" applyFont="1" applyFill="1" applyBorder="1" applyAlignment="1">
      <alignment horizontal="center"/>
    </xf>
    <xf numFmtId="49" fontId="4" fillId="2" borderId="1" xfId="6" applyNumberFormat="1" applyFont="1" applyFill="1" applyBorder="1" applyAlignment="1">
      <alignment horizontal="center"/>
    </xf>
    <xf numFmtId="11" fontId="3" fillId="2" borderId="3" xfId="0" applyNumberFormat="1" applyFont="1" applyFill="1" applyBorder="1" applyAlignment="1">
      <alignment wrapText="1"/>
    </xf>
    <xf numFmtId="49" fontId="4" fillId="2" borderId="3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4" fillId="2" borderId="1" xfId="4" applyNumberFormat="1" applyFont="1" applyFill="1" applyBorder="1" applyAlignment="1" applyProtection="1">
      <alignment horizontal="left" wrapText="1"/>
      <protection hidden="1"/>
    </xf>
    <xf numFmtId="49" fontId="4" fillId="2" borderId="1" xfId="0" applyNumberFormat="1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166" fontId="3" fillId="2" borderId="1" xfId="7" applyNumberFormat="1" applyFont="1" applyFill="1" applyBorder="1"/>
    <xf numFmtId="49" fontId="3" fillId="2" borderId="0" xfId="0" applyNumberFormat="1" applyFont="1" applyFill="1" applyBorder="1" applyAlignment="1">
      <alignment horizontal="left" vertical="top" wrapText="1"/>
    </xf>
    <xf numFmtId="166" fontId="3" fillId="2" borderId="0" xfId="7" applyNumberFormat="1" applyFont="1" applyFill="1" applyBorder="1"/>
    <xf numFmtId="166" fontId="10" fillId="2" borderId="0" xfId="7" applyNumberFormat="1" applyFont="1" applyFill="1" applyAlignment="1">
      <alignment horizontal="center"/>
    </xf>
    <xf numFmtId="49" fontId="10" fillId="2" borderId="0" xfId="7" applyNumberFormat="1" applyFont="1" applyFill="1" applyAlignment="1">
      <alignment vertical="top" wrapText="1"/>
    </xf>
    <xf numFmtId="49" fontId="10" fillId="2" borderId="0" xfId="7" applyNumberFormat="1" applyFont="1" applyFill="1" applyAlignment="1">
      <alignment horizontal="center"/>
    </xf>
    <xf numFmtId="49" fontId="1" fillId="2" borderId="3" xfId="7" applyNumberFormat="1" applyFont="1" applyFill="1" applyBorder="1" applyAlignment="1">
      <alignment horizontal="center"/>
    </xf>
    <xf numFmtId="166" fontId="3" fillId="2" borderId="4" xfId="7" applyNumberFormat="1" applyFont="1" applyFill="1" applyBorder="1" applyAlignment="1">
      <alignment horizontal="right"/>
    </xf>
    <xf numFmtId="166" fontId="3" fillId="2" borderId="1" xfId="7" applyNumberFormat="1" applyFont="1" applyFill="1" applyBorder="1" applyAlignment="1">
      <alignment horizontal="center" vertical="center"/>
    </xf>
    <xf numFmtId="176" fontId="22" fillId="2" borderId="0" xfId="7" applyNumberFormat="1" applyFont="1" applyFill="1"/>
    <xf numFmtId="0" fontId="10" fillId="2" borderId="1" xfId="7" applyFont="1" applyFill="1" applyBorder="1" applyAlignment="1">
      <alignment horizontal="center" vertical="top"/>
    </xf>
    <xf numFmtId="166" fontId="3" fillId="2" borderId="1" xfId="7" applyNumberFormat="1" applyFont="1" applyFill="1" applyBorder="1" applyAlignment="1"/>
    <xf numFmtId="49" fontId="3" fillId="2" borderId="26" xfId="16" applyNumberFormat="1" applyFont="1" applyFill="1" applyBorder="1" applyAlignment="1">
      <alignment wrapText="1"/>
    </xf>
    <xf numFmtId="49" fontId="3" fillId="2" borderId="19" xfId="12" applyNumberFormat="1" applyFont="1" applyFill="1" applyBorder="1" applyAlignment="1">
      <alignment horizontal="center"/>
    </xf>
    <xf numFmtId="49" fontId="3" fillId="2" borderId="23" xfId="12" applyNumberFormat="1" applyFont="1" applyFill="1" applyBorder="1" applyAlignment="1">
      <alignment horizontal="center"/>
    </xf>
    <xf numFmtId="49" fontId="3" fillId="2" borderId="28" xfId="12" applyNumberFormat="1" applyFont="1" applyFill="1" applyBorder="1" applyAlignment="1">
      <alignment horizontal="center"/>
    </xf>
    <xf numFmtId="49" fontId="3" fillId="2" borderId="1" xfId="12" applyNumberFormat="1" applyFont="1" applyFill="1" applyBorder="1" applyAlignment="1">
      <alignment horizontal="center"/>
    </xf>
    <xf numFmtId="49" fontId="3" fillId="2" borderId="6" xfId="11" applyNumberFormat="1" applyFont="1" applyFill="1" applyBorder="1" applyAlignment="1">
      <alignment horizontal="center"/>
    </xf>
    <xf numFmtId="49" fontId="3" fillId="2" borderId="21" xfId="14" applyNumberFormat="1" applyFont="1" applyFill="1" applyBorder="1" applyAlignment="1">
      <alignment wrapText="1"/>
    </xf>
    <xf numFmtId="49" fontId="3" fillId="2" borderId="31" xfId="6" applyNumberFormat="1" applyFont="1" applyFill="1" applyBorder="1" applyAlignment="1">
      <alignment horizontal="center"/>
    </xf>
    <xf numFmtId="49" fontId="3" fillId="2" borderId="34" xfId="14" applyNumberFormat="1" applyFont="1" applyFill="1" applyBorder="1" applyAlignment="1">
      <alignment horizontal="center"/>
    </xf>
    <xf numFmtId="49" fontId="3" fillId="2" borderId="22" xfId="14" applyNumberFormat="1" applyFont="1" applyFill="1" applyBorder="1" applyAlignment="1">
      <alignment horizontal="center"/>
    </xf>
    <xf numFmtId="166" fontId="3" fillId="2" borderId="13" xfId="7" applyNumberFormat="1" applyFont="1" applyFill="1" applyBorder="1" applyAlignment="1">
      <alignment horizontal="right"/>
    </xf>
    <xf numFmtId="49" fontId="3" fillId="2" borderId="16" xfId="14" applyNumberFormat="1" applyFont="1" applyFill="1" applyBorder="1" applyAlignment="1">
      <alignment wrapText="1"/>
    </xf>
    <xf numFmtId="49" fontId="3" fillId="2" borderId="17" xfId="5" applyNumberFormat="1" applyFont="1" applyFill="1" applyBorder="1" applyAlignment="1">
      <alignment wrapText="1"/>
    </xf>
    <xf numFmtId="49" fontId="3" fillId="2" borderId="24" xfId="6" applyNumberFormat="1" applyFont="1" applyFill="1" applyBorder="1" applyAlignment="1">
      <alignment horizontal="center"/>
    </xf>
    <xf numFmtId="49" fontId="3" fillId="2" borderId="9" xfId="14" applyNumberFormat="1" applyFont="1" applyFill="1" applyBorder="1" applyAlignment="1">
      <alignment horizontal="center"/>
    </xf>
    <xf numFmtId="49" fontId="3" fillId="2" borderId="3" xfId="14" applyNumberFormat="1" applyFont="1" applyFill="1" applyBorder="1" applyAlignment="1">
      <alignment horizontal="center"/>
    </xf>
    <xf numFmtId="49" fontId="3" fillId="2" borderId="1" xfId="14" applyNumberFormat="1" applyFont="1" applyFill="1" applyBorder="1" applyAlignment="1">
      <alignment horizontal="center"/>
    </xf>
    <xf numFmtId="49" fontId="3" fillId="2" borderId="7" xfId="14" applyNumberFormat="1" applyFont="1" applyFill="1" applyBorder="1" applyAlignment="1">
      <alignment horizontal="center"/>
    </xf>
    <xf numFmtId="49" fontId="3" fillId="2" borderId="8" xfId="14" applyNumberFormat="1" applyFont="1" applyFill="1" applyBorder="1" applyAlignment="1">
      <alignment horizontal="center"/>
    </xf>
    <xf numFmtId="49" fontId="3" fillId="2" borderId="18" xfId="16" applyNumberFormat="1" applyFont="1" applyFill="1" applyBorder="1" applyAlignment="1">
      <alignment wrapText="1"/>
    </xf>
    <xf numFmtId="49" fontId="3" fillId="2" borderId="35" xfId="11" applyNumberFormat="1" applyFont="1" applyFill="1" applyBorder="1" applyAlignment="1">
      <alignment horizontal="center"/>
    </xf>
    <xf numFmtId="49" fontId="3" fillId="2" borderId="36" xfId="16" applyNumberFormat="1" applyFont="1" applyFill="1" applyBorder="1" applyAlignment="1">
      <alignment horizontal="center"/>
    </xf>
    <xf numFmtId="49" fontId="3" fillId="2" borderId="37" xfId="16" applyNumberFormat="1" applyFont="1" applyFill="1" applyBorder="1" applyAlignment="1">
      <alignment horizontal="center" wrapText="1"/>
    </xf>
    <xf numFmtId="49" fontId="3" fillId="2" borderId="21" xfId="16" applyNumberFormat="1" applyFont="1" applyFill="1" applyBorder="1" applyAlignment="1">
      <alignment horizontal="center"/>
    </xf>
    <xf numFmtId="0" fontId="4" fillId="2" borderId="5" xfId="7" applyFont="1" applyFill="1" applyBorder="1" applyAlignment="1">
      <alignment horizontal="center" vertical="top"/>
    </xf>
    <xf numFmtId="49" fontId="3" fillId="2" borderId="26" xfId="5" applyNumberFormat="1" applyFont="1" applyFill="1" applyBorder="1" applyAlignment="1">
      <alignment wrapText="1"/>
    </xf>
    <xf numFmtId="49" fontId="3" fillId="2" borderId="26" xfId="16" applyNumberFormat="1" applyFont="1" applyFill="1" applyBorder="1" applyAlignment="1">
      <alignment horizontal="center" wrapText="1"/>
    </xf>
    <xf numFmtId="49" fontId="3" fillId="2" borderId="23" xfId="16" applyNumberFormat="1" applyFont="1" applyFill="1" applyBorder="1" applyAlignment="1">
      <alignment horizontal="center"/>
    </xf>
    <xf numFmtId="166" fontId="3" fillId="2" borderId="5" xfId="7" applyNumberFormat="1" applyFont="1" applyFill="1" applyBorder="1" applyAlignment="1">
      <alignment horizontal="right"/>
    </xf>
    <xf numFmtId="49" fontId="3" fillId="2" borderId="1" xfId="16" applyNumberFormat="1" applyFont="1" applyFill="1" applyBorder="1" applyAlignment="1">
      <alignment horizontal="center"/>
    </xf>
    <xf numFmtId="49" fontId="3" fillId="2" borderId="1" xfId="16" applyNumberFormat="1" applyFont="1" applyFill="1" applyBorder="1" applyAlignment="1">
      <alignment wrapText="1"/>
    </xf>
    <xf numFmtId="49" fontId="3" fillId="2" borderId="3" xfId="8" applyNumberFormat="1" applyFont="1" applyFill="1" applyBorder="1" applyAlignment="1">
      <alignment wrapText="1"/>
    </xf>
    <xf numFmtId="49" fontId="4" fillId="2" borderId="1" xfId="4" applyNumberFormat="1" applyFont="1" applyFill="1" applyBorder="1" applyAlignment="1" applyProtection="1">
      <alignment horizontal="left" vertical="top" wrapText="1"/>
      <protection hidden="1"/>
    </xf>
    <xf numFmtId="0" fontId="3" fillId="2" borderId="0" xfId="7" applyFont="1" applyFill="1" applyBorder="1" applyAlignment="1">
      <alignment horizontal="center" vertical="top"/>
    </xf>
    <xf numFmtId="49" fontId="3" fillId="2" borderId="0" xfId="0" applyNumberFormat="1" applyFont="1" applyFill="1" applyBorder="1" applyAlignment="1">
      <alignment wrapText="1"/>
    </xf>
    <xf numFmtId="166" fontId="3" fillId="2" borderId="0" xfId="7" applyNumberFormat="1" applyFont="1" applyFill="1" applyBorder="1" applyAlignment="1">
      <alignment horizontal="right"/>
    </xf>
    <xf numFmtId="49" fontId="1" fillId="2" borderId="16" xfId="6" applyNumberFormat="1" applyFont="1" applyFill="1" applyBorder="1" applyAlignment="1">
      <alignment horizontal="center"/>
    </xf>
    <xf numFmtId="166" fontId="1" fillId="2" borderId="1" xfId="14" applyNumberFormat="1" applyFont="1" applyFill="1" applyBorder="1" applyAlignment="1">
      <alignment horizontal="right"/>
    </xf>
    <xf numFmtId="166" fontId="1" fillId="2" borderId="17" xfId="16" applyNumberFormat="1" applyFont="1" applyFill="1" applyBorder="1" applyAlignment="1">
      <alignment horizontal="right"/>
    </xf>
    <xf numFmtId="166" fontId="1" fillId="2" borderId="1" xfId="14" applyNumberFormat="1" applyFont="1" applyFill="1" applyBorder="1"/>
    <xf numFmtId="0" fontId="1" fillId="2" borderId="3" xfId="0" applyNumberFormat="1" applyFont="1" applyFill="1" applyBorder="1" applyAlignment="1">
      <alignment wrapText="1"/>
    </xf>
    <xf numFmtId="4" fontId="1" fillId="2" borderId="3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49" fontId="3" fillId="2" borderId="16" xfId="5" applyNumberFormat="1" applyFont="1" applyFill="1" applyBorder="1" applyAlignment="1">
      <alignment wrapText="1"/>
    </xf>
    <xf numFmtId="49" fontId="3" fillId="2" borderId="6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171" fontId="22" fillId="2" borderId="0" xfId="7" applyNumberFormat="1" applyFont="1" applyFill="1"/>
    <xf numFmtId="166" fontId="1" fillId="2" borderId="31" xfId="16" applyNumberFormat="1" applyFont="1" applyFill="1" applyBorder="1" applyAlignment="1">
      <alignment horizontal="right"/>
    </xf>
    <xf numFmtId="166" fontId="1" fillId="2" borderId="13" xfId="16" applyNumberFormat="1" applyFont="1" applyFill="1" applyBorder="1" applyAlignment="1">
      <alignment horizontal="right"/>
    </xf>
    <xf numFmtId="166" fontId="1" fillId="2" borderId="38" xfId="16" applyNumberFormat="1" applyFont="1" applyFill="1" applyBorder="1" applyAlignment="1">
      <alignment horizontal="right"/>
    </xf>
    <xf numFmtId="166" fontId="1" fillId="2" borderId="1" xfId="0" applyNumberFormat="1" applyFont="1" applyFill="1" applyBorder="1" applyAlignment="1">
      <alignment horizontal="center" vertical="center" wrapText="1"/>
    </xf>
    <xf numFmtId="166" fontId="3" fillId="2" borderId="1" xfId="19" applyNumberFormat="1" applyFont="1" applyFill="1" applyBorder="1" applyAlignment="1">
      <alignment horizontal="center" wrapText="1"/>
    </xf>
    <xf numFmtId="168" fontId="1" fillId="2" borderId="1" xfId="0" applyNumberFormat="1" applyFont="1" applyFill="1" applyBorder="1" applyAlignment="1">
      <alignment vertical="center" wrapText="1"/>
    </xf>
    <xf numFmtId="169" fontId="3" fillId="2" borderId="1" xfId="0" applyNumberFormat="1" applyFont="1" applyFill="1" applyBorder="1" applyAlignment="1">
      <alignment horizontal="center" wrapText="1"/>
    </xf>
    <xf numFmtId="49" fontId="1" fillId="2" borderId="17" xfId="14" applyNumberFormat="1" applyFont="1" applyFill="1" applyBorder="1" applyAlignment="1">
      <alignment horizontal="center"/>
    </xf>
    <xf numFmtId="49" fontId="1" fillId="2" borderId="1" xfId="14" applyNumberFormat="1" applyFont="1" applyFill="1" applyBorder="1" applyAlignment="1">
      <alignment horizontal="center"/>
    </xf>
    <xf numFmtId="49" fontId="3" fillId="2" borderId="2" xfId="7" applyNumberFormat="1" applyFont="1" applyFill="1" applyBorder="1" applyAlignment="1">
      <alignment horizontal="center"/>
    </xf>
    <xf numFmtId="49" fontId="3" fillId="2" borderId="9" xfId="7" applyNumberFormat="1" applyFont="1" applyFill="1" applyBorder="1" applyAlignment="1">
      <alignment horizontal="center"/>
    </xf>
    <xf numFmtId="49" fontId="3" fillId="2" borderId="3" xfId="7" applyNumberFormat="1" applyFont="1" applyFill="1" applyBorder="1" applyAlignment="1">
      <alignment horizontal="center"/>
    </xf>
    <xf numFmtId="168" fontId="3" fillId="2" borderId="1" xfId="7" applyNumberFormat="1" applyFont="1" applyFill="1" applyBorder="1" applyAlignment="1">
      <alignment horizontal="center"/>
    </xf>
    <xf numFmtId="49" fontId="3" fillId="2" borderId="1" xfId="7" applyNumberFormat="1" applyFont="1" applyFill="1" applyBorder="1" applyAlignment="1">
      <alignment horizontal="center" vertical="center" wrapText="1"/>
    </xf>
    <xf numFmtId="49" fontId="3" fillId="2" borderId="1" xfId="7" applyNumberFormat="1" applyFont="1" applyFill="1" applyBorder="1" applyAlignment="1">
      <alignment horizontal="center" vertical="center"/>
    </xf>
    <xf numFmtId="1" fontId="2" fillId="2" borderId="0" xfId="2" applyNumberFormat="1" applyFont="1" applyFill="1" applyAlignment="1">
      <alignment horizontal="center" wrapText="1"/>
    </xf>
    <xf numFmtId="49" fontId="1" fillId="2" borderId="2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170" fontId="1" fillId="2" borderId="2" xfId="1" applyNumberFormat="1" applyFont="1" applyFill="1" applyBorder="1" applyAlignment="1">
      <alignment horizontal="center" vertical="center" wrapText="1"/>
    </xf>
    <xf numFmtId="170" fontId="1" fillId="2" borderId="9" xfId="1" applyNumberFormat="1" applyFont="1" applyFill="1" applyBorder="1" applyAlignment="1">
      <alignment horizontal="center" vertical="center" wrapText="1"/>
    </xf>
    <xf numFmtId="170" fontId="1" fillId="2" borderId="3" xfId="1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1" fillId="2" borderId="0" xfId="1" applyFont="1" applyFill="1" applyBorder="1" applyAlignment="1">
      <alignment horizontal="left" wrapText="1"/>
    </xf>
    <xf numFmtId="0" fontId="1" fillId="2" borderId="5" xfId="1" applyFont="1" applyFill="1" applyBorder="1" applyAlignment="1">
      <alignment horizontal="center" vertical="center"/>
    </xf>
    <xf numFmtId="0" fontId="1" fillId="2" borderId="13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168" fontId="3" fillId="2" borderId="2" xfId="3" applyNumberFormat="1" applyFont="1" applyFill="1" applyBorder="1" applyAlignment="1">
      <alignment horizontal="center" vertical="center"/>
    </xf>
    <xf numFmtId="168" fontId="3" fillId="2" borderId="9" xfId="3" applyNumberFormat="1" applyFont="1" applyFill="1" applyBorder="1" applyAlignment="1">
      <alignment horizontal="center" vertical="center"/>
    </xf>
    <xf numFmtId="168" fontId="3" fillId="2" borderId="3" xfId="3" applyNumberFormat="1" applyFont="1" applyFill="1" applyBorder="1" applyAlignment="1">
      <alignment horizontal="center" vertical="center"/>
    </xf>
    <xf numFmtId="0" fontId="4" fillId="2" borderId="0" xfId="3" applyFont="1" applyFill="1" applyAlignment="1">
      <alignment horizontal="center"/>
    </xf>
    <xf numFmtId="0" fontId="3" fillId="2" borderId="5" xfId="3" applyFont="1" applyFill="1" applyBorder="1" applyAlignment="1">
      <alignment horizontal="center" vertical="center" wrapText="1"/>
    </xf>
    <xf numFmtId="0" fontId="3" fillId="2" borderId="13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/>
    </xf>
    <xf numFmtId="0" fontId="3" fillId="2" borderId="13" xfId="3" applyFont="1" applyFill="1" applyBorder="1" applyAlignment="1">
      <alignment horizontal="center" vertical="center"/>
    </xf>
    <xf numFmtId="1" fontId="4" fillId="2" borderId="0" xfId="2" applyNumberFormat="1" applyFont="1" applyFill="1" applyAlignment="1">
      <alignment horizontal="center" wrapText="1"/>
    </xf>
    <xf numFmtId="49" fontId="3" fillId="2" borderId="6" xfId="7" applyNumberFormat="1" applyFont="1" applyFill="1" applyBorder="1" applyAlignment="1">
      <alignment horizontal="center" vertical="center"/>
    </xf>
    <xf numFmtId="49" fontId="3" fillId="2" borderId="7" xfId="7" applyNumberFormat="1" applyFont="1" applyFill="1" applyBorder="1" applyAlignment="1">
      <alignment horizontal="center" vertical="center"/>
    </xf>
    <xf numFmtId="49" fontId="3" fillId="2" borderId="8" xfId="7" applyNumberFormat="1" applyFont="1" applyFill="1" applyBorder="1" applyAlignment="1">
      <alignment horizontal="center" vertical="center"/>
    </xf>
    <xf numFmtId="49" fontId="3" fillId="2" borderId="2" xfId="7" applyNumberFormat="1" applyFont="1" applyFill="1" applyBorder="1" applyAlignment="1">
      <alignment horizontal="center"/>
    </xf>
    <xf numFmtId="49" fontId="3" fillId="2" borderId="9" xfId="7" applyNumberFormat="1" applyFont="1" applyFill="1" applyBorder="1" applyAlignment="1">
      <alignment horizontal="center"/>
    </xf>
    <xf numFmtId="49" fontId="3" fillId="2" borderId="3" xfId="7" applyNumberFormat="1" applyFont="1" applyFill="1" applyBorder="1" applyAlignment="1">
      <alignment horizontal="center"/>
    </xf>
    <xf numFmtId="168" fontId="3" fillId="2" borderId="1" xfId="7" applyNumberFormat="1" applyFont="1" applyFill="1" applyBorder="1" applyAlignment="1">
      <alignment horizontal="center"/>
    </xf>
    <xf numFmtId="49" fontId="3" fillId="2" borderId="1" xfId="7" applyNumberFormat="1" applyFont="1" applyFill="1" applyBorder="1" applyAlignment="1">
      <alignment horizontal="center" vertical="center" wrapText="1"/>
    </xf>
    <xf numFmtId="49" fontId="3" fillId="2" borderId="1" xfId="7" applyNumberFormat="1" applyFont="1" applyFill="1" applyBorder="1" applyAlignment="1">
      <alignment horizontal="center" vertical="center"/>
    </xf>
    <xf numFmtId="1" fontId="2" fillId="2" borderId="0" xfId="2" applyNumberFormat="1" applyFont="1" applyFill="1" applyAlignment="1">
      <alignment horizontal="center" wrapText="1"/>
    </xf>
    <xf numFmtId="49" fontId="1" fillId="2" borderId="2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5" xfId="3" applyFont="1" applyFill="1" applyBorder="1" applyAlignment="1">
      <alignment horizontal="center" vertical="center"/>
    </xf>
    <xf numFmtId="0" fontId="1" fillId="2" borderId="13" xfId="3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24" fillId="2" borderId="5" xfId="0" applyNumberFormat="1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3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169" fontId="3" fillId="2" borderId="1" xfId="0" applyNumberFormat="1" applyFont="1" applyFill="1" applyBorder="1" applyAlignment="1">
      <alignment horizontal="center" vertical="center" wrapText="1"/>
    </xf>
    <xf numFmtId="169" fontId="14" fillId="2" borderId="1" xfId="0" applyNumberFormat="1" applyFont="1" applyFill="1" applyBorder="1" applyAlignment="1">
      <alignment horizontal="center" vertical="center" wrapText="1"/>
    </xf>
    <xf numFmtId="169" fontId="3" fillId="2" borderId="6" xfId="0" applyNumberFormat="1" applyFont="1" applyFill="1" applyBorder="1" applyAlignment="1">
      <alignment horizontal="center" vertical="center" wrapText="1"/>
    </xf>
    <xf numFmtId="169" fontId="3" fillId="2" borderId="8" xfId="0" applyNumberFormat="1" applyFont="1" applyFill="1" applyBorder="1" applyAlignment="1">
      <alignment horizontal="center" vertical="center" wrapText="1"/>
    </xf>
    <xf numFmtId="49" fontId="23" fillId="2" borderId="5" xfId="0" applyNumberFormat="1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" fillId="2" borderId="0" xfId="3" applyFont="1" applyFill="1" applyAlignment="1">
      <alignment horizontal="center" wrapText="1"/>
    </xf>
    <xf numFmtId="0" fontId="3" fillId="2" borderId="2" xfId="3" applyFont="1" applyFill="1" applyBorder="1" applyAlignment="1">
      <alignment horizontal="center" vertical="center" wrapText="1"/>
    </xf>
    <xf numFmtId="0" fontId="3" fillId="2" borderId="9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0" fillId="2" borderId="0" xfId="0" applyFill="1" applyAlignment="1"/>
    <xf numFmtId="173" fontId="1" fillId="2" borderId="0" xfId="3" applyNumberFormat="1" applyFont="1" applyFill="1"/>
    <xf numFmtId="10" fontId="1" fillId="2" borderId="0" xfId="3" applyNumberFormat="1" applyFont="1" applyFill="1"/>
    <xf numFmtId="171" fontId="2" fillId="2" borderId="0" xfId="3" applyNumberFormat="1" applyFont="1" applyFill="1"/>
    <xf numFmtId="173" fontId="2" fillId="2" borderId="0" xfId="3" applyNumberFormat="1" applyFont="1" applyFill="1"/>
    <xf numFmtId="168" fontId="2" fillId="2" borderId="0" xfId="3" applyNumberFormat="1" applyFont="1" applyFill="1" applyAlignment="1">
      <alignment shrinkToFit="1"/>
    </xf>
    <xf numFmtId="0" fontId="2" fillId="2" borderId="0" xfId="3" applyFont="1" applyFill="1"/>
    <xf numFmtId="168" fontId="1" fillId="2" borderId="0" xfId="7" applyNumberFormat="1" applyFont="1" applyFill="1"/>
  </cellXfs>
  <cellStyles count="20">
    <cellStyle name="Excel Built-in Normal" xfId="5"/>
    <cellStyle name="Excel Built-in Normal 1" xfId="11"/>
    <cellStyle name="Excel Built-in Normal 2" xfId="14"/>
    <cellStyle name="Excel Built-in Normal 3" xfId="16"/>
    <cellStyle name="Обычный" xfId="0" builtinId="0"/>
    <cellStyle name="Обычный 2" xfId="7"/>
    <cellStyle name="Обычный 2 2" xfId="8"/>
    <cellStyle name="Обычный 2 2 2" xfId="4"/>
    <cellStyle name="Обычный 2 2 3" xfId="18"/>
    <cellStyle name="Обычный 3" xfId="15"/>
    <cellStyle name="Обычный 3 2" xfId="17"/>
    <cellStyle name="Обычный_ведомственная  и прилож. на 2008 год без краевых-2" xfId="9"/>
    <cellStyle name="Обычный_ведомственная  и прилож. на 2008 год без краевых-2 2" xfId="12"/>
    <cellStyle name="Обычный_ведомственная  и прилож. на 2008 год без краевых-2 2 2" xfId="6"/>
    <cellStyle name="Обычный_Приложение № 2 к проекту бюджета" xfId="1"/>
    <cellStyle name="Обычный_расчеты к бю.джету1" xfId="2"/>
    <cellStyle name="Обычный_Функциональная структура расходов бюджета на 2005 год" xfId="3"/>
    <cellStyle name="Финансовый" xfId="19" builtinId="3"/>
    <cellStyle name="Финансовый [0]" xfId="13" builtinId="6"/>
    <cellStyle name="Финансовый 2" xfId="10"/>
  </cellStyles>
  <dxfs count="0"/>
  <tableStyles count="0" defaultTableStyle="TableStyleMedium2" defaultPivotStyle="PivotStyleMedium9"/>
  <colors>
    <mruColors>
      <color rgb="FFFFFFCC"/>
      <color rgb="FFFFFF99"/>
      <color rgb="FFCCFF99"/>
      <color rgb="FFFFCCCC"/>
      <color rgb="FFCCECFF"/>
      <color rgb="FF0000FF"/>
      <color rgb="FF8A0000"/>
      <color rgb="FF540000"/>
      <color rgb="FF740000"/>
      <color rgb="FF9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H135"/>
  <sheetViews>
    <sheetView tabSelected="1" zoomScale="80" zoomScaleNormal="80" zoomScaleSheetLayoutView="50" workbookViewId="0">
      <selection activeCell="I37" sqref="I37"/>
    </sheetView>
  </sheetViews>
  <sheetFormatPr defaultColWidth="9.109375" defaultRowHeight="18" x14ac:dyDescent="0.35"/>
  <cols>
    <col min="1" max="1" width="29.5546875" style="208" customWidth="1"/>
    <col min="2" max="2" width="60.109375" style="291" customWidth="1"/>
    <col min="3" max="3" width="15.5546875" style="206" customWidth="1"/>
    <col min="4" max="4" width="16.6640625" style="208" customWidth="1"/>
    <col min="5" max="5" width="15.6640625" style="208" customWidth="1"/>
    <col min="6" max="16384" width="9.109375" style="208"/>
  </cols>
  <sheetData>
    <row r="1" spans="1:5" s="217" customFormat="1" x14ac:dyDescent="0.35">
      <c r="A1" s="43"/>
      <c r="B1" s="43"/>
      <c r="E1" s="166" t="s">
        <v>496</v>
      </c>
    </row>
    <row r="2" spans="1:5" s="217" customFormat="1" x14ac:dyDescent="0.35">
      <c r="A2" s="43"/>
      <c r="B2" s="43"/>
      <c r="E2" s="166" t="s">
        <v>546</v>
      </c>
    </row>
    <row r="4" spans="1:5" x14ac:dyDescent="0.35">
      <c r="E4" s="47" t="s">
        <v>496</v>
      </c>
    </row>
    <row r="5" spans="1:5" x14ac:dyDescent="0.35">
      <c r="E5" s="166" t="s">
        <v>545</v>
      </c>
    </row>
    <row r="7" spans="1:5" ht="11.25" customHeight="1" x14ac:dyDescent="0.35"/>
    <row r="8" spans="1:5" ht="36" customHeight="1" x14ac:dyDescent="0.35">
      <c r="A8" s="577" t="s">
        <v>488</v>
      </c>
      <c r="B8" s="577"/>
      <c r="C8" s="577"/>
      <c r="D8" s="577"/>
      <c r="E8" s="577"/>
    </row>
    <row r="10" spans="1:5" x14ac:dyDescent="0.35">
      <c r="E10" s="200" t="s">
        <v>17</v>
      </c>
    </row>
    <row r="11" spans="1:5" ht="20.399999999999999" customHeight="1" x14ac:dyDescent="0.35">
      <c r="A11" s="579" t="s">
        <v>11</v>
      </c>
      <c r="B11" s="581" t="s">
        <v>12</v>
      </c>
      <c r="C11" s="574" t="s">
        <v>13</v>
      </c>
      <c r="D11" s="575"/>
      <c r="E11" s="576"/>
    </row>
    <row r="12" spans="1:5" ht="20.399999999999999" customHeight="1" x14ac:dyDescent="0.35">
      <c r="A12" s="580"/>
      <c r="B12" s="582"/>
      <c r="C12" s="201" t="s">
        <v>396</v>
      </c>
      <c r="D12" s="201" t="s">
        <v>433</v>
      </c>
      <c r="E12" s="201" t="s">
        <v>491</v>
      </c>
    </row>
    <row r="13" spans="1:5" x14ac:dyDescent="0.35">
      <c r="A13" s="316">
        <v>1</v>
      </c>
      <c r="B13" s="317">
        <v>2</v>
      </c>
      <c r="C13" s="202">
        <v>3</v>
      </c>
      <c r="D13" s="318">
        <v>4</v>
      </c>
      <c r="E13" s="318">
        <v>5</v>
      </c>
    </row>
    <row r="14" spans="1:5" x14ac:dyDescent="0.35">
      <c r="A14" s="61" t="s">
        <v>129</v>
      </c>
      <c r="B14" s="62" t="s">
        <v>130</v>
      </c>
      <c r="C14" s="348">
        <f>SUM(C15:C33)-C24</f>
        <v>536499.69999999995</v>
      </c>
      <c r="D14" s="348">
        <f>SUM(D15:D33)-D24</f>
        <v>505266.19999999995</v>
      </c>
      <c r="E14" s="348">
        <f>SUM(E15:E33)-E24</f>
        <v>511865.29999999993</v>
      </c>
    </row>
    <row r="15" spans="1:5" x14ac:dyDescent="0.35">
      <c r="A15" s="46" t="s">
        <v>131</v>
      </c>
      <c r="B15" s="58" t="s">
        <v>132</v>
      </c>
      <c r="C15" s="349">
        <v>5720</v>
      </c>
      <c r="D15" s="350">
        <v>5948.8</v>
      </c>
      <c r="E15" s="351">
        <v>6186.8</v>
      </c>
    </row>
    <row r="16" spans="1:5" x14ac:dyDescent="0.35">
      <c r="A16" s="57" t="s">
        <v>133</v>
      </c>
      <c r="B16" s="63" t="s">
        <v>134</v>
      </c>
      <c r="C16" s="349">
        <f>327306.5+5059.6</f>
        <v>332366.09999999998</v>
      </c>
      <c r="D16" s="350">
        <v>306078.8</v>
      </c>
      <c r="E16" s="351">
        <v>306300.40000000002</v>
      </c>
    </row>
    <row r="17" spans="1:5" ht="173.25" customHeight="1" x14ac:dyDescent="0.35">
      <c r="A17" s="45" t="s">
        <v>135</v>
      </c>
      <c r="B17" s="65" t="s">
        <v>454</v>
      </c>
      <c r="C17" s="352">
        <v>6255.7</v>
      </c>
      <c r="D17" s="353">
        <v>6443.4</v>
      </c>
      <c r="E17" s="209">
        <v>6701.1</v>
      </c>
    </row>
    <row r="18" spans="1:5" ht="36" x14ac:dyDescent="0.35">
      <c r="A18" s="46" t="s">
        <v>297</v>
      </c>
      <c r="B18" s="59" t="s">
        <v>298</v>
      </c>
      <c r="C18" s="352">
        <f>107656.3+13000</f>
        <v>120656.3</v>
      </c>
      <c r="D18" s="353">
        <v>111962.6</v>
      </c>
      <c r="E18" s="209">
        <v>116441.1</v>
      </c>
    </row>
    <row r="19" spans="1:5" ht="36" x14ac:dyDescent="0.35">
      <c r="A19" s="46" t="s">
        <v>136</v>
      </c>
      <c r="B19" s="59" t="s">
        <v>316</v>
      </c>
      <c r="C19" s="352">
        <v>450</v>
      </c>
      <c r="D19" s="353">
        <v>350</v>
      </c>
      <c r="E19" s="209">
        <v>200</v>
      </c>
    </row>
    <row r="20" spans="1:5" x14ac:dyDescent="0.35">
      <c r="A20" s="46" t="s">
        <v>137</v>
      </c>
      <c r="B20" s="63" t="s">
        <v>138</v>
      </c>
      <c r="C20" s="352">
        <v>198</v>
      </c>
      <c r="D20" s="353">
        <v>217.8</v>
      </c>
      <c r="E20" s="209">
        <v>239.6</v>
      </c>
    </row>
    <row r="21" spans="1:5" ht="36" x14ac:dyDescent="0.35">
      <c r="A21" s="46" t="s">
        <v>139</v>
      </c>
      <c r="B21" s="59" t="s">
        <v>140</v>
      </c>
      <c r="C21" s="352">
        <v>16905.5</v>
      </c>
      <c r="D21" s="353">
        <v>17243.599999999999</v>
      </c>
      <c r="E21" s="209">
        <v>17588.5</v>
      </c>
    </row>
    <row r="22" spans="1:5" x14ac:dyDescent="0.35">
      <c r="A22" s="46" t="s">
        <v>408</v>
      </c>
      <c r="B22" s="59" t="s">
        <v>409</v>
      </c>
      <c r="C22" s="352">
        <v>3737</v>
      </c>
      <c r="D22" s="353">
        <v>3774.4</v>
      </c>
      <c r="E22" s="209">
        <v>3812.1</v>
      </c>
    </row>
    <row r="23" spans="1:5" x14ac:dyDescent="0.35">
      <c r="A23" s="46" t="s">
        <v>141</v>
      </c>
      <c r="B23" s="63" t="s">
        <v>142</v>
      </c>
      <c r="C23" s="352">
        <v>9332.4</v>
      </c>
      <c r="D23" s="353">
        <v>9425.7000000000007</v>
      </c>
      <c r="E23" s="209">
        <v>9520</v>
      </c>
    </row>
    <row r="24" spans="1:5" ht="62.25" customHeight="1" x14ac:dyDescent="0.35">
      <c r="A24" s="46" t="s">
        <v>467</v>
      </c>
      <c r="B24" s="59" t="s">
        <v>468</v>
      </c>
      <c r="C24" s="352">
        <f>C25+C26+C27+C28+C29</f>
        <v>27142</v>
      </c>
      <c r="D24" s="353">
        <f>D25+D26+D27+D28+D29</f>
        <v>31192</v>
      </c>
      <c r="E24" s="353">
        <f>E25+E26+E27+E28+E29</f>
        <v>31901</v>
      </c>
    </row>
    <row r="25" spans="1:5" ht="78" customHeight="1" x14ac:dyDescent="0.35">
      <c r="A25" s="46" t="s">
        <v>143</v>
      </c>
      <c r="B25" s="64" t="s">
        <v>469</v>
      </c>
      <c r="C25" s="352">
        <v>287</v>
      </c>
      <c r="D25" s="353">
        <v>287</v>
      </c>
      <c r="E25" s="209">
        <v>287</v>
      </c>
    </row>
    <row r="26" spans="1:5" ht="99" customHeight="1" x14ac:dyDescent="0.35">
      <c r="A26" s="46" t="s">
        <v>144</v>
      </c>
      <c r="B26" s="59" t="s">
        <v>470</v>
      </c>
      <c r="C26" s="352">
        <v>25700</v>
      </c>
      <c r="D26" s="353">
        <v>29750</v>
      </c>
      <c r="E26" s="209">
        <v>30600</v>
      </c>
    </row>
    <row r="27" spans="1:5" ht="63" customHeight="1" x14ac:dyDescent="0.35">
      <c r="A27" s="46" t="s">
        <v>296</v>
      </c>
      <c r="B27" s="59" t="s">
        <v>471</v>
      </c>
      <c r="C27" s="352">
        <v>1021</v>
      </c>
      <c r="D27" s="353">
        <v>1021</v>
      </c>
      <c r="E27" s="209">
        <v>880</v>
      </c>
    </row>
    <row r="28" spans="1:5" ht="96.75" customHeight="1" x14ac:dyDescent="0.35">
      <c r="A28" s="46" t="s">
        <v>145</v>
      </c>
      <c r="B28" s="59" t="s">
        <v>472</v>
      </c>
      <c r="C28" s="352">
        <v>10</v>
      </c>
      <c r="D28" s="353">
        <v>10</v>
      </c>
      <c r="E28" s="209">
        <v>10</v>
      </c>
    </row>
    <row r="29" spans="1:5" ht="122.25" customHeight="1" x14ac:dyDescent="0.35">
      <c r="A29" s="46" t="s">
        <v>336</v>
      </c>
      <c r="B29" s="59" t="s">
        <v>473</v>
      </c>
      <c r="C29" s="352">
        <v>124</v>
      </c>
      <c r="D29" s="353">
        <v>124</v>
      </c>
      <c r="E29" s="209">
        <v>124</v>
      </c>
    </row>
    <row r="30" spans="1:5" ht="36" x14ac:dyDescent="0.35">
      <c r="A30" s="46" t="s">
        <v>146</v>
      </c>
      <c r="B30" s="59" t="s">
        <v>147</v>
      </c>
      <c r="C30" s="352">
        <v>555.5</v>
      </c>
      <c r="D30" s="353">
        <v>561.1</v>
      </c>
      <c r="E30" s="209">
        <v>566.70000000000005</v>
      </c>
    </row>
    <row r="31" spans="1:5" ht="36" x14ac:dyDescent="0.35">
      <c r="A31" s="46" t="s">
        <v>386</v>
      </c>
      <c r="B31" s="219" t="s">
        <v>393</v>
      </c>
      <c r="C31" s="352">
        <f>1995+194.1</f>
        <v>2189.1</v>
      </c>
      <c r="D31" s="353">
        <v>878</v>
      </c>
      <c r="E31" s="209">
        <v>878</v>
      </c>
    </row>
    <row r="32" spans="1:5" ht="36" x14ac:dyDescent="0.35">
      <c r="A32" s="46" t="s">
        <v>148</v>
      </c>
      <c r="B32" s="59" t="s">
        <v>149</v>
      </c>
      <c r="C32" s="352">
        <v>7870</v>
      </c>
      <c r="D32" s="353">
        <v>7900</v>
      </c>
      <c r="E32" s="209">
        <v>7940</v>
      </c>
    </row>
    <row r="33" spans="1:8" ht="22.5" customHeight="1" x14ac:dyDescent="0.35">
      <c r="A33" s="45" t="s">
        <v>150</v>
      </c>
      <c r="B33" s="59" t="s">
        <v>151</v>
      </c>
      <c r="C33" s="352">
        <v>3122.1</v>
      </c>
      <c r="D33" s="353">
        <v>3290</v>
      </c>
      <c r="E33" s="209">
        <v>3590</v>
      </c>
    </row>
    <row r="34" spans="1:8" x14ac:dyDescent="0.35">
      <c r="A34" s="87" t="s">
        <v>14</v>
      </c>
      <c r="B34" s="239" t="s">
        <v>299</v>
      </c>
      <c r="C34" s="203">
        <f>C35-C40</f>
        <v>1299444.5</v>
      </c>
      <c r="D34" s="203">
        <f t="shared" ref="D34:E34" si="0">D35-D40</f>
        <v>1061100.5000000002</v>
      </c>
      <c r="E34" s="203">
        <f t="shared" si="0"/>
        <v>1085541</v>
      </c>
    </row>
    <row r="35" spans="1:8" ht="40.5" customHeight="1" x14ac:dyDescent="0.35">
      <c r="A35" s="77" t="s">
        <v>15</v>
      </c>
      <c r="B35" s="240" t="s">
        <v>16</v>
      </c>
      <c r="C35" s="351">
        <v>1299638.6000000001</v>
      </c>
      <c r="D35" s="351">
        <v>1061100.5000000002</v>
      </c>
      <c r="E35" s="351">
        <v>1085541</v>
      </c>
    </row>
    <row r="36" spans="1:8" s="242" customFormat="1" ht="36" x14ac:dyDescent="0.35">
      <c r="A36" s="77" t="s">
        <v>390</v>
      </c>
      <c r="B36" s="241" t="s">
        <v>333</v>
      </c>
      <c r="C36" s="351">
        <v>207780.1</v>
      </c>
      <c r="D36" s="351">
        <v>161147.20000000001</v>
      </c>
      <c r="E36" s="351">
        <v>179169.5</v>
      </c>
    </row>
    <row r="37" spans="1:8" s="242" customFormat="1" ht="36" x14ac:dyDescent="0.35">
      <c r="A37" s="11" t="s">
        <v>391</v>
      </c>
      <c r="B37" s="220" t="s">
        <v>294</v>
      </c>
      <c r="C37" s="351">
        <v>264874.10000000003</v>
      </c>
      <c r="D37" s="351">
        <v>72260.900000000009</v>
      </c>
      <c r="E37" s="351">
        <v>70478.8</v>
      </c>
    </row>
    <row r="38" spans="1:8" ht="36" x14ac:dyDescent="0.35">
      <c r="A38" s="292" t="s">
        <v>392</v>
      </c>
      <c r="B38" s="241" t="s">
        <v>332</v>
      </c>
      <c r="C38" s="351">
        <v>824699.00000000023</v>
      </c>
      <c r="D38" s="351">
        <v>827692.40000000014</v>
      </c>
      <c r="E38" s="351">
        <v>835892.70000000007</v>
      </c>
    </row>
    <row r="39" spans="1:8" x14ac:dyDescent="0.35">
      <c r="A39" s="77" t="s">
        <v>395</v>
      </c>
      <c r="B39" s="240" t="s">
        <v>152</v>
      </c>
      <c r="C39" s="204">
        <v>2285.4</v>
      </c>
      <c r="D39" s="204">
        <v>0</v>
      </c>
      <c r="E39" s="204">
        <v>0</v>
      </c>
    </row>
    <row r="40" spans="1:8" ht="72" x14ac:dyDescent="0.35">
      <c r="A40" s="392" t="s">
        <v>552</v>
      </c>
      <c r="B40" s="240" t="s">
        <v>553</v>
      </c>
      <c r="C40" s="204">
        <v>194.1</v>
      </c>
      <c r="D40" s="204">
        <v>0</v>
      </c>
      <c r="E40" s="204">
        <v>0</v>
      </c>
    </row>
    <row r="41" spans="1:8" x14ac:dyDescent="0.35">
      <c r="A41" s="293"/>
      <c r="B41" s="239" t="s">
        <v>153</v>
      </c>
      <c r="C41" s="205">
        <f>C34+C14</f>
        <v>1835944.2</v>
      </c>
      <c r="D41" s="205">
        <f t="shared" ref="D41:E41" si="1">D34+D14</f>
        <v>1566366.7000000002</v>
      </c>
      <c r="E41" s="205">
        <f t="shared" si="1"/>
        <v>1597406.2999999998</v>
      </c>
    </row>
    <row r="42" spans="1:8" x14ac:dyDescent="0.35">
      <c r="A42" s="375" t="s">
        <v>512</v>
      </c>
      <c r="B42" s="376"/>
      <c r="C42" s="377"/>
      <c r="D42" s="377"/>
      <c r="E42" s="377"/>
    </row>
    <row r="43" spans="1:8" ht="37.5" customHeight="1" x14ac:dyDescent="0.35">
      <c r="A43" s="578" t="s">
        <v>300</v>
      </c>
      <c r="B43" s="578"/>
      <c r="C43" s="578"/>
      <c r="D43" s="578"/>
      <c r="E43" s="578"/>
    </row>
    <row r="44" spans="1:8" x14ac:dyDescent="0.35">
      <c r="A44" s="294"/>
    </row>
    <row r="45" spans="1:8" x14ac:dyDescent="0.35">
      <c r="A45" s="294"/>
    </row>
    <row r="46" spans="1:8" s="72" customFormat="1" x14ac:dyDescent="0.35">
      <c r="A46" s="112" t="s">
        <v>366</v>
      </c>
      <c r="B46" s="74"/>
      <c r="C46" s="75"/>
      <c r="D46" s="75"/>
      <c r="E46" s="75"/>
      <c r="F46" s="51"/>
      <c r="G46" s="111"/>
      <c r="H46" s="156"/>
    </row>
    <row r="47" spans="1:8" s="72" customFormat="1" x14ac:dyDescent="0.35">
      <c r="A47" s="112" t="s">
        <v>367</v>
      </c>
      <c r="B47" s="74"/>
      <c r="C47" s="75"/>
      <c r="D47" s="75"/>
      <c r="E47" s="75"/>
      <c r="F47" s="51"/>
      <c r="G47" s="111"/>
      <c r="H47" s="156"/>
    </row>
    <row r="48" spans="1:8" s="72" customFormat="1" x14ac:dyDescent="0.35">
      <c r="A48" s="113" t="s">
        <v>368</v>
      </c>
      <c r="B48" s="74"/>
      <c r="D48" s="75"/>
      <c r="E48" s="114" t="s">
        <v>387</v>
      </c>
      <c r="F48" s="51"/>
    </row>
    <row r="50" spans="2:3" x14ac:dyDescent="0.35">
      <c r="B50" s="295"/>
      <c r="C50" s="207"/>
    </row>
    <row r="51" spans="2:3" x14ac:dyDescent="0.35">
      <c r="B51" s="295"/>
      <c r="C51" s="207"/>
    </row>
    <row r="58" spans="2:3" x14ac:dyDescent="0.35">
      <c r="B58" s="208"/>
      <c r="C58" s="208"/>
    </row>
    <row r="59" spans="2:3" x14ac:dyDescent="0.35">
      <c r="B59" s="208"/>
      <c r="C59" s="208"/>
    </row>
    <row r="60" spans="2:3" x14ac:dyDescent="0.35">
      <c r="B60" s="208"/>
      <c r="C60" s="208"/>
    </row>
    <row r="61" spans="2:3" x14ac:dyDescent="0.35">
      <c r="B61" s="208"/>
      <c r="C61" s="208"/>
    </row>
    <row r="62" spans="2:3" x14ac:dyDescent="0.35">
      <c r="B62" s="208"/>
      <c r="C62" s="208"/>
    </row>
    <row r="63" spans="2:3" x14ac:dyDescent="0.35">
      <c r="B63" s="208"/>
      <c r="C63" s="208"/>
    </row>
    <row r="64" spans="2:3" x14ac:dyDescent="0.35">
      <c r="B64" s="208"/>
      <c r="C64" s="208"/>
    </row>
    <row r="65" spans="2:3" x14ac:dyDescent="0.35">
      <c r="B65" s="208"/>
      <c r="C65" s="208"/>
    </row>
    <row r="66" spans="2:3" x14ac:dyDescent="0.35">
      <c r="B66" s="208"/>
      <c r="C66" s="208"/>
    </row>
    <row r="67" spans="2:3" x14ac:dyDescent="0.35">
      <c r="B67" s="208"/>
      <c r="C67" s="208"/>
    </row>
    <row r="68" spans="2:3" x14ac:dyDescent="0.35">
      <c r="B68" s="208"/>
      <c r="C68" s="208"/>
    </row>
    <row r="69" spans="2:3" x14ac:dyDescent="0.35">
      <c r="B69" s="208"/>
      <c r="C69" s="208"/>
    </row>
    <row r="70" spans="2:3" x14ac:dyDescent="0.35">
      <c r="B70" s="208"/>
      <c r="C70" s="208"/>
    </row>
    <row r="71" spans="2:3" x14ac:dyDescent="0.35">
      <c r="B71" s="208"/>
      <c r="C71" s="208"/>
    </row>
    <row r="72" spans="2:3" x14ac:dyDescent="0.35">
      <c r="B72" s="208"/>
      <c r="C72" s="208"/>
    </row>
    <row r="73" spans="2:3" x14ac:dyDescent="0.35">
      <c r="B73" s="208"/>
      <c r="C73" s="208"/>
    </row>
    <row r="74" spans="2:3" x14ac:dyDescent="0.35">
      <c r="B74" s="208"/>
      <c r="C74" s="208"/>
    </row>
    <row r="75" spans="2:3" x14ac:dyDescent="0.35">
      <c r="B75" s="208"/>
      <c r="C75" s="208"/>
    </row>
    <row r="76" spans="2:3" x14ac:dyDescent="0.35">
      <c r="B76" s="208"/>
      <c r="C76" s="208"/>
    </row>
    <row r="77" spans="2:3" x14ac:dyDescent="0.35">
      <c r="B77" s="208"/>
      <c r="C77" s="208"/>
    </row>
    <row r="78" spans="2:3" x14ac:dyDescent="0.35">
      <c r="B78" s="208"/>
      <c r="C78" s="208"/>
    </row>
    <row r="79" spans="2:3" x14ac:dyDescent="0.35">
      <c r="B79" s="208"/>
      <c r="C79" s="208"/>
    </row>
    <row r="80" spans="2:3" x14ac:dyDescent="0.35">
      <c r="B80" s="208"/>
      <c r="C80" s="208"/>
    </row>
    <row r="81" spans="2:3" x14ac:dyDescent="0.35">
      <c r="B81" s="208"/>
      <c r="C81" s="208"/>
    </row>
    <row r="82" spans="2:3" x14ac:dyDescent="0.35">
      <c r="B82" s="208"/>
      <c r="C82" s="208"/>
    </row>
    <row r="83" spans="2:3" x14ac:dyDescent="0.35">
      <c r="B83" s="208"/>
      <c r="C83" s="208"/>
    </row>
    <row r="84" spans="2:3" x14ac:dyDescent="0.35">
      <c r="B84" s="208"/>
      <c r="C84" s="208"/>
    </row>
    <row r="85" spans="2:3" x14ac:dyDescent="0.35">
      <c r="B85" s="208"/>
      <c r="C85" s="208"/>
    </row>
    <row r="86" spans="2:3" x14ac:dyDescent="0.35">
      <c r="B86" s="208"/>
      <c r="C86" s="208"/>
    </row>
    <row r="87" spans="2:3" x14ac:dyDescent="0.35">
      <c r="B87" s="208"/>
      <c r="C87" s="208"/>
    </row>
    <row r="88" spans="2:3" x14ac:dyDescent="0.35">
      <c r="B88" s="208"/>
      <c r="C88" s="208"/>
    </row>
    <row r="89" spans="2:3" x14ac:dyDescent="0.35">
      <c r="B89" s="208"/>
      <c r="C89" s="208"/>
    </row>
    <row r="90" spans="2:3" x14ac:dyDescent="0.35">
      <c r="B90" s="208"/>
      <c r="C90" s="208"/>
    </row>
    <row r="91" spans="2:3" x14ac:dyDescent="0.35">
      <c r="B91" s="208"/>
      <c r="C91" s="208"/>
    </row>
    <row r="92" spans="2:3" x14ac:dyDescent="0.35">
      <c r="B92" s="208"/>
      <c r="C92" s="208"/>
    </row>
    <row r="93" spans="2:3" x14ac:dyDescent="0.35">
      <c r="B93" s="208"/>
      <c r="C93" s="208"/>
    </row>
    <row r="94" spans="2:3" x14ac:dyDescent="0.35">
      <c r="B94" s="208"/>
      <c r="C94" s="208"/>
    </row>
    <row r="95" spans="2:3" x14ac:dyDescent="0.35">
      <c r="B95" s="208"/>
      <c r="C95" s="208"/>
    </row>
    <row r="96" spans="2:3" x14ac:dyDescent="0.35">
      <c r="B96" s="208"/>
      <c r="C96" s="208"/>
    </row>
    <row r="97" spans="2:3" x14ac:dyDescent="0.35">
      <c r="B97" s="208"/>
      <c r="C97" s="208"/>
    </row>
    <row r="98" spans="2:3" x14ac:dyDescent="0.35">
      <c r="B98" s="208"/>
      <c r="C98" s="208"/>
    </row>
    <row r="99" spans="2:3" x14ac:dyDescent="0.35">
      <c r="B99" s="208"/>
      <c r="C99" s="208"/>
    </row>
    <row r="100" spans="2:3" x14ac:dyDescent="0.35">
      <c r="B100" s="208"/>
      <c r="C100" s="208"/>
    </row>
    <row r="101" spans="2:3" x14ac:dyDescent="0.35">
      <c r="B101" s="208"/>
      <c r="C101" s="208"/>
    </row>
    <row r="102" spans="2:3" x14ac:dyDescent="0.35">
      <c r="B102" s="208"/>
      <c r="C102" s="208"/>
    </row>
    <row r="103" spans="2:3" x14ac:dyDescent="0.35">
      <c r="B103" s="208"/>
      <c r="C103" s="208"/>
    </row>
    <row r="104" spans="2:3" x14ac:dyDescent="0.35">
      <c r="B104" s="208"/>
      <c r="C104" s="208"/>
    </row>
    <row r="105" spans="2:3" x14ac:dyDescent="0.35">
      <c r="B105" s="208"/>
      <c r="C105" s="208"/>
    </row>
    <row r="106" spans="2:3" x14ac:dyDescent="0.35">
      <c r="B106" s="208"/>
      <c r="C106" s="208"/>
    </row>
    <row r="107" spans="2:3" x14ac:dyDescent="0.35">
      <c r="B107" s="208"/>
      <c r="C107" s="208"/>
    </row>
    <row r="108" spans="2:3" x14ac:dyDescent="0.35">
      <c r="B108" s="208"/>
      <c r="C108" s="208"/>
    </row>
    <row r="109" spans="2:3" x14ac:dyDescent="0.35">
      <c r="B109" s="208"/>
      <c r="C109" s="208"/>
    </row>
    <row r="110" spans="2:3" x14ac:dyDescent="0.35">
      <c r="B110" s="208"/>
      <c r="C110" s="208"/>
    </row>
    <row r="111" spans="2:3" x14ac:dyDescent="0.35">
      <c r="B111" s="208"/>
      <c r="C111" s="208"/>
    </row>
    <row r="112" spans="2:3" x14ac:dyDescent="0.35">
      <c r="B112" s="208"/>
      <c r="C112" s="208"/>
    </row>
    <row r="113" spans="2:3" x14ac:dyDescent="0.35">
      <c r="B113" s="208"/>
      <c r="C113" s="208"/>
    </row>
    <row r="114" spans="2:3" x14ac:dyDescent="0.35">
      <c r="B114" s="208"/>
      <c r="C114" s="208"/>
    </row>
    <row r="115" spans="2:3" x14ac:dyDescent="0.35">
      <c r="B115" s="208"/>
      <c r="C115" s="208"/>
    </row>
    <row r="116" spans="2:3" x14ac:dyDescent="0.35">
      <c r="B116" s="208"/>
      <c r="C116" s="208"/>
    </row>
    <row r="117" spans="2:3" x14ac:dyDescent="0.35">
      <c r="B117" s="208"/>
      <c r="C117" s="208"/>
    </row>
    <row r="118" spans="2:3" x14ac:dyDescent="0.35">
      <c r="B118" s="208"/>
      <c r="C118" s="208"/>
    </row>
    <row r="119" spans="2:3" x14ac:dyDescent="0.35">
      <c r="B119" s="208"/>
      <c r="C119" s="208"/>
    </row>
    <row r="120" spans="2:3" x14ac:dyDescent="0.35">
      <c r="B120" s="208"/>
      <c r="C120" s="208"/>
    </row>
    <row r="121" spans="2:3" x14ac:dyDescent="0.35">
      <c r="B121" s="208"/>
      <c r="C121" s="208"/>
    </row>
    <row r="122" spans="2:3" x14ac:dyDescent="0.35">
      <c r="B122" s="208"/>
      <c r="C122" s="208"/>
    </row>
    <row r="123" spans="2:3" x14ac:dyDescent="0.35">
      <c r="B123" s="208"/>
      <c r="C123" s="208"/>
    </row>
    <row r="124" spans="2:3" x14ac:dyDescent="0.35">
      <c r="B124" s="208"/>
      <c r="C124" s="208"/>
    </row>
    <row r="125" spans="2:3" x14ac:dyDescent="0.35">
      <c r="B125" s="208"/>
      <c r="C125" s="208"/>
    </row>
    <row r="126" spans="2:3" x14ac:dyDescent="0.35">
      <c r="B126" s="208"/>
      <c r="C126" s="208"/>
    </row>
    <row r="127" spans="2:3" x14ac:dyDescent="0.35">
      <c r="B127" s="208"/>
      <c r="C127" s="208"/>
    </row>
    <row r="128" spans="2:3" x14ac:dyDescent="0.35">
      <c r="B128" s="208"/>
      <c r="C128" s="208"/>
    </row>
    <row r="129" spans="2:3" x14ac:dyDescent="0.35">
      <c r="B129" s="208"/>
      <c r="C129" s="208"/>
    </row>
    <row r="130" spans="2:3" x14ac:dyDescent="0.35">
      <c r="B130" s="208"/>
      <c r="C130" s="208"/>
    </row>
    <row r="131" spans="2:3" x14ac:dyDescent="0.35">
      <c r="B131" s="208"/>
      <c r="C131" s="208"/>
    </row>
    <row r="132" spans="2:3" x14ac:dyDescent="0.35">
      <c r="B132" s="208"/>
      <c r="C132" s="208"/>
    </row>
    <row r="133" spans="2:3" x14ac:dyDescent="0.35">
      <c r="B133" s="208"/>
      <c r="C133" s="208"/>
    </row>
    <row r="134" spans="2:3" x14ac:dyDescent="0.35">
      <c r="B134" s="208"/>
      <c r="C134" s="208"/>
    </row>
    <row r="135" spans="2:3" x14ac:dyDescent="0.35">
      <c r="B135" s="208"/>
      <c r="C135" s="208"/>
    </row>
  </sheetData>
  <mergeCells count="5">
    <mergeCell ref="C11:E11"/>
    <mergeCell ref="A8:E8"/>
    <mergeCell ref="A43:E43"/>
    <mergeCell ref="A11:A12"/>
    <mergeCell ref="B11:B12"/>
  </mergeCells>
  <printOptions horizontalCentered="1"/>
  <pageMargins left="1.1811023622047245" right="0.39370078740157483" top="0.78740157480314965" bottom="0.78740157480314965" header="0.39370078740157483" footer="0.39370078740157483"/>
  <pageSetup paperSize="9" scale="62" fitToHeight="0" orientation="portrait" blackAndWhite="1" errors="blank" r:id="rId1"/>
  <headerFooter differentFirst="1"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I64"/>
  <sheetViews>
    <sheetView zoomScale="80" zoomScaleNormal="80" zoomScaleSheetLayoutView="80" workbookViewId="0">
      <selection activeCell="G1" sqref="G1:J1048576"/>
    </sheetView>
  </sheetViews>
  <sheetFormatPr defaultColWidth="9.109375" defaultRowHeight="18" x14ac:dyDescent="0.35"/>
  <cols>
    <col min="1" max="1" width="6.109375" style="319" customWidth="1"/>
    <col min="2" max="2" width="9.109375" style="319" customWidth="1"/>
    <col min="3" max="3" width="59.88671875" style="319" customWidth="1"/>
    <col min="4" max="4" width="14.5546875" style="321" customWidth="1"/>
    <col min="5" max="5" width="17.5546875" style="319" customWidth="1"/>
    <col min="6" max="6" width="16.88671875" style="319" customWidth="1"/>
    <col min="7" max="7" width="11.109375" style="319" hidden="1" customWidth="1"/>
    <col min="8" max="9" width="11.33203125" style="319" hidden="1" customWidth="1"/>
    <col min="10" max="10" width="0" style="319" hidden="1" customWidth="1"/>
    <col min="11" max="16384" width="9.109375" style="319"/>
  </cols>
  <sheetData>
    <row r="1" spans="1:9" x14ac:dyDescent="0.35">
      <c r="F1" s="166" t="s">
        <v>497</v>
      </c>
    </row>
    <row r="2" spans="1:9" x14ac:dyDescent="0.35">
      <c r="F2" s="166" t="s">
        <v>546</v>
      </c>
    </row>
    <row r="4" spans="1:9" x14ac:dyDescent="0.35">
      <c r="A4" s="42"/>
      <c r="B4" s="42"/>
      <c r="C4" s="42"/>
      <c r="D4" s="319"/>
      <c r="F4" s="166" t="s">
        <v>500</v>
      </c>
    </row>
    <row r="5" spans="1:9" x14ac:dyDescent="0.35">
      <c r="A5" s="42"/>
      <c r="B5" s="42"/>
      <c r="C5" s="42"/>
      <c r="D5" s="319"/>
      <c r="F5" s="166" t="s">
        <v>545</v>
      </c>
    </row>
    <row r="6" spans="1:9" x14ac:dyDescent="0.35">
      <c r="F6" s="321"/>
    </row>
    <row r="7" spans="1:9" x14ac:dyDescent="0.35">
      <c r="D7" s="320"/>
    </row>
    <row r="9" spans="1:9" x14ac:dyDescent="0.35">
      <c r="A9" s="586" t="s">
        <v>154</v>
      </c>
      <c r="B9" s="586"/>
      <c r="C9" s="586"/>
      <c r="D9" s="586"/>
      <c r="E9" s="586"/>
      <c r="F9" s="586"/>
    </row>
    <row r="10" spans="1:9" x14ac:dyDescent="0.35">
      <c r="A10" s="586" t="s">
        <v>492</v>
      </c>
      <c r="B10" s="586"/>
      <c r="C10" s="586"/>
      <c r="D10" s="586"/>
      <c r="E10" s="586"/>
      <c r="F10" s="586"/>
    </row>
    <row r="11" spans="1:9" x14ac:dyDescent="0.35">
      <c r="D11" s="319"/>
    </row>
    <row r="12" spans="1:9" x14ac:dyDescent="0.35">
      <c r="D12" s="319"/>
      <c r="F12" s="322" t="s">
        <v>17</v>
      </c>
    </row>
    <row r="13" spans="1:9" ht="22.95" customHeight="1" x14ac:dyDescent="0.35">
      <c r="A13" s="587" t="s">
        <v>155</v>
      </c>
      <c r="B13" s="589" t="s">
        <v>312</v>
      </c>
      <c r="C13" s="589" t="s">
        <v>19</v>
      </c>
      <c r="D13" s="583" t="s">
        <v>13</v>
      </c>
      <c r="E13" s="584"/>
      <c r="F13" s="585"/>
    </row>
    <row r="14" spans="1:9" x14ac:dyDescent="0.35">
      <c r="A14" s="588"/>
      <c r="B14" s="590"/>
      <c r="C14" s="590"/>
      <c r="D14" s="201" t="s">
        <v>396</v>
      </c>
      <c r="E14" s="201" t="s">
        <v>433</v>
      </c>
      <c r="F14" s="201" t="s">
        <v>491</v>
      </c>
    </row>
    <row r="15" spans="1:9" x14ac:dyDescent="0.35">
      <c r="A15" s="244">
        <v>1</v>
      </c>
      <c r="B15" s="244">
        <v>2</v>
      </c>
      <c r="C15" s="244">
        <v>3</v>
      </c>
      <c r="D15" s="245">
        <v>4</v>
      </c>
      <c r="E15" s="343">
        <v>5</v>
      </c>
      <c r="F15" s="343">
        <v>6</v>
      </c>
    </row>
    <row r="16" spans="1:9" x14ac:dyDescent="0.35">
      <c r="A16" s="270"/>
      <c r="B16" s="270"/>
      <c r="C16" s="324" t="s">
        <v>156</v>
      </c>
      <c r="D16" s="325">
        <f>D18+D25+D28+D32+D36+D43+D46+D56+D50+D54+D58</f>
        <v>1865457.9000000004</v>
      </c>
      <c r="E16" s="325">
        <f>E18+E25+E28+E32+E36+E43+E46+E56+E50+E54+E58</f>
        <v>1566366.7</v>
      </c>
      <c r="F16" s="325">
        <f>F18+F25+F28+F32+F36+F43+F46+F56+F50+F54+F58</f>
        <v>1597406.3</v>
      </c>
      <c r="G16" s="326">
        <f>D16-'прил9 (ведом 22)'!M15</f>
        <v>0</v>
      </c>
      <c r="H16" s="326">
        <f>E16-'прил10 (ведом 23-24)'!M16</f>
        <v>0</v>
      </c>
      <c r="I16" s="326">
        <f>F16-'прил10 (ведом 23-24)'!N16</f>
        <v>0</v>
      </c>
    </row>
    <row r="17" spans="1:6" x14ac:dyDescent="0.35">
      <c r="A17" s="270"/>
      <c r="B17" s="270"/>
      <c r="C17" s="327" t="s">
        <v>157</v>
      </c>
      <c r="D17" s="216"/>
      <c r="E17" s="338"/>
      <c r="F17" s="323"/>
    </row>
    <row r="18" spans="1:6" x14ac:dyDescent="0.35">
      <c r="A18" s="247">
        <v>1</v>
      </c>
      <c r="B18" s="328" t="s">
        <v>158</v>
      </c>
      <c r="C18" s="329" t="s">
        <v>31</v>
      </c>
      <c r="D18" s="249">
        <f>SUM(D19:D24)</f>
        <v>191007.9</v>
      </c>
      <c r="E18" s="249">
        <f>SUM(E19:E24)</f>
        <v>147539.09999999995</v>
      </c>
      <c r="F18" s="249">
        <f>SUM(F19:F24)</f>
        <v>149304.59999999998</v>
      </c>
    </row>
    <row r="19" spans="1:6" ht="54" x14ac:dyDescent="0.35">
      <c r="A19" s="250"/>
      <c r="B19" s="214" t="s">
        <v>159</v>
      </c>
      <c r="C19" s="215" t="s">
        <v>160</v>
      </c>
      <c r="D19" s="216">
        <f>'прил9 (ведом 22)'!M717</f>
        <v>2439.1999999999998</v>
      </c>
      <c r="E19" s="211">
        <f>'прил10 (ведом 23-24)'!M586</f>
        <v>2128.5</v>
      </c>
      <c r="F19" s="211">
        <f>'прил10 (ведом 23-24)'!N586</f>
        <v>2128.5</v>
      </c>
    </row>
    <row r="20" spans="1:6" ht="72" x14ac:dyDescent="0.35">
      <c r="A20" s="250"/>
      <c r="B20" s="214" t="s">
        <v>161</v>
      </c>
      <c r="C20" s="215" t="s">
        <v>46</v>
      </c>
      <c r="D20" s="216">
        <f>'прил9 (ведом 22)'!M718</f>
        <v>84141.5</v>
      </c>
      <c r="E20" s="211">
        <f>'прил10 (ведом 23-24)'!M587</f>
        <v>76352.699999999968</v>
      </c>
      <c r="F20" s="211">
        <f>'прил10 (ведом 23-24)'!N587</f>
        <v>76393.499999999971</v>
      </c>
    </row>
    <row r="21" spans="1:6" x14ac:dyDescent="0.35">
      <c r="A21" s="250"/>
      <c r="B21" s="214" t="s">
        <v>388</v>
      </c>
      <c r="C21" s="234" t="s">
        <v>383</v>
      </c>
      <c r="D21" s="216">
        <f>'прил9 (ведом 22)'!M719</f>
        <v>140</v>
      </c>
      <c r="E21" s="211">
        <f>'прил10 (ведом 23-24)'!M588</f>
        <v>24.700000000000003</v>
      </c>
      <c r="F21" s="211">
        <f>'прил10 (ведом 23-24)'!N588</f>
        <v>21.5</v>
      </c>
    </row>
    <row r="22" spans="1:6" ht="54" x14ac:dyDescent="0.35">
      <c r="A22" s="250"/>
      <c r="B22" s="214" t="s">
        <v>162</v>
      </c>
      <c r="C22" s="215" t="s">
        <v>124</v>
      </c>
      <c r="D22" s="216">
        <f>'прил9 (ведом 22)'!M720</f>
        <v>35225.5</v>
      </c>
      <c r="E22" s="211">
        <f>'прил10 (ведом 23-24)'!M589</f>
        <v>30179.4</v>
      </c>
      <c r="F22" s="211">
        <f>'прил10 (ведом 23-24)'!N589</f>
        <v>30180.2</v>
      </c>
    </row>
    <row r="23" spans="1:6" x14ac:dyDescent="0.35">
      <c r="A23" s="250"/>
      <c r="B23" s="214" t="s">
        <v>163</v>
      </c>
      <c r="C23" s="215" t="s">
        <v>61</v>
      </c>
      <c r="D23" s="216">
        <f>'прил9 (ведом 22)'!M721</f>
        <v>11000</v>
      </c>
      <c r="E23" s="211">
        <f>'прил10 (ведом 23-24)'!M590</f>
        <v>5000</v>
      </c>
      <c r="F23" s="211">
        <f>'прил10 (ведом 23-24)'!N590</f>
        <v>5000</v>
      </c>
    </row>
    <row r="24" spans="1:6" x14ac:dyDescent="0.35">
      <c r="A24" s="250"/>
      <c r="B24" s="214" t="s">
        <v>164</v>
      </c>
      <c r="C24" s="215" t="s">
        <v>65</v>
      </c>
      <c r="D24" s="216">
        <f>'прил9 (ведом 22)'!M722</f>
        <v>58061.69999999999</v>
      </c>
      <c r="E24" s="211">
        <f>'прил10 (ведом 23-24)'!M591</f>
        <v>33853.799999999996</v>
      </c>
      <c r="F24" s="211">
        <f>'прил10 (ведом 23-24)'!N591</f>
        <v>35580.9</v>
      </c>
    </row>
    <row r="25" spans="1:6" ht="35.4" x14ac:dyDescent="0.35">
      <c r="A25" s="247">
        <v>2</v>
      </c>
      <c r="B25" s="328" t="s">
        <v>165</v>
      </c>
      <c r="C25" s="329" t="s">
        <v>73</v>
      </c>
      <c r="D25" s="249">
        <f>SUM(D26:D27)</f>
        <v>19116.8</v>
      </c>
      <c r="E25" s="249">
        <f t="shared" ref="E25:F25" si="0">SUM(E26:E27)</f>
        <v>11858.099999999999</v>
      </c>
      <c r="F25" s="249">
        <f t="shared" si="0"/>
        <v>11858.499999999998</v>
      </c>
    </row>
    <row r="26" spans="1:6" ht="54" x14ac:dyDescent="0.35">
      <c r="A26" s="250"/>
      <c r="B26" s="214" t="s">
        <v>435</v>
      </c>
      <c r="C26" s="215" t="s">
        <v>436</v>
      </c>
      <c r="D26" s="216">
        <f>'прил9 (ведом 22)'!M725</f>
        <v>3610.0000000000005</v>
      </c>
      <c r="E26" s="211">
        <f>'прил10 (ведом 23-24)'!M594</f>
        <v>362.29999999999995</v>
      </c>
      <c r="F26" s="211">
        <f>'прил10 (ведом 23-24)'!N594</f>
        <v>362.29999999999995</v>
      </c>
    </row>
    <row r="27" spans="1:6" ht="36" x14ac:dyDescent="0.35">
      <c r="A27" s="250"/>
      <c r="B27" s="214" t="s">
        <v>166</v>
      </c>
      <c r="C27" s="215" t="s">
        <v>82</v>
      </c>
      <c r="D27" s="216">
        <f>'прил9 (ведом 22)'!M726</f>
        <v>15506.8</v>
      </c>
      <c r="E27" s="211">
        <f>'прил10 (ведом 23-24)'!M595</f>
        <v>11495.8</v>
      </c>
      <c r="F27" s="211">
        <f>'прил10 (ведом 23-24)'!N595</f>
        <v>11496.199999999999</v>
      </c>
    </row>
    <row r="28" spans="1:6" x14ac:dyDescent="0.35">
      <c r="A28" s="247">
        <v>3</v>
      </c>
      <c r="B28" s="328" t="s">
        <v>167</v>
      </c>
      <c r="C28" s="329" t="s">
        <v>87</v>
      </c>
      <c r="D28" s="249">
        <f>SUM(D29:D31)</f>
        <v>53499.9</v>
      </c>
      <c r="E28" s="249">
        <f t="shared" ref="E28:F28" si="1">SUM(E29:E31)</f>
        <v>28289</v>
      </c>
      <c r="F28" s="249">
        <f t="shared" si="1"/>
        <v>31457.599999999999</v>
      </c>
    </row>
    <row r="29" spans="1:6" x14ac:dyDescent="0.35">
      <c r="A29" s="247"/>
      <c r="B29" s="214" t="s">
        <v>168</v>
      </c>
      <c r="C29" s="215" t="s">
        <v>88</v>
      </c>
      <c r="D29" s="216">
        <f>'прил9 (ведом 22)'!M729</f>
        <v>12646.2</v>
      </c>
      <c r="E29" s="211">
        <f>'прил10 (ведом 23-24)'!M598</f>
        <v>12695.300000000001</v>
      </c>
      <c r="F29" s="211">
        <f>'прил10 (ведом 23-24)'!N598</f>
        <v>17253.900000000001</v>
      </c>
    </row>
    <row r="30" spans="1:6" x14ac:dyDescent="0.35">
      <c r="A30" s="250"/>
      <c r="B30" s="214" t="s">
        <v>169</v>
      </c>
      <c r="C30" s="215" t="s">
        <v>93</v>
      </c>
      <c r="D30" s="216">
        <f>'прил9 (ведом 22)'!M730</f>
        <v>6255.7</v>
      </c>
      <c r="E30" s="211">
        <f>'прил10 (ведом 23-24)'!M599</f>
        <v>6443.4</v>
      </c>
      <c r="F30" s="211">
        <f>'прил10 (ведом 23-24)'!N599</f>
        <v>6701.1</v>
      </c>
    </row>
    <row r="31" spans="1:6" x14ac:dyDescent="0.35">
      <c r="A31" s="250"/>
      <c r="B31" s="214" t="s">
        <v>170</v>
      </c>
      <c r="C31" s="215" t="s">
        <v>101</v>
      </c>
      <c r="D31" s="216">
        <f>'прил9 (ведом 22)'!M731</f>
        <v>34598</v>
      </c>
      <c r="E31" s="211">
        <f>'прил10 (ведом 23-24)'!M600</f>
        <v>9150.2999999999993</v>
      </c>
      <c r="F31" s="211">
        <f>'прил10 (ведом 23-24)'!N600</f>
        <v>7502.6</v>
      </c>
    </row>
    <row r="32" spans="1:6" x14ac:dyDescent="0.35">
      <c r="A32" s="247">
        <v>4</v>
      </c>
      <c r="B32" s="328" t="s">
        <v>171</v>
      </c>
      <c r="C32" s="329" t="s">
        <v>172</v>
      </c>
      <c r="D32" s="249">
        <f>SUM(D33:D35)</f>
        <v>60104.499999999993</v>
      </c>
      <c r="E32" s="249">
        <f t="shared" ref="E32:F32" si="2">SUM(E33:E35)</f>
        <v>3516.2</v>
      </c>
      <c r="F32" s="249">
        <f t="shared" si="2"/>
        <v>0</v>
      </c>
    </row>
    <row r="33" spans="1:6" x14ac:dyDescent="0.35">
      <c r="A33" s="250"/>
      <c r="B33" s="214" t="s">
        <v>507</v>
      </c>
      <c r="C33" s="215" t="s">
        <v>453</v>
      </c>
      <c r="D33" s="216">
        <f>'прил9 (ведом 22)'!M734</f>
        <v>43419.7</v>
      </c>
      <c r="E33" s="216">
        <f>'прил10 (ведом 23-24)'!M603</f>
        <v>0</v>
      </c>
      <c r="F33" s="216">
        <f>'прил10 (ведом 23-24)'!N603</f>
        <v>0</v>
      </c>
    </row>
    <row r="34" spans="1:6" x14ac:dyDescent="0.35">
      <c r="A34" s="247"/>
      <c r="B34" s="214" t="s">
        <v>324</v>
      </c>
      <c r="C34" s="215" t="s">
        <v>322</v>
      </c>
      <c r="D34" s="216">
        <f>'прил9 (ведом 22)'!M735</f>
        <v>13351.1</v>
      </c>
      <c r="E34" s="216">
        <f>'прил10 (ведом 23-24)'!M604</f>
        <v>0</v>
      </c>
      <c r="F34" s="216">
        <f>'прил10 (ведом 23-24)'!N604</f>
        <v>0</v>
      </c>
    </row>
    <row r="35" spans="1:6" x14ac:dyDescent="0.35">
      <c r="A35" s="247"/>
      <c r="B35" s="214" t="s">
        <v>481</v>
      </c>
      <c r="C35" s="215" t="s">
        <v>475</v>
      </c>
      <c r="D35" s="216">
        <f>'прил9 (ведом 22)'!M737</f>
        <v>3333.7</v>
      </c>
      <c r="E35" s="211">
        <f>'прил10 (ведом 23-24)'!M605</f>
        <v>3516.2</v>
      </c>
      <c r="F35" s="211">
        <f>'прил10 (ведом 23-24)'!N605</f>
        <v>0</v>
      </c>
    </row>
    <row r="36" spans="1:6" x14ac:dyDescent="0.35">
      <c r="A36" s="247">
        <v>5</v>
      </c>
      <c r="B36" s="328" t="s">
        <v>173</v>
      </c>
      <c r="C36" s="329" t="s">
        <v>174</v>
      </c>
      <c r="D36" s="249">
        <f>SUM(D37:D42)</f>
        <v>1318898.3000000003</v>
      </c>
      <c r="E36" s="249">
        <f>SUM(E37:E42)</f>
        <v>1137931.4000000001</v>
      </c>
      <c r="F36" s="249">
        <f>SUM(F37:F42)</f>
        <v>1164560.8</v>
      </c>
    </row>
    <row r="37" spans="1:6" x14ac:dyDescent="0.35">
      <c r="A37" s="250"/>
      <c r="B37" s="214" t="s">
        <v>175</v>
      </c>
      <c r="C37" s="215" t="s">
        <v>176</v>
      </c>
      <c r="D37" s="216">
        <f>'прил9 (ведом 22)'!M740</f>
        <v>466063.4</v>
      </c>
      <c r="E37" s="216">
        <f>'прил10 (ведом 23-24)'!M608</f>
        <v>331535.5</v>
      </c>
      <c r="F37" s="216">
        <f>'прил10 (ведом 23-24)'!N608</f>
        <v>338318.30000000005</v>
      </c>
    </row>
    <row r="38" spans="1:6" x14ac:dyDescent="0.35">
      <c r="A38" s="250"/>
      <c r="B38" s="214" t="s">
        <v>177</v>
      </c>
      <c r="C38" s="215" t="s">
        <v>178</v>
      </c>
      <c r="D38" s="216">
        <f>'прил9 (ведом 22)'!M741</f>
        <v>644069.30000000005</v>
      </c>
      <c r="E38" s="216">
        <f>'прил10 (ведом 23-24)'!M609</f>
        <v>605268.10000000009</v>
      </c>
      <c r="F38" s="216">
        <f>'прил10 (ведом 23-24)'!N609</f>
        <v>614556.79999999993</v>
      </c>
    </row>
    <row r="39" spans="1:6" x14ac:dyDescent="0.35">
      <c r="A39" s="250"/>
      <c r="B39" s="214" t="s">
        <v>337</v>
      </c>
      <c r="C39" s="215" t="s">
        <v>338</v>
      </c>
      <c r="D39" s="216">
        <f>'прил9 (ведом 22)'!M742</f>
        <v>122911.5</v>
      </c>
      <c r="E39" s="216">
        <f>'прил10 (ведом 23-24)'!M610</f>
        <v>121543.30000000002</v>
      </c>
      <c r="F39" s="216">
        <f>'прил10 (ведом 23-24)'!N610</f>
        <v>131669.69999999998</v>
      </c>
    </row>
    <row r="40" spans="1:6" ht="36" x14ac:dyDescent="0.35">
      <c r="A40" s="250"/>
      <c r="B40" s="214" t="s">
        <v>522</v>
      </c>
      <c r="C40" s="215" t="s">
        <v>523</v>
      </c>
      <c r="D40" s="216">
        <f>'прил9 (ведом 22)'!M743</f>
        <v>221.2</v>
      </c>
      <c r="E40" s="216">
        <f>'прил10 (ведом 23-24)'!M611</f>
        <v>0</v>
      </c>
      <c r="F40" s="216">
        <f>'прил10 (ведом 23-24)'!N611</f>
        <v>0</v>
      </c>
    </row>
    <row r="41" spans="1:6" x14ac:dyDescent="0.35">
      <c r="A41" s="247"/>
      <c r="B41" s="214" t="s">
        <v>179</v>
      </c>
      <c r="C41" s="215" t="s">
        <v>339</v>
      </c>
      <c r="D41" s="216">
        <f>'прил9 (ведом 22)'!M744</f>
        <v>9711.5999999999985</v>
      </c>
      <c r="E41" s="216">
        <f>'прил10 (ведом 23-24)'!M612</f>
        <v>11998.899999999998</v>
      </c>
      <c r="F41" s="216">
        <f>'прил10 (ведом 23-24)'!N612</f>
        <v>11998.899999999998</v>
      </c>
    </row>
    <row r="42" spans="1:6" x14ac:dyDescent="0.35">
      <c r="A42" s="250"/>
      <c r="B42" s="214" t="s">
        <v>180</v>
      </c>
      <c r="C42" s="215" t="s">
        <v>181</v>
      </c>
      <c r="D42" s="216">
        <f>'прил9 (ведом 22)'!M745</f>
        <v>75921.3</v>
      </c>
      <c r="E42" s="216">
        <f>'прил10 (ведом 23-24)'!M613</f>
        <v>67585.599999999991</v>
      </c>
      <c r="F42" s="216">
        <f>'прил10 (ведом 23-24)'!N613</f>
        <v>68017.100000000006</v>
      </c>
    </row>
    <row r="43" spans="1:6" x14ac:dyDescent="0.35">
      <c r="A43" s="247">
        <v>6</v>
      </c>
      <c r="B43" s="328" t="s">
        <v>182</v>
      </c>
      <c r="C43" s="329" t="s">
        <v>183</v>
      </c>
      <c r="D43" s="249">
        <f>SUM(D44:D45)</f>
        <v>41774.6</v>
      </c>
      <c r="E43" s="249">
        <f t="shared" ref="E43:F43" si="3">SUM(E44:E45)</f>
        <v>33870.400000000001</v>
      </c>
      <c r="F43" s="249">
        <f t="shared" si="3"/>
        <v>36898.1</v>
      </c>
    </row>
    <row r="44" spans="1:6" x14ac:dyDescent="0.35">
      <c r="A44" s="250"/>
      <c r="B44" s="214" t="s">
        <v>184</v>
      </c>
      <c r="C44" s="215" t="s">
        <v>185</v>
      </c>
      <c r="D44" s="216">
        <f>'прил9 (ведом 22)'!M748</f>
        <v>30046.5</v>
      </c>
      <c r="E44" s="216">
        <f>'прил10 (ведом 23-24)'!M616</f>
        <v>24617.300000000003</v>
      </c>
      <c r="F44" s="216">
        <f>'прил10 (ведом 23-24)'!N616</f>
        <v>26988.1</v>
      </c>
    </row>
    <row r="45" spans="1:6" ht="18.75" customHeight="1" x14ac:dyDescent="0.35">
      <c r="A45" s="250"/>
      <c r="B45" s="214" t="s">
        <v>186</v>
      </c>
      <c r="C45" s="215" t="s">
        <v>187</v>
      </c>
      <c r="D45" s="216">
        <f>'прил9 (ведом 22)'!M749</f>
        <v>11728.1</v>
      </c>
      <c r="E45" s="211">
        <f>'прил10 (ведом 23-24)'!M617</f>
        <v>9253.1</v>
      </c>
      <c r="F45" s="211">
        <f>'прил10 (ведом 23-24)'!N617</f>
        <v>9910</v>
      </c>
    </row>
    <row r="46" spans="1:6" s="330" customFormat="1" ht="17.399999999999999" x14ac:dyDescent="0.3">
      <c r="A46" s="247">
        <v>7</v>
      </c>
      <c r="B46" s="247">
        <v>1000</v>
      </c>
      <c r="C46" s="329" t="s">
        <v>114</v>
      </c>
      <c r="D46" s="249">
        <f>SUM(D47:D49)</f>
        <v>129557.5</v>
      </c>
      <c r="E46" s="249">
        <f>SUM(E47:E49)</f>
        <v>129675</v>
      </c>
      <c r="F46" s="249">
        <f>SUM(F47:F49)</f>
        <v>131205.30000000002</v>
      </c>
    </row>
    <row r="47" spans="1:6" x14ac:dyDescent="0.35">
      <c r="A47" s="250"/>
      <c r="B47" s="250">
        <v>1001</v>
      </c>
      <c r="C47" s="215" t="s">
        <v>344</v>
      </c>
      <c r="D47" s="216">
        <f>'прил9 (ведом 22)'!M752</f>
        <v>1200</v>
      </c>
      <c r="E47" s="216">
        <f>'прил10 (ведом 23-24)'!M620</f>
        <v>504</v>
      </c>
      <c r="F47" s="216">
        <f>'прил10 (ведом 23-24)'!N620</f>
        <v>504</v>
      </c>
    </row>
    <row r="48" spans="1:6" x14ac:dyDescent="0.35">
      <c r="A48" s="250"/>
      <c r="B48" s="250">
        <v>1004</v>
      </c>
      <c r="C48" s="215" t="s">
        <v>188</v>
      </c>
      <c r="D48" s="216">
        <f>'прил9 (ведом 22)'!M754</f>
        <v>119634.1</v>
      </c>
      <c r="E48" s="216">
        <f>'прил10 (ведом 23-24)'!M621</f>
        <v>120323.9</v>
      </c>
      <c r="F48" s="216">
        <f>'прил10 (ведом 23-24)'!N621</f>
        <v>121854.20000000001</v>
      </c>
    </row>
    <row r="49" spans="1:8" x14ac:dyDescent="0.35">
      <c r="A49" s="250"/>
      <c r="B49" s="250">
        <v>1006</v>
      </c>
      <c r="C49" s="215" t="s">
        <v>189</v>
      </c>
      <c r="D49" s="216">
        <f>'прил9 (ведом 22)'!M755</f>
        <v>8723.4</v>
      </c>
      <c r="E49" s="216">
        <f>'прил10 (ведом 23-24)'!M622</f>
        <v>8847.1</v>
      </c>
      <c r="F49" s="216">
        <f>'прил10 (ведом 23-24)'!N622</f>
        <v>8847.1</v>
      </c>
    </row>
    <row r="50" spans="1:8" x14ac:dyDescent="0.35">
      <c r="A50" s="247">
        <v>8</v>
      </c>
      <c r="B50" s="331">
        <v>1100</v>
      </c>
      <c r="C50" s="324" t="s">
        <v>190</v>
      </c>
      <c r="D50" s="249">
        <f>SUM(D51:D53)</f>
        <v>44488.999999999993</v>
      </c>
      <c r="E50" s="249">
        <f t="shared" ref="E50:F50" si="4">SUM(E51:E53)</f>
        <v>34378.6</v>
      </c>
      <c r="F50" s="249">
        <f t="shared" si="4"/>
        <v>30569.7</v>
      </c>
    </row>
    <row r="51" spans="1:8" x14ac:dyDescent="0.35">
      <c r="A51" s="250"/>
      <c r="B51" s="332">
        <v>1101</v>
      </c>
      <c r="C51" s="333" t="s">
        <v>349</v>
      </c>
      <c r="D51" s="216">
        <f>'прил9 (ведом 22)'!M758</f>
        <v>41001.199999999997</v>
      </c>
      <c r="E51" s="216">
        <f>'прил10 (ведом 23-24)'!M625</f>
        <v>27572.199999999997</v>
      </c>
      <c r="F51" s="216">
        <f>'прил10 (ведом 23-24)'!N625</f>
        <v>27452.1</v>
      </c>
    </row>
    <row r="52" spans="1:8" x14ac:dyDescent="0.35">
      <c r="A52" s="247"/>
      <c r="B52" s="214" t="s">
        <v>191</v>
      </c>
      <c r="C52" s="252" t="s">
        <v>192</v>
      </c>
      <c r="D52" s="216">
        <f>'прил9 (ведом 22)'!M759</f>
        <v>629.70000000000005</v>
      </c>
      <c r="E52" s="216">
        <f>'прил10 (ведом 23-24)'!M626</f>
        <v>4319.5</v>
      </c>
      <c r="F52" s="216">
        <f>'прил10 (ведом 23-24)'!N626</f>
        <v>629.70000000000005</v>
      </c>
    </row>
    <row r="53" spans="1:8" ht="36" x14ac:dyDescent="0.35">
      <c r="A53" s="250"/>
      <c r="B53" s="214" t="s">
        <v>193</v>
      </c>
      <c r="C53" s="264" t="s">
        <v>194</v>
      </c>
      <c r="D53" s="216">
        <f>'прил9 (ведом 22)'!M760</f>
        <v>2858.1</v>
      </c>
      <c r="E53" s="211">
        <f>'прил10 (ведом 23-24)'!M627</f>
        <v>2486.9</v>
      </c>
      <c r="F53" s="211">
        <f>'прил10 (ведом 23-24)'!N627</f>
        <v>2487.9</v>
      </c>
    </row>
    <row r="54" spans="1:8" ht="35.4" x14ac:dyDescent="0.35">
      <c r="A54" s="247">
        <v>9</v>
      </c>
      <c r="B54" s="328" t="s">
        <v>381</v>
      </c>
      <c r="C54" s="334" t="s">
        <v>372</v>
      </c>
      <c r="D54" s="249">
        <f>D55</f>
        <v>9.4</v>
      </c>
      <c r="E54" s="249">
        <f t="shared" ref="E54:F54" si="5">E55</f>
        <v>0</v>
      </c>
      <c r="F54" s="249">
        <f t="shared" si="5"/>
        <v>0</v>
      </c>
    </row>
    <row r="55" spans="1:8" ht="36" x14ac:dyDescent="0.35">
      <c r="A55" s="250"/>
      <c r="B55" s="214" t="s">
        <v>382</v>
      </c>
      <c r="C55" s="264" t="s">
        <v>432</v>
      </c>
      <c r="D55" s="216">
        <f>'прил9 (ведом 22)'!M763</f>
        <v>9.4</v>
      </c>
      <c r="E55" s="211">
        <v>0</v>
      </c>
      <c r="F55" s="211">
        <v>0</v>
      </c>
    </row>
    <row r="56" spans="1:8" ht="52.8" x14ac:dyDescent="0.35">
      <c r="A56" s="247">
        <v>10</v>
      </c>
      <c r="B56" s="331">
        <v>1400</v>
      </c>
      <c r="C56" s="329" t="s">
        <v>195</v>
      </c>
      <c r="D56" s="335">
        <f>SUM(D57:D57)</f>
        <v>7000</v>
      </c>
      <c r="E56" s="335">
        <f>SUM(E57:E57)</f>
        <v>7000</v>
      </c>
      <c r="F56" s="335">
        <f>SUM(F57:F57)</f>
        <v>7000</v>
      </c>
    </row>
    <row r="57" spans="1:8" ht="54" x14ac:dyDescent="0.35">
      <c r="A57" s="336"/>
      <c r="B57" s="332">
        <v>1401</v>
      </c>
      <c r="C57" s="215" t="s">
        <v>196</v>
      </c>
      <c r="D57" s="337">
        <f>'прил9 (ведом 22)'!M766</f>
        <v>7000</v>
      </c>
      <c r="E57" s="256">
        <f>'прил10 (ведом 23-24)'!M633</f>
        <v>7000</v>
      </c>
      <c r="F57" s="256">
        <f>'прил10 (ведом 23-24)'!N633</f>
        <v>7000</v>
      </c>
    </row>
    <row r="58" spans="1:8" s="217" customFormat="1" ht="17.399999999999999" x14ac:dyDescent="0.3">
      <c r="A58" s="246">
        <v>11</v>
      </c>
      <c r="B58" s="248"/>
      <c r="C58" s="212" t="s">
        <v>351</v>
      </c>
      <c r="D58" s="254">
        <f>SUM(D59:D59)</f>
        <v>0</v>
      </c>
      <c r="E58" s="254">
        <f t="shared" ref="E58:F58" si="6">SUM(E59:E59)</f>
        <v>32308.899999999998</v>
      </c>
      <c r="F58" s="254">
        <f t="shared" si="6"/>
        <v>34551.699999999997</v>
      </c>
    </row>
    <row r="59" spans="1:8" s="217" customFormat="1" x14ac:dyDescent="0.35">
      <c r="A59" s="255"/>
      <c r="B59" s="251"/>
      <c r="C59" s="213" t="s">
        <v>351</v>
      </c>
      <c r="D59" s="256">
        <v>0</v>
      </c>
      <c r="E59" s="256">
        <f>'прил10 (ведом 23-24)'!M636</f>
        <v>32308.899999999998</v>
      </c>
      <c r="F59" s="256">
        <f>'прил10 (ведом 23-24)'!N636</f>
        <v>34551.699999999997</v>
      </c>
    </row>
    <row r="62" spans="1:8" s="342" customFormat="1" x14ac:dyDescent="0.35">
      <c r="A62" s="49" t="s">
        <v>366</v>
      </c>
      <c r="B62" s="339"/>
      <c r="C62" s="340"/>
      <c r="D62" s="340"/>
      <c r="E62" s="340"/>
      <c r="F62" s="340"/>
      <c r="G62" s="52"/>
      <c r="H62" s="341"/>
    </row>
    <row r="63" spans="1:8" s="342" customFormat="1" x14ac:dyDescent="0.35">
      <c r="A63" s="49" t="s">
        <v>367</v>
      </c>
      <c r="B63" s="339"/>
      <c r="C63" s="340"/>
      <c r="D63" s="340"/>
      <c r="E63" s="340"/>
      <c r="F63" s="340"/>
      <c r="G63" s="52"/>
      <c r="H63" s="341"/>
    </row>
    <row r="64" spans="1:8" s="342" customFormat="1" x14ac:dyDescent="0.35">
      <c r="A64" s="55" t="s">
        <v>368</v>
      </c>
      <c r="B64" s="339"/>
      <c r="E64" s="340"/>
      <c r="F64" s="56" t="s">
        <v>387</v>
      </c>
    </row>
  </sheetData>
  <mergeCells count="6">
    <mergeCell ref="D13:F13"/>
    <mergeCell ref="A9:F9"/>
    <mergeCell ref="A10:F10"/>
    <mergeCell ref="A13:A14"/>
    <mergeCell ref="B13:B14"/>
    <mergeCell ref="C13:C14"/>
  </mergeCells>
  <printOptions horizontalCentered="1"/>
  <pageMargins left="1.1811023622047245" right="0.39370078740157483" top="0.78740157480314965" bottom="0.78740157480314965" header="0" footer="0"/>
  <pageSetup paperSize="9" scale="68" fitToHeight="0" orientation="portrait" blackAndWhite="1" r:id="rId1"/>
  <headerFooter differentFirst="1" alignWithMargins="0">
    <oddHeader>&amp;C&amp;"Times New Roman,обычный"&amp;12&amp;P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L538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2" sqref="A2"/>
      <selection pane="bottomRight" activeCell="L10" sqref="L10"/>
    </sheetView>
  </sheetViews>
  <sheetFormatPr defaultColWidth="9.109375" defaultRowHeight="15.6" x14ac:dyDescent="0.3"/>
  <cols>
    <col min="1" max="1" width="4.5546875" style="386" customWidth="1"/>
    <col min="2" max="2" width="62.44140625" style="496" customWidth="1"/>
    <col min="3" max="3" width="3.109375" style="497" customWidth="1"/>
    <col min="4" max="4" width="2" style="497" customWidth="1"/>
    <col min="5" max="5" width="3.109375" style="497" customWidth="1"/>
    <col min="6" max="6" width="8.6640625" style="497" customWidth="1"/>
    <col min="7" max="7" width="5.5546875" style="495" customWidth="1"/>
    <col min="8" max="8" width="15.6640625" style="387" customWidth="1"/>
    <col min="9" max="9" width="9.109375" style="54"/>
    <col min="10" max="10" width="17.6640625" style="54" hidden="1" customWidth="1"/>
    <col min="11" max="14" width="9.109375" style="54"/>
    <col min="15" max="15" width="58.6640625" style="54" customWidth="1"/>
    <col min="16" max="16384" width="9.109375" style="54"/>
  </cols>
  <sheetData>
    <row r="1" spans="1:12" ht="18" x14ac:dyDescent="0.35">
      <c r="H1" s="166" t="s">
        <v>498</v>
      </c>
    </row>
    <row r="2" spans="1:12" ht="18" x14ac:dyDescent="0.35">
      <c r="H2" s="166" t="s">
        <v>546</v>
      </c>
    </row>
    <row r="4" spans="1:12" s="43" customFormat="1" ht="18" x14ac:dyDescent="0.35">
      <c r="H4" s="166" t="s">
        <v>501</v>
      </c>
      <c r="K4" s="47"/>
      <c r="L4" s="285"/>
    </row>
    <row r="5" spans="1:12" s="43" customFormat="1" ht="18" x14ac:dyDescent="0.35">
      <c r="H5" s="166" t="s">
        <v>545</v>
      </c>
      <c r="K5" s="47"/>
      <c r="L5" s="286"/>
    </row>
    <row r="9" spans="1:12" ht="72" customHeight="1" x14ac:dyDescent="0.3">
      <c r="A9" s="591" t="s">
        <v>489</v>
      </c>
      <c r="B9" s="591"/>
      <c r="C9" s="591"/>
      <c r="D9" s="591"/>
      <c r="E9" s="591"/>
      <c r="F9" s="591"/>
      <c r="G9" s="591"/>
      <c r="H9" s="591"/>
    </row>
    <row r="10" spans="1:12" x14ac:dyDescent="0.3">
      <c r="A10" s="54"/>
      <c r="B10" s="54"/>
      <c r="C10" s="386"/>
      <c r="D10" s="386"/>
      <c r="E10" s="386"/>
      <c r="F10" s="386"/>
      <c r="G10" s="387"/>
    </row>
    <row r="11" spans="1:12" ht="18" x14ac:dyDescent="0.35">
      <c r="A11" s="388"/>
      <c r="B11" s="50"/>
      <c r="C11" s="51"/>
      <c r="D11" s="51"/>
      <c r="E11" s="51"/>
      <c r="F11" s="51"/>
      <c r="G11" s="54"/>
      <c r="H11" s="499" t="s">
        <v>17</v>
      </c>
    </row>
    <row r="12" spans="1:12" ht="37.200000000000003" customHeight="1" x14ac:dyDescent="0.3">
      <c r="A12" s="568" t="s">
        <v>18</v>
      </c>
      <c r="B12" s="569" t="s">
        <v>19</v>
      </c>
      <c r="C12" s="592" t="s">
        <v>23</v>
      </c>
      <c r="D12" s="593"/>
      <c r="E12" s="593"/>
      <c r="F12" s="594"/>
      <c r="G12" s="569" t="s">
        <v>24</v>
      </c>
      <c r="H12" s="500" t="s">
        <v>13</v>
      </c>
    </row>
    <row r="13" spans="1:12" ht="18" x14ac:dyDescent="0.35">
      <c r="A13" s="244">
        <v>1</v>
      </c>
      <c r="B13" s="391">
        <v>2</v>
      </c>
      <c r="C13" s="595" t="s">
        <v>25</v>
      </c>
      <c r="D13" s="596"/>
      <c r="E13" s="596"/>
      <c r="F13" s="597"/>
      <c r="G13" s="258" t="s">
        <v>26</v>
      </c>
      <c r="H13" s="245">
        <v>5</v>
      </c>
    </row>
    <row r="14" spans="1:12" ht="19.5" customHeight="1" x14ac:dyDescent="0.35">
      <c r="A14" s="392"/>
      <c r="B14" s="393" t="s">
        <v>197</v>
      </c>
      <c r="C14" s="394"/>
      <c r="D14" s="394"/>
      <c r="E14" s="394"/>
      <c r="F14" s="394"/>
      <c r="G14" s="395"/>
      <c r="H14" s="396">
        <f>H15+H134+H186+H227+H252+H286+H308+H346+H404+H413+H419+H429+H437+H443+H510+H519+H380+H504</f>
        <v>1865457.9</v>
      </c>
      <c r="J14" s="501">
        <f>H14-'прил9 (ведом 22)'!M15</f>
        <v>0</v>
      </c>
    </row>
    <row r="15" spans="1:12" s="402" customFormat="1" ht="52.2" x14ac:dyDescent="0.3">
      <c r="A15" s="398">
        <v>1</v>
      </c>
      <c r="B15" s="334" t="s">
        <v>200</v>
      </c>
      <c r="C15" s="399" t="s">
        <v>34</v>
      </c>
      <c r="D15" s="399" t="s">
        <v>37</v>
      </c>
      <c r="E15" s="399" t="s">
        <v>38</v>
      </c>
      <c r="F15" s="400" t="s">
        <v>39</v>
      </c>
      <c r="G15" s="401"/>
      <c r="H15" s="283">
        <f>H16+H78+H100</f>
        <v>1248918</v>
      </c>
    </row>
    <row r="16" spans="1:12" ht="18.75" customHeight="1" x14ac:dyDescent="0.35">
      <c r="A16" s="392"/>
      <c r="B16" s="403" t="s">
        <v>201</v>
      </c>
      <c r="C16" s="565" t="s">
        <v>34</v>
      </c>
      <c r="D16" s="565" t="s">
        <v>40</v>
      </c>
      <c r="E16" s="565" t="s">
        <v>38</v>
      </c>
      <c r="F16" s="566" t="s">
        <v>39</v>
      </c>
      <c r="G16" s="258"/>
      <c r="H16" s="236">
        <f>H17+H36</f>
        <v>1103886.8999999999</v>
      </c>
    </row>
    <row r="17" spans="1:8" ht="17.25" customHeight="1" x14ac:dyDescent="0.35">
      <c r="A17" s="392"/>
      <c r="B17" s="403" t="s">
        <v>255</v>
      </c>
      <c r="C17" s="221" t="s">
        <v>34</v>
      </c>
      <c r="D17" s="222" t="s">
        <v>40</v>
      </c>
      <c r="E17" s="222" t="s">
        <v>32</v>
      </c>
      <c r="F17" s="223" t="s">
        <v>39</v>
      </c>
      <c r="G17" s="258"/>
      <c r="H17" s="236">
        <f>H27+H30+H32+H18+H22+H24+H20+H34</f>
        <v>470146.6</v>
      </c>
    </row>
    <row r="18" spans="1:8" ht="36" x14ac:dyDescent="0.35">
      <c r="A18" s="392"/>
      <c r="B18" s="403" t="s">
        <v>437</v>
      </c>
      <c r="C18" s="221" t="s">
        <v>34</v>
      </c>
      <c r="D18" s="222" t="s">
        <v>40</v>
      </c>
      <c r="E18" s="222" t="s">
        <v>32</v>
      </c>
      <c r="F18" s="223" t="s">
        <v>86</v>
      </c>
      <c r="G18" s="35"/>
      <c r="H18" s="236">
        <f>H19</f>
        <v>89086.2</v>
      </c>
    </row>
    <row r="19" spans="1:8" ht="37.5" customHeight="1" x14ac:dyDescent="0.35">
      <c r="A19" s="392"/>
      <c r="B19" s="403" t="s">
        <v>71</v>
      </c>
      <c r="C19" s="221" t="s">
        <v>34</v>
      </c>
      <c r="D19" s="222" t="s">
        <v>40</v>
      </c>
      <c r="E19" s="222" t="s">
        <v>32</v>
      </c>
      <c r="F19" s="223" t="s">
        <v>86</v>
      </c>
      <c r="G19" s="35" t="s">
        <v>72</v>
      </c>
      <c r="H19" s="236">
        <f>'прил9 (ведом 22)'!M377</f>
        <v>89086.2</v>
      </c>
    </row>
    <row r="20" spans="1:8" ht="24.75" customHeight="1" x14ac:dyDescent="0.35">
      <c r="A20" s="392"/>
      <c r="B20" s="234" t="s">
        <v>438</v>
      </c>
      <c r="C20" s="221" t="s">
        <v>34</v>
      </c>
      <c r="D20" s="222" t="s">
        <v>40</v>
      </c>
      <c r="E20" s="222" t="s">
        <v>32</v>
      </c>
      <c r="F20" s="223" t="s">
        <v>376</v>
      </c>
      <c r="G20" s="35"/>
      <c r="H20" s="236">
        <f>H21</f>
        <v>3584.8000000000006</v>
      </c>
    </row>
    <row r="21" spans="1:8" ht="38.25" customHeight="1" x14ac:dyDescent="0.35">
      <c r="A21" s="392"/>
      <c r="B21" s="234" t="s">
        <v>71</v>
      </c>
      <c r="C21" s="221" t="s">
        <v>34</v>
      </c>
      <c r="D21" s="222" t="s">
        <v>40</v>
      </c>
      <c r="E21" s="222" t="s">
        <v>32</v>
      </c>
      <c r="F21" s="223" t="s">
        <v>376</v>
      </c>
      <c r="G21" s="35" t="s">
        <v>72</v>
      </c>
      <c r="H21" s="236">
        <f>'прил9 (ведом 22)'!M379</f>
        <v>3584.8000000000006</v>
      </c>
    </row>
    <row r="22" spans="1:8" ht="38.25" customHeight="1" x14ac:dyDescent="0.35">
      <c r="A22" s="392"/>
      <c r="B22" s="234" t="s">
        <v>202</v>
      </c>
      <c r="C22" s="221" t="s">
        <v>34</v>
      </c>
      <c r="D22" s="222" t="s">
        <v>40</v>
      </c>
      <c r="E22" s="222" t="s">
        <v>32</v>
      </c>
      <c r="F22" s="223" t="s">
        <v>261</v>
      </c>
      <c r="G22" s="35"/>
      <c r="H22" s="236">
        <f>H23</f>
        <v>26718.2</v>
      </c>
    </row>
    <row r="23" spans="1:8" ht="41.25" customHeight="1" x14ac:dyDescent="0.35">
      <c r="A23" s="392"/>
      <c r="B23" s="234" t="s">
        <v>71</v>
      </c>
      <c r="C23" s="221" t="s">
        <v>34</v>
      </c>
      <c r="D23" s="222" t="s">
        <v>40</v>
      </c>
      <c r="E23" s="222" t="s">
        <v>32</v>
      </c>
      <c r="F23" s="223" t="s">
        <v>261</v>
      </c>
      <c r="G23" s="35" t="s">
        <v>72</v>
      </c>
      <c r="H23" s="236">
        <f>'прил9 (ведом 22)'!M381</f>
        <v>26718.2</v>
      </c>
    </row>
    <row r="24" spans="1:8" ht="36" customHeight="1" x14ac:dyDescent="0.35">
      <c r="A24" s="392"/>
      <c r="B24" s="234" t="s">
        <v>203</v>
      </c>
      <c r="C24" s="221" t="s">
        <v>34</v>
      </c>
      <c r="D24" s="222" t="s">
        <v>40</v>
      </c>
      <c r="E24" s="222" t="s">
        <v>32</v>
      </c>
      <c r="F24" s="223" t="s">
        <v>262</v>
      </c>
      <c r="G24" s="35"/>
      <c r="H24" s="236">
        <f>H25+H26</f>
        <v>3030.1000000000004</v>
      </c>
    </row>
    <row r="25" spans="1:8" ht="39" customHeight="1" x14ac:dyDescent="0.35">
      <c r="A25" s="392"/>
      <c r="B25" s="408" t="s">
        <v>198</v>
      </c>
      <c r="C25" s="221" t="s">
        <v>34</v>
      </c>
      <c r="D25" s="222" t="s">
        <v>40</v>
      </c>
      <c r="E25" s="222" t="s">
        <v>32</v>
      </c>
      <c r="F25" s="223" t="s">
        <v>262</v>
      </c>
      <c r="G25" s="35" t="s">
        <v>199</v>
      </c>
      <c r="H25" s="236">
        <f>'прил9 (ведом 22)'!M325</f>
        <v>2851.2000000000003</v>
      </c>
    </row>
    <row r="26" spans="1:8" ht="39" customHeight="1" x14ac:dyDescent="0.35">
      <c r="A26" s="392"/>
      <c r="B26" s="234" t="s">
        <v>71</v>
      </c>
      <c r="C26" s="221" t="s">
        <v>34</v>
      </c>
      <c r="D26" s="222" t="s">
        <v>40</v>
      </c>
      <c r="E26" s="222" t="s">
        <v>32</v>
      </c>
      <c r="F26" s="223" t="s">
        <v>262</v>
      </c>
      <c r="G26" s="35" t="s">
        <v>72</v>
      </c>
      <c r="H26" s="224">
        <f>'прил9 (ведом 22)'!M383</f>
        <v>178.9</v>
      </c>
    </row>
    <row r="27" spans="1:8" ht="112.5" customHeight="1" x14ac:dyDescent="0.35">
      <c r="A27" s="392"/>
      <c r="B27" s="403" t="s">
        <v>271</v>
      </c>
      <c r="C27" s="221" t="s">
        <v>34</v>
      </c>
      <c r="D27" s="222" t="s">
        <v>40</v>
      </c>
      <c r="E27" s="222" t="s">
        <v>32</v>
      </c>
      <c r="F27" s="223" t="s">
        <v>272</v>
      </c>
      <c r="G27" s="35"/>
      <c r="H27" s="236">
        <f>SUM(H28:H29)</f>
        <v>5452.5</v>
      </c>
    </row>
    <row r="28" spans="1:8" ht="36" x14ac:dyDescent="0.35">
      <c r="A28" s="392"/>
      <c r="B28" s="403" t="s">
        <v>50</v>
      </c>
      <c r="C28" s="221" t="s">
        <v>34</v>
      </c>
      <c r="D28" s="222" t="s">
        <v>40</v>
      </c>
      <c r="E28" s="222" t="s">
        <v>32</v>
      </c>
      <c r="F28" s="223" t="s">
        <v>272</v>
      </c>
      <c r="G28" s="35" t="s">
        <v>51</v>
      </c>
      <c r="H28" s="236">
        <f>'прил9 (ведом 22)'!M511</f>
        <v>80.5</v>
      </c>
    </row>
    <row r="29" spans="1:8" ht="22.5" customHeight="1" x14ac:dyDescent="0.35">
      <c r="A29" s="392"/>
      <c r="B29" s="409" t="s">
        <v>115</v>
      </c>
      <c r="C29" s="221" t="s">
        <v>34</v>
      </c>
      <c r="D29" s="222" t="s">
        <v>40</v>
      </c>
      <c r="E29" s="222" t="s">
        <v>32</v>
      </c>
      <c r="F29" s="223" t="s">
        <v>272</v>
      </c>
      <c r="G29" s="35" t="s">
        <v>116</v>
      </c>
      <c r="H29" s="236">
        <f>'прил9 (ведом 22)'!M512</f>
        <v>5372</v>
      </c>
    </row>
    <row r="30" spans="1:8" ht="162" x14ac:dyDescent="0.35">
      <c r="A30" s="392"/>
      <c r="B30" s="403" t="s">
        <v>256</v>
      </c>
      <c r="C30" s="221" t="s">
        <v>34</v>
      </c>
      <c r="D30" s="222" t="s">
        <v>40</v>
      </c>
      <c r="E30" s="222" t="s">
        <v>32</v>
      </c>
      <c r="F30" s="223" t="s">
        <v>257</v>
      </c>
      <c r="G30" s="35"/>
      <c r="H30" s="236">
        <f>H31</f>
        <v>549.29999999999995</v>
      </c>
    </row>
    <row r="31" spans="1:8" ht="41.25" customHeight="1" x14ac:dyDescent="0.35">
      <c r="A31" s="392"/>
      <c r="B31" s="403" t="s">
        <v>71</v>
      </c>
      <c r="C31" s="221" t="s">
        <v>34</v>
      </c>
      <c r="D31" s="222" t="s">
        <v>40</v>
      </c>
      <c r="E31" s="222" t="s">
        <v>32</v>
      </c>
      <c r="F31" s="223" t="s">
        <v>257</v>
      </c>
      <c r="G31" s="35" t="s">
        <v>72</v>
      </c>
      <c r="H31" s="236">
        <f>'прил9 (ведом 22)'!M385</f>
        <v>549.29999999999995</v>
      </c>
    </row>
    <row r="32" spans="1:8" ht="97.5" customHeight="1" x14ac:dyDescent="0.35">
      <c r="A32" s="392"/>
      <c r="B32" s="403" t="s">
        <v>334</v>
      </c>
      <c r="C32" s="221" t="s">
        <v>34</v>
      </c>
      <c r="D32" s="222" t="s">
        <v>40</v>
      </c>
      <c r="E32" s="222" t="s">
        <v>32</v>
      </c>
      <c r="F32" s="223" t="s">
        <v>258</v>
      </c>
      <c r="G32" s="35"/>
      <c r="H32" s="236">
        <f>H33</f>
        <v>214246.3</v>
      </c>
    </row>
    <row r="33" spans="1:8" ht="39.75" customHeight="1" x14ac:dyDescent="0.35">
      <c r="A33" s="392"/>
      <c r="B33" s="409" t="s">
        <v>71</v>
      </c>
      <c r="C33" s="221" t="s">
        <v>34</v>
      </c>
      <c r="D33" s="222" t="s">
        <v>40</v>
      </c>
      <c r="E33" s="222" t="s">
        <v>32</v>
      </c>
      <c r="F33" s="223" t="s">
        <v>258</v>
      </c>
      <c r="G33" s="35" t="s">
        <v>72</v>
      </c>
      <c r="H33" s="236">
        <f>'прил9 (ведом 22)'!M387</f>
        <v>214246.3</v>
      </c>
    </row>
    <row r="34" spans="1:8" ht="108" x14ac:dyDescent="0.35">
      <c r="A34" s="392"/>
      <c r="B34" s="408" t="s">
        <v>484</v>
      </c>
      <c r="C34" s="221" t="s">
        <v>34</v>
      </c>
      <c r="D34" s="222" t="s">
        <v>40</v>
      </c>
      <c r="E34" s="222" t="s">
        <v>32</v>
      </c>
      <c r="F34" s="223" t="s">
        <v>483</v>
      </c>
      <c r="G34" s="35"/>
      <c r="H34" s="236">
        <f>H35</f>
        <v>127479.2</v>
      </c>
    </row>
    <row r="35" spans="1:8" ht="36" x14ac:dyDescent="0.35">
      <c r="A35" s="392"/>
      <c r="B35" s="408" t="s">
        <v>198</v>
      </c>
      <c r="C35" s="221" t="s">
        <v>34</v>
      </c>
      <c r="D35" s="222" t="s">
        <v>40</v>
      </c>
      <c r="E35" s="222" t="s">
        <v>32</v>
      </c>
      <c r="F35" s="223" t="s">
        <v>483</v>
      </c>
      <c r="G35" s="35" t="s">
        <v>199</v>
      </c>
      <c r="H35" s="236">
        <f>'прил9 (ведом 22)'!M327</f>
        <v>127479.2</v>
      </c>
    </row>
    <row r="36" spans="1:8" ht="18" x14ac:dyDescent="0.35">
      <c r="A36" s="392"/>
      <c r="B36" s="403" t="s">
        <v>260</v>
      </c>
      <c r="C36" s="221" t="s">
        <v>34</v>
      </c>
      <c r="D36" s="222" t="s">
        <v>40</v>
      </c>
      <c r="E36" s="222" t="s">
        <v>34</v>
      </c>
      <c r="F36" s="223" t="s">
        <v>39</v>
      </c>
      <c r="G36" s="35"/>
      <c r="H36" s="236">
        <f>H45+H48+H57+H61+H65+H37+H42+H71+H54+H52+H68+H74</f>
        <v>633740.30000000005</v>
      </c>
    </row>
    <row r="37" spans="1:8" ht="36" x14ac:dyDescent="0.35">
      <c r="A37" s="392"/>
      <c r="B37" s="403" t="s">
        <v>437</v>
      </c>
      <c r="C37" s="221" t="s">
        <v>34</v>
      </c>
      <c r="D37" s="222" t="s">
        <v>40</v>
      </c>
      <c r="E37" s="222" t="s">
        <v>34</v>
      </c>
      <c r="F37" s="223" t="s">
        <v>86</v>
      </c>
      <c r="G37" s="35"/>
      <c r="H37" s="236">
        <f>SUM(H38:H41)</f>
        <v>68071.999999999985</v>
      </c>
    </row>
    <row r="38" spans="1:8" ht="90" x14ac:dyDescent="0.35">
      <c r="A38" s="392"/>
      <c r="B38" s="234" t="s">
        <v>44</v>
      </c>
      <c r="C38" s="221" t="s">
        <v>34</v>
      </c>
      <c r="D38" s="222" t="s">
        <v>40</v>
      </c>
      <c r="E38" s="222" t="s">
        <v>34</v>
      </c>
      <c r="F38" s="223" t="s">
        <v>86</v>
      </c>
      <c r="G38" s="35" t="s">
        <v>45</v>
      </c>
      <c r="H38" s="236">
        <f>'прил9 (ведом 22)'!M403</f>
        <v>325.5</v>
      </c>
    </row>
    <row r="39" spans="1:8" ht="36" x14ac:dyDescent="0.35">
      <c r="A39" s="392"/>
      <c r="B39" s="234" t="s">
        <v>50</v>
      </c>
      <c r="C39" s="221" t="s">
        <v>34</v>
      </c>
      <c r="D39" s="222" t="s">
        <v>40</v>
      </c>
      <c r="E39" s="222" t="s">
        <v>34</v>
      </c>
      <c r="F39" s="223" t="s">
        <v>86</v>
      </c>
      <c r="G39" s="35" t="s">
        <v>51</v>
      </c>
      <c r="H39" s="236">
        <f>'прил9 (ведом 22)'!M404</f>
        <v>5512.9</v>
      </c>
    </row>
    <row r="40" spans="1:8" ht="40.5" customHeight="1" x14ac:dyDescent="0.35">
      <c r="A40" s="392"/>
      <c r="B40" s="403" t="s">
        <v>71</v>
      </c>
      <c r="C40" s="221" t="s">
        <v>34</v>
      </c>
      <c r="D40" s="222" t="s">
        <v>40</v>
      </c>
      <c r="E40" s="222" t="s">
        <v>34</v>
      </c>
      <c r="F40" s="223" t="s">
        <v>86</v>
      </c>
      <c r="G40" s="35" t="s">
        <v>72</v>
      </c>
      <c r="H40" s="236">
        <f>'прил9 (ведом 22)'!M405</f>
        <v>61667.199999999997</v>
      </c>
    </row>
    <row r="41" spans="1:8" ht="18" x14ac:dyDescent="0.35">
      <c r="A41" s="392"/>
      <c r="B41" s="403" t="s">
        <v>52</v>
      </c>
      <c r="C41" s="221" t="s">
        <v>34</v>
      </c>
      <c r="D41" s="222" t="s">
        <v>40</v>
      </c>
      <c r="E41" s="222" t="s">
        <v>34</v>
      </c>
      <c r="F41" s="223" t="s">
        <v>86</v>
      </c>
      <c r="G41" s="35" t="s">
        <v>53</v>
      </c>
      <c r="H41" s="236">
        <f>'прил9 (ведом 22)'!M406</f>
        <v>566.4</v>
      </c>
    </row>
    <row r="42" spans="1:8" ht="18" x14ac:dyDescent="0.35">
      <c r="A42" s="392"/>
      <c r="B42" s="234" t="s">
        <v>438</v>
      </c>
      <c r="C42" s="221" t="s">
        <v>34</v>
      </c>
      <c r="D42" s="222" t="s">
        <v>40</v>
      </c>
      <c r="E42" s="222" t="s">
        <v>34</v>
      </c>
      <c r="F42" s="223" t="s">
        <v>376</v>
      </c>
      <c r="G42" s="35"/>
      <c r="H42" s="236">
        <f>SUM(H43:H44)</f>
        <v>7184.9000000000005</v>
      </c>
    </row>
    <row r="43" spans="1:8" ht="36" x14ac:dyDescent="0.35">
      <c r="A43" s="392"/>
      <c r="B43" s="234" t="s">
        <v>50</v>
      </c>
      <c r="C43" s="221" t="s">
        <v>34</v>
      </c>
      <c r="D43" s="222" t="s">
        <v>40</v>
      </c>
      <c r="E43" s="222" t="s">
        <v>34</v>
      </c>
      <c r="F43" s="223" t="s">
        <v>376</v>
      </c>
      <c r="G43" s="35" t="s">
        <v>51</v>
      </c>
      <c r="H43" s="236">
        <f>'прил9 (ведом 22)'!M408</f>
        <v>595.79999999999995</v>
      </c>
    </row>
    <row r="44" spans="1:8" ht="43.5" customHeight="1" x14ac:dyDescent="0.35">
      <c r="A44" s="392"/>
      <c r="B44" s="403" t="s">
        <v>71</v>
      </c>
      <c r="C44" s="221" t="s">
        <v>34</v>
      </c>
      <c r="D44" s="222" t="s">
        <v>40</v>
      </c>
      <c r="E44" s="222" t="s">
        <v>34</v>
      </c>
      <c r="F44" s="223" t="s">
        <v>376</v>
      </c>
      <c r="G44" s="35" t="s">
        <v>72</v>
      </c>
      <c r="H44" s="236">
        <f>'прил9 (ведом 22)'!M409</f>
        <v>6589.1</v>
      </c>
    </row>
    <row r="45" spans="1:8" ht="42.75" customHeight="1" x14ac:dyDescent="0.35">
      <c r="A45" s="392"/>
      <c r="B45" s="403" t="s">
        <v>202</v>
      </c>
      <c r="C45" s="221" t="s">
        <v>34</v>
      </c>
      <c r="D45" s="222" t="s">
        <v>40</v>
      </c>
      <c r="E45" s="222" t="s">
        <v>34</v>
      </c>
      <c r="F45" s="223" t="s">
        <v>261</v>
      </c>
      <c r="G45" s="35"/>
      <c r="H45" s="236">
        <f>SUM(H46:H47)</f>
        <v>28981.7</v>
      </c>
    </row>
    <row r="46" spans="1:8" ht="36" x14ac:dyDescent="0.35">
      <c r="A46" s="392"/>
      <c r="B46" s="234" t="s">
        <v>50</v>
      </c>
      <c r="C46" s="221" t="s">
        <v>34</v>
      </c>
      <c r="D46" s="222" t="s">
        <v>40</v>
      </c>
      <c r="E46" s="222" t="s">
        <v>34</v>
      </c>
      <c r="F46" s="223" t="s">
        <v>261</v>
      </c>
      <c r="G46" s="35" t="s">
        <v>51</v>
      </c>
      <c r="H46" s="236">
        <f>'прил9 (ведом 22)'!M411</f>
        <v>4061.3</v>
      </c>
    </row>
    <row r="47" spans="1:8" ht="42" customHeight="1" x14ac:dyDescent="0.35">
      <c r="A47" s="392"/>
      <c r="B47" s="403" t="s">
        <v>71</v>
      </c>
      <c r="C47" s="221" t="s">
        <v>34</v>
      </c>
      <c r="D47" s="222" t="s">
        <v>40</v>
      </c>
      <c r="E47" s="222" t="s">
        <v>34</v>
      </c>
      <c r="F47" s="223" t="s">
        <v>261</v>
      </c>
      <c r="G47" s="35" t="s">
        <v>72</v>
      </c>
      <c r="H47" s="236">
        <f>'прил9 (ведом 22)'!M412</f>
        <v>24920.400000000001</v>
      </c>
    </row>
    <row r="48" spans="1:8" ht="36" x14ac:dyDescent="0.35">
      <c r="A48" s="392"/>
      <c r="B48" s="403" t="s">
        <v>203</v>
      </c>
      <c r="C48" s="221" t="s">
        <v>34</v>
      </c>
      <c r="D48" s="222" t="s">
        <v>40</v>
      </c>
      <c r="E48" s="222" t="s">
        <v>34</v>
      </c>
      <c r="F48" s="223" t="s">
        <v>262</v>
      </c>
      <c r="G48" s="35"/>
      <c r="H48" s="236">
        <f>SUM(H49:H51)</f>
        <v>16599.599999999999</v>
      </c>
    </row>
    <row r="49" spans="1:8" ht="36" x14ac:dyDescent="0.35">
      <c r="A49" s="392"/>
      <c r="B49" s="234" t="s">
        <v>50</v>
      </c>
      <c r="C49" s="221" t="s">
        <v>34</v>
      </c>
      <c r="D49" s="222" t="s">
        <v>40</v>
      </c>
      <c r="E49" s="222" t="s">
        <v>34</v>
      </c>
      <c r="F49" s="223" t="s">
        <v>262</v>
      </c>
      <c r="G49" s="35" t="s">
        <v>51</v>
      </c>
      <c r="H49" s="236">
        <f>'прил9 (ведом 22)'!M414</f>
        <v>252.7</v>
      </c>
    </row>
    <row r="50" spans="1:8" ht="36" x14ac:dyDescent="0.35">
      <c r="A50" s="392"/>
      <c r="B50" s="408" t="s">
        <v>198</v>
      </c>
      <c r="C50" s="221" t="s">
        <v>34</v>
      </c>
      <c r="D50" s="222" t="s">
        <v>40</v>
      </c>
      <c r="E50" s="222" t="s">
        <v>34</v>
      </c>
      <c r="F50" s="223" t="s">
        <v>262</v>
      </c>
      <c r="G50" s="35" t="s">
        <v>199</v>
      </c>
      <c r="H50" s="236">
        <f>'прил9 (ведом 22)'!M415+'прил9 (ведом 22)'!M333</f>
        <v>6048.7999999999993</v>
      </c>
    </row>
    <row r="51" spans="1:8" ht="38.4" customHeight="1" x14ac:dyDescent="0.35">
      <c r="A51" s="392"/>
      <c r="B51" s="403" t="s">
        <v>71</v>
      </c>
      <c r="C51" s="221" t="s">
        <v>34</v>
      </c>
      <c r="D51" s="222" t="s">
        <v>40</v>
      </c>
      <c r="E51" s="222" t="s">
        <v>34</v>
      </c>
      <c r="F51" s="223" t="s">
        <v>262</v>
      </c>
      <c r="G51" s="35" t="s">
        <v>72</v>
      </c>
      <c r="H51" s="236">
        <f>'прил9 (ведом 22)'!M416</f>
        <v>10298.1</v>
      </c>
    </row>
    <row r="52" spans="1:8" ht="58.8" customHeight="1" x14ac:dyDescent="0.35">
      <c r="A52" s="392"/>
      <c r="B52" s="234" t="s">
        <v>508</v>
      </c>
      <c r="C52" s="221" t="s">
        <v>34</v>
      </c>
      <c r="D52" s="222" t="s">
        <v>40</v>
      </c>
      <c r="E52" s="222" t="s">
        <v>34</v>
      </c>
      <c r="F52" s="223" t="s">
        <v>509</v>
      </c>
      <c r="G52" s="35"/>
      <c r="H52" s="224">
        <f>H53</f>
        <v>30</v>
      </c>
    </row>
    <row r="53" spans="1:8" ht="38.4" customHeight="1" x14ac:dyDescent="0.35">
      <c r="A53" s="392"/>
      <c r="B53" s="234" t="s">
        <v>71</v>
      </c>
      <c r="C53" s="221" t="s">
        <v>34</v>
      </c>
      <c r="D53" s="222" t="s">
        <v>40</v>
      </c>
      <c r="E53" s="222" t="s">
        <v>34</v>
      </c>
      <c r="F53" s="223" t="s">
        <v>509</v>
      </c>
      <c r="G53" s="35" t="s">
        <v>72</v>
      </c>
      <c r="H53" s="224">
        <f>'прил9 (ведом 22)'!M418</f>
        <v>30</v>
      </c>
    </row>
    <row r="54" spans="1:8" ht="144" x14ac:dyDescent="0.35">
      <c r="A54" s="392"/>
      <c r="B54" s="234" t="s">
        <v>511</v>
      </c>
      <c r="C54" s="221" t="s">
        <v>34</v>
      </c>
      <c r="D54" s="222" t="s">
        <v>40</v>
      </c>
      <c r="E54" s="222" t="s">
        <v>34</v>
      </c>
      <c r="F54" s="223" t="s">
        <v>510</v>
      </c>
      <c r="G54" s="35"/>
      <c r="H54" s="236">
        <f>H55+H56</f>
        <v>33409.299999999996</v>
      </c>
    </row>
    <row r="55" spans="1:8" ht="71.400000000000006" customHeight="1" x14ac:dyDescent="0.35">
      <c r="A55" s="392"/>
      <c r="B55" s="234" t="s">
        <v>44</v>
      </c>
      <c r="C55" s="221" t="s">
        <v>34</v>
      </c>
      <c r="D55" s="222" t="s">
        <v>40</v>
      </c>
      <c r="E55" s="222" t="s">
        <v>34</v>
      </c>
      <c r="F55" s="223" t="s">
        <v>510</v>
      </c>
      <c r="G55" s="35" t="s">
        <v>45</v>
      </c>
      <c r="H55" s="236">
        <f>'прил9 (ведом 22)'!M420</f>
        <v>2734.2</v>
      </c>
    </row>
    <row r="56" spans="1:8" ht="32.4" customHeight="1" x14ac:dyDescent="0.35">
      <c r="A56" s="392"/>
      <c r="B56" s="234" t="s">
        <v>71</v>
      </c>
      <c r="C56" s="221" t="s">
        <v>34</v>
      </c>
      <c r="D56" s="222" t="s">
        <v>40</v>
      </c>
      <c r="E56" s="222" t="s">
        <v>34</v>
      </c>
      <c r="F56" s="223" t="s">
        <v>510</v>
      </c>
      <c r="G56" s="35" t="s">
        <v>72</v>
      </c>
      <c r="H56" s="236">
        <f>'прил9 (ведом 22)'!M421</f>
        <v>30675.1</v>
      </c>
    </row>
    <row r="57" spans="1:8" ht="162" x14ac:dyDescent="0.35">
      <c r="A57" s="392"/>
      <c r="B57" s="403" t="s">
        <v>256</v>
      </c>
      <c r="C57" s="221" t="s">
        <v>34</v>
      </c>
      <c r="D57" s="222" t="s">
        <v>40</v>
      </c>
      <c r="E57" s="222" t="s">
        <v>34</v>
      </c>
      <c r="F57" s="223" t="s">
        <v>257</v>
      </c>
      <c r="G57" s="35"/>
      <c r="H57" s="236">
        <f>SUM(H58:H60)</f>
        <v>1595.1</v>
      </c>
    </row>
    <row r="58" spans="1:8" ht="90" x14ac:dyDescent="0.35">
      <c r="A58" s="392"/>
      <c r="B58" s="234" t="s">
        <v>44</v>
      </c>
      <c r="C58" s="221" t="s">
        <v>34</v>
      </c>
      <c r="D58" s="222" t="s">
        <v>40</v>
      </c>
      <c r="E58" s="222" t="s">
        <v>34</v>
      </c>
      <c r="F58" s="223" t="s">
        <v>257</v>
      </c>
      <c r="G58" s="35" t="s">
        <v>45</v>
      </c>
      <c r="H58" s="236">
        <f>'прил9 (ведом 22)'!M423</f>
        <v>99.7</v>
      </c>
    </row>
    <row r="59" spans="1:8" ht="18.600000000000001" customHeight="1" x14ac:dyDescent="0.35">
      <c r="A59" s="392"/>
      <c r="B59" s="234" t="s">
        <v>115</v>
      </c>
      <c r="C59" s="221" t="s">
        <v>34</v>
      </c>
      <c r="D59" s="222" t="s">
        <v>40</v>
      </c>
      <c r="E59" s="222" t="s">
        <v>34</v>
      </c>
      <c r="F59" s="223" t="s">
        <v>257</v>
      </c>
      <c r="G59" s="35" t="s">
        <v>116</v>
      </c>
      <c r="H59" s="236">
        <f>'прил9 (ведом 22)'!M424</f>
        <v>6.6</v>
      </c>
    </row>
    <row r="60" spans="1:8" ht="42" customHeight="1" x14ac:dyDescent="0.35">
      <c r="A60" s="392"/>
      <c r="B60" s="403" t="s">
        <v>71</v>
      </c>
      <c r="C60" s="221" t="s">
        <v>34</v>
      </c>
      <c r="D60" s="222" t="s">
        <v>40</v>
      </c>
      <c r="E60" s="222" t="s">
        <v>34</v>
      </c>
      <c r="F60" s="223" t="s">
        <v>257</v>
      </c>
      <c r="G60" s="35" t="s">
        <v>72</v>
      </c>
      <c r="H60" s="236">
        <f>'прил9 (ведом 22)'!M425</f>
        <v>1488.8</v>
      </c>
    </row>
    <row r="61" spans="1:8" ht="99" customHeight="1" x14ac:dyDescent="0.35">
      <c r="A61" s="392"/>
      <c r="B61" s="403" t="s">
        <v>334</v>
      </c>
      <c r="C61" s="221" t="s">
        <v>34</v>
      </c>
      <c r="D61" s="222" t="s">
        <v>40</v>
      </c>
      <c r="E61" s="222" t="s">
        <v>34</v>
      </c>
      <c r="F61" s="223" t="s">
        <v>258</v>
      </c>
      <c r="G61" s="35"/>
      <c r="H61" s="236">
        <f>SUM(H62:H64)</f>
        <v>402579.3</v>
      </c>
    </row>
    <row r="62" spans="1:8" ht="90" x14ac:dyDescent="0.35">
      <c r="A62" s="392"/>
      <c r="B62" s="403" t="s">
        <v>44</v>
      </c>
      <c r="C62" s="221" t="s">
        <v>34</v>
      </c>
      <c r="D62" s="222" t="s">
        <v>40</v>
      </c>
      <c r="E62" s="222" t="s">
        <v>34</v>
      </c>
      <c r="F62" s="223" t="s">
        <v>258</v>
      </c>
      <c r="G62" s="35" t="s">
        <v>45</v>
      </c>
      <c r="H62" s="236">
        <f>'прил9 (ведом 22)'!M427</f>
        <v>26623.599999999999</v>
      </c>
    </row>
    <row r="63" spans="1:8" ht="36" x14ac:dyDescent="0.35">
      <c r="A63" s="392"/>
      <c r="B63" s="403" t="s">
        <v>50</v>
      </c>
      <c r="C63" s="221" t="s">
        <v>34</v>
      </c>
      <c r="D63" s="222" t="s">
        <v>40</v>
      </c>
      <c r="E63" s="222" t="s">
        <v>34</v>
      </c>
      <c r="F63" s="223" t="s">
        <v>258</v>
      </c>
      <c r="G63" s="35" t="s">
        <v>51</v>
      </c>
      <c r="H63" s="236">
        <f>'прил9 (ведом 22)'!M428</f>
        <v>3027.7</v>
      </c>
    </row>
    <row r="64" spans="1:8" ht="41.25" customHeight="1" x14ac:dyDescent="0.35">
      <c r="A64" s="392"/>
      <c r="B64" s="403" t="s">
        <v>71</v>
      </c>
      <c r="C64" s="221" t="s">
        <v>34</v>
      </c>
      <c r="D64" s="222" t="s">
        <v>40</v>
      </c>
      <c r="E64" s="222" t="s">
        <v>34</v>
      </c>
      <c r="F64" s="223" t="s">
        <v>258</v>
      </c>
      <c r="G64" s="35" t="s">
        <v>72</v>
      </c>
      <c r="H64" s="236">
        <f>'прил9 (ведом 22)'!M429</f>
        <v>372928</v>
      </c>
    </row>
    <row r="65" spans="1:8" ht="70.2" customHeight="1" x14ac:dyDescent="0.35">
      <c r="A65" s="392"/>
      <c r="B65" s="403" t="s">
        <v>204</v>
      </c>
      <c r="C65" s="565" t="s">
        <v>34</v>
      </c>
      <c r="D65" s="565" t="s">
        <v>40</v>
      </c>
      <c r="E65" s="565" t="s">
        <v>34</v>
      </c>
      <c r="F65" s="566" t="s">
        <v>263</v>
      </c>
      <c r="G65" s="258"/>
      <c r="H65" s="236">
        <f>SUM(H66:H67)</f>
        <v>2260.9</v>
      </c>
    </row>
    <row r="66" spans="1:8" ht="36" x14ac:dyDescent="0.35">
      <c r="A66" s="392"/>
      <c r="B66" s="234" t="s">
        <v>50</v>
      </c>
      <c r="C66" s="221" t="s">
        <v>34</v>
      </c>
      <c r="D66" s="222" t="s">
        <v>40</v>
      </c>
      <c r="E66" s="222" t="s">
        <v>34</v>
      </c>
      <c r="F66" s="223" t="s">
        <v>263</v>
      </c>
      <c r="G66" s="35" t="s">
        <v>51</v>
      </c>
      <c r="H66" s="236">
        <f>'прил9 (ведом 22)'!M431</f>
        <v>106.9</v>
      </c>
    </row>
    <row r="67" spans="1:8" ht="41.25" customHeight="1" x14ac:dyDescent="0.35">
      <c r="A67" s="392"/>
      <c r="B67" s="403" t="s">
        <v>71</v>
      </c>
      <c r="C67" s="565" t="s">
        <v>34</v>
      </c>
      <c r="D67" s="565" t="s">
        <v>40</v>
      </c>
      <c r="E67" s="565" t="s">
        <v>34</v>
      </c>
      <c r="F67" s="566" t="s">
        <v>263</v>
      </c>
      <c r="G67" s="258" t="s">
        <v>72</v>
      </c>
      <c r="H67" s="236">
        <f>'прил9 (ведом 22)'!M432</f>
        <v>2154</v>
      </c>
    </row>
    <row r="68" spans="1:8" ht="142.94999999999999" customHeight="1" x14ac:dyDescent="0.35">
      <c r="A68" s="392"/>
      <c r="B68" s="24" t="s">
        <v>541</v>
      </c>
      <c r="C68" s="571" t="s">
        <v>34</v>
      </c>
      <c r="D68" s="572" t="s">
        <v>40</v>
      </c>
      <c r="E68" s="572" t="s">
        <v>34</v>
      </c>
      <c r="F68" s="573" t="s">
        <v>540</v>
      </c>
      <c r="G68" s="258"/>
      <c r="H68" s="236">
        <f>H69+H70</f>
        <v>1196.0999999999999</v>
      </c>
    </row>
    <row r="69" spans="1:8" ht="41.25" customHeight="1" x14ac:dyDescent="0.35">
      <c r="A69" s="392"/>
      <c r="B69" s="24" t="s">
        <v>50</v>
      </c>
      <c r="C69" s="571" t="s">
        <v>34</v>
      </c>
      <c r="D69" s="572" t="s">
        <v>40</v>
      </c>
      <c r="E69" s="572" t="s">
        <v>34</v>
      </c>
      <c r="F69" s="573" t="s">
        <v>540</v>
      </c>
      <c r="G69" s="10" t="s">
        <v>51</v>
      </c>
      <c r="H69" s="236">
        <f>'прил9 (ведом 22)'!M434</f>
        <v>15</v>
      </c>
    </row>
    <row r="70" spans="1:8" ht="41.25" customHeight="1" x14ac:dyDescent="0.35">
      <c r="A70" s="392"/>
      <c r="B70" s="24" t="s">
        <v>71</v>
      </c>
      <c r="C70" s="571" t="s">
        <v>34</v>
      </c>
      <c r="D70" s="572" t="s">
        <v>40</v>
      </c>
      <c r="E70" s="572" t="s">
        <v>34</v>
      </c>
      <c r="F70" s="573" t="s">
        <v>540</v>
      </c>
      <c r="G70" s="10" t="s">
        <v>72</v>
      </c>
      <c r="H70" s="236">
        <f>'прил9 (ведом 22)'!M435</f>
        <v>1181.0999999999999</v>
      </c>
    </row>
    <row r="71" spans="1:8" ht="75" customHeight="1" x14ac:dyDescent="0.35">
      <c r="A71" s="392"/>
      <c r="B71" s="234" t="s">
        <v>431</v>
      </c>
      <c r="C71" s="221" t="s">
        <v>34</v>
      </c>
      <c r="D71" s="222" t="s">
        <v>40</v>
      </c>
      <c r="E71" s="222" t="s">
        <v>34</v>
      </c>
      <c r="F71" s="223" t="s">
        <v>430</v>
      </c>
      <c r="G71" s="35"/>
      <c r="H71" s="236">
        <f>H72+H73</f>
        <v>59054.899999999994</v>
      </c>
    </row>
    <row r="72" spans="1:8" ht="38.25" customHeight="1" x14ac:dyDescent="0.35">
      <c r="A72" s="392"/>
      <c r="B72" s="234" t="s">
        <v>50</v>
      </c>
      <c r="C72" s="221" t="s">
        <v>34</v>
      </c>
      <c r="D72" s="222" t="s">
        <v>40</v>
      </c>
      <c r="E72" s="222" t="s">
        <v>34</v>
      </c>
      <c r="F72" s="223" t="s">
        <v>430</v>
      </c>
      <c r="G72" s="35" t="s">
        <v>51</v>
      </c>
      <c r="H72" s="236">
        <f>'прил9 (ведом 22)'!M437</f>
        <v>1844</v>
      </c>
    </row>
    <row r="73" spans="1:8" ht="39" customHeight="1" x14ac:dyDescent="0.35">
      <c r="A73" s="392"/>
      <c r="B73" s="234" t="s">
        <v>71</v>
      </c>
      <c r="C73" s="221" t="s">
        <v>34</v>
      </c>
      <c r="D73" s="222" t="s">
        <v>40</v>
      </c>
      <c r="E73" s="222" t="s">
        <v>34</v>
      </c>
      <c r="F73" s="223" t="s">
        <v>430</v>
      </c>
      <c r="G73" s="35" t="s">
        <v>72</v>
      </c>
      <c r="H73" s="236">
        <f>'прил9 (ведом 22)'!M438</f>
        <v>57210.899999999994</v>
      </c>
    </row>
    <row r="74" spans="1:8" ht="72" x14ac:dyDescent="0.35">
      <c r="A74" s="392"/>
      <c r="B74" s="24" t="s">
        <v>539</v>
      </c>
      <c r="C74" s="571" t="s">
        <v>34</v>
      </c>
      <c r="D74" s="572" t="s">
        <v>40</v>
      </c>
      <c r="E74" s="572" t="s">
        <v>34</v>
      </c>
      <c r="F74" s="573" t="s">
        <v>538</v>
      </c>
      <c r="G74" s="35"/>
      <c r="H74" s="236">
        <f>H75+H76+H77</f>
        <v>12776.5</v>
      </c>
    </row>
    <row r="75" spans="1:8" ht="39" customHeight="1" x14ac:dyDescent="0.35">
      <c r="A75" s="392"/>
      <c r="B75" s="24" t="s">
        <v>50</v>
      </c>
      <c r="C75" s="571" t="s">
        <v>34</v>
      </c>
      <c r="D75" s="572" t="s">
        <v>40</v>
      </c>
      <c r="E75" s="572" t="s">
        <v>34</v>
      </c>
      <c r="F75" s="573" t="s">
        <v>538</v>
      </c>
      <c r="G75" s="10" t="s">
        <v>51</v>
      </c>
      <c r="H75" s="236">
        <f>'прил9 (ведом 22)'!M440</f>
        <v>81.7</v>
      </c>
    </row>
    <row r="76" spans="1:8" ht="18" x14ac:dyDescent="0.35">
      <c r="A76" s="392"/>
      <c r="B76" s="24" t="s">
        <v>115</v>
      </c>
      <c r="C76" s="571" t="s">
        <v>34</v>
      </c>
      <c r="D76" s="572" t="s">
        <v>40</v>
      </c>
      <c r="E76" s="572" t="s">
        <v>34</v>
      </c>
      <c r="F76" s="573" t="s">
        <v>538</v>
      </c>
      <c r="G76" s="10" t="s">
        <v>116</v>
      </c>
      <c r="H76" s="236">
        <f>'прил9 (ведом 22)'!M441</f>
        <v>65.2</v>
      </c>
    </row>
    <row r="77" spans="1:8" ht="36" x14ac:dyDescent="0.35">
      <c r="A77" s="392"/>
      <c r="B77" s="24" t="s">
        <v>71</v>
      </c>
      <c r="C77" s="571" t="s">
        <v>34</v>
      </c>
      <c r="D77" s="572" t="s">
        <v>40</v>
      </c>
      <c r="E77" s="572" t="s">
        <v>34</v>
      </c>
      <c r="F77" s="573" t="s">
        <v>538</v>
      </c>
      <c r="G77" s="10" t="s">
        <v>72</v>
      </c>
      <c r="H77" s="236">
        <f>'прил9 (ведом 22)'!M442</f>
        <v>12629.6</v>
      </c>
    </row>
    <row r="78" spans="1:8" ht="18" x14ac:dyDescent="0.35">
      <c r="A78" s="392"/>
      <c r="B78" s="403" t="s">
        <v>205</v>
      </c>
      <c r="C78" s="221" t="s">
        <v>34</v>
      </c>
      <c r="D78" s="222" t="s">
        <v>84</v>
      </c>
      <c r="E78" s="222" t="s">
        <v>38</v>
      </c>
      <c r="F78" s="223" t="s">
        <v>39</v>
      </c>
      <c r="G78" s="258"/>
      <c r="H78" s="236">
        <f>H79+H97</f>
        <v>64010.799999999996</v>
      </c>
    </row>
    <row r="79" spans="1:8" ht="36" x14ac:dyDescent="0.35">
      <c r="A79" s="392"/>
      <c r="B79" s="403" t="s">
        <v>264</v>
      </c>
      <c r="C79" s="221" t="s">
        <v>34</v>
      </c>
      <c r="D79" s="222" t="s">
        <v>84</v>
      </c>
      <c r="E79" s="222" t="s">
        <v>32</v>
      </c>
      <c r="F79" s="223" t="s">
        <v>39</v>
      </c>
      <c r="G79" s="258"/>
      <c r="H79" s="236">
        <f>H80+H93+H85+H95+H88+H90</f>
        <v>63956.799999999996</v>
      </c>
    </row>
    <row r="80" spans="1:8" ht="36" x14ac:dyDescent="0.35">
      <c r="A80" s="392"/>
      <c r="B80" s="403" t="s">
        <v>437</v>
      </c>
      <c r="C80" s="221" t="s">
        <v>34</v>
      </c>
      <c r="D80" s="222" t="s">
        <v>84</v>
      </c>
      <c r="E80" s="222" t="s">
        <v>32</v>
      </c>
      <c r="F80" s="223" t="s">
        <v>86</v>
      </c>
      <c r="G80" s="35"/>
      <c r="H80" s="236">
        <f>SUM(H81:H84)</f>
        <v>47271.5</v>
      </c>
    </row>
    <row r="81" spans="1:8" ht="90" x14ac:dyDescent="0.35">
      <c r="A81" s="392"/>
      <c r="B81" s="234" t="s">
        <v>44</v>
      </c>
      <c r="C81" s="221" t="s">
        <v>34</v>
      </c>
      <c r="D81" s="222" t="s">
        <v>84</v>
      </c>
      <c r="E81" s="222" t="s">
        <v>32</v>
      </c>
      <c r="F81" s="223" t="s">
        <v>86</v>
      </c>
      <c r="G81" s="35" t="s">
        <v>45</v>
      </c>
      <c r="H81" s="236">
        <f>'прил9 (ведом 22)'!M458</f>
        <v>20871.500000000004</v>
      </c>
    </row>
    <row r="82" spans="1:8" ht="36" x14ac:dyDescent="0.35">
      <c r="A82" s="392"/>
      <c r="B82" s="234" t="s">
        <v>50</v>
      </c>
      <c r="C82" s="221" t="s">
        <v>34</v>
      </c>
      <c r="D82" s="222" t="s">
        <v>84</v>
      </c>
      <c r="E82" s="222" t="s">
        <v>32</v>
      </c>
      <c r="F82" s="223" t="s">
        <v>86</v>
      </c>
      <c r="G82" s="35" t="s">
        <v>51</v>
      </c>
      <c r="H82" s="236">
        <f>'прил9 (ведом 22)'!M459</f>
        <v>2008</v>
      </c>
    </row>
    <row r="83" spans="1:8" ht="38.25" customHeight="1" x14ac:dyDescent="0.35">
      <c r="A83" s="392"/>
      <c r="B83" s="403" t="s">
        <v>71</v>
      </c>
      <c r="C83" s="221" t="s">
        <v>34</v>
      </c>
      <c r="D83" s="222" t="s">
        <v>84</v>
      </c>
      <c r="E83" s="222" t="s">
        <v>32</v>
      </c>
      <c r="F83" s="223" t="s">
        <v>86</v>
      </c>
      <c r="G83" s="35" t="s">
        <v>72</v>
      </c>
      <c r="H83" s="236">
        <f>'прил9 (ведом 22)'!M460</f>
        <v>24278.799999999999</v>
      </c>
    </row>
    <row r="84" spans="1:8" ht="18" x14ac:dyDescent="0.35">
      <c r="A84" s="392"/>
      <c r="B84" s="234" t="s">
        <v>52</v>
      </c>
      <c r="C84" s="221" t="s">
        <v>34</v>
      </c>
      <c r="D84" s="222" t="s">
        <v>84</v>
      </c>
      <c r="E84" s="222" t="s">
        <v>32</v>
      </c>
      <c r="F84" s="223" t="s">
        <v>86</v>
      </c>
      <c r="G84" s="35" t="s">
        <v>53</v>
      </c>
      <c r="H84" s="236">
        <f>'прил9 (ведом 22)'!M461</f>
        <v>113.2</v>
      </c>
    </row>
    <row r="85" spans="1:8" ht="44.25" customHeight="1" x14ac:dyDescent="0.35">
      <c r="A85" s="392"/>
      <c r="B85" s="234" t="s">
        <v>202</v>
      </c>
      <c r="C85" s="221" t="s">
        <v>34</v>
      </c>
      <c r="D85" s="222" t="s">
        <v>84</v>
      </c>
      <c r="E85" s="222" t="s">
        <v>32</v>
      </c>
      <c r="F85" s="223" t="s">
        <v>261</v>
      </c>
      <c r="G85" s="35"/>
      <c r="H85" s="236">
        <f>SUM(H86:H87)</f>
        <v>1535</v>
      </c>
    </row>
    <row r="86" spans="1:8" ht="36" x14ac:dyDescent="0.35">
      <c r="A86" s="392"/>
      <c r="B86" s="234" t="s">
        <v>50</v>
      </c>
      <c r="C86" s="221" t="s">
        <v>34</v>
      </c>
      <c r="D86" s="222" t="s">
        <v>84</v>
      </c>
      <c r="E86" s="222" t="s">
        <v>32</v>
      </c>
      <c r="F86" s="223" t="s">
        <v>261</v>
      </c>
      <c r="G86" s="35" t="s">
        <v>51</v>
      </c>
      <c r="H86" s="236">
        <f>'прил9 (ведом 22)'!M463</f>
        <v>676.5</v>
      </c>
    </row>
    <row r="87" spans="1:8" ht="42" customHeight="1" x14ac:dyDescent="0.35">
      <c r="A87" s="392"/>
      <c r="B87" s="410" t="s">
        <v>71</v>
      </c>
      <c r="C87" s="221" t="s">
        <v>34</v>
      </c>
      <c r="D87" s="222" t="s">
        <v>84</v>
      </c>
      <c r="E87" s="222" t="s">
        <v>32</v>
      </c>
      <c r="F87" s="223" t="s">
        <v>261</v>
      </c>
      <c r="G87" s="35" t="s">
        <v>72</v>
      </c>
      <c r="H87" s="236">
        <f>'прил9 (ведом 22)'!M464</f>
        <v>858.5</v>
      </c>
    </row>
    <row r="88" spans="1:8" ht="42" customHeight="1" x14ac:dyDescent="0.35">
      <c r="A88" s="392"/>
      <c r="B88" s="234" t="s">
        <v>203</v>
      </c>
      <c r="C88" s="221" t="s">
        <v>34</v>
      </c>
      <c r="D88" s="222" t="s">
        <v>84</v>
      </c>
      <c r="E88" s="222" t="s">
        <v>32</v>
      </c>
      <c r="F88" s="223" t="s">
        <v>262</v>
      </c>
      <c r="G88" s="35"/>
      <c r="H88" s="236">
        <f>H89</f>
        <v>17</v>
      </c>
    </row>
    <row r="89" spans="1:8" ht="42" customHeight="1" x14ac:dyDescent="0.35">
      <c r="A89" s="392"/>
      <c r="B89" s="410" t="s">
        <v>71</v>
      </c>
      <c r="C89" s="221" t="s">
        <v>34</v>
      </c>
      <c r="D89" s="222" t="s">
        <v>84</v>
      </c>
      <c r="E89" s="222" t="s">
        <v>32</v>
      </c>
      <c r="F89" s="223" t="s">
        <v>262</v>
      </c>
      <c r="G89" s="35" t="s">
        <v>72</v>
      </c>
      <c r="H89" s="236">
        <f>'прил9 (ведом 22)'!M466</f>
        <v>17</v>
      </c>
    </row>
    <row r="90" spans="1:8" ht="56.4" customHeight="1" x14ac:dyDescent="0.35">
      <c r="A90" s="392"/>
      <c r="B90" s="410" t="s">
        <v>521</v>
      </c>
      <c r="C90" s="221" t="s">
        <v>34</v>
      </c>
      <c r="D90" s="222" t="s">
        <v>84</v>
      </c>
      <c r="E90" s="222" t="s">
        <v>32</v>
      </c>
      <c r="F90" s="223" t="s">
        <v>520</v>
      </c>
      <c r="G90" s="35"/>
      <c r="H90" s="236">
        <f>H91+H92</f>
        <v>4940.4000000000005</v>
      </c>
    </row>
    <row r="91" spans="1:8" ht="42" customHeight="1" x14ac:dyDescent="0.35">
      <c r="A91" s="392"/>
      <c r="B91" s="410" t="s">
        <v>71</v>
      </c>
      <c r="C91" s="221" t="s">
        <v>34</v>
      </c>
      <c r="D91" s="222" t="s">
        <v>84</v>
      </c>
      <c r="E91" s="222" t="s">
        <v>32</v>
      </c>
      <c r="F91" s="223" t="s">
        <v>520</v>
      </c>
      <c r="G91" s="35" t="s">
        <v>72</v>
      </c>
      <c r="H91" s="236">
        <f>'прил9 (ведом 22)'!M468</f>
        <v>4829.1000000000004</v>
      </c>
    </row>
    <row r="92" spans="1:8" ht="18" x14ac:dyDescent="0.35">
      <c r="A92" s="392"/>
      <c r="B92" s="234" t="s">
        <v>52</v>
      </c>
      <c r="C92" s="221" t="s">
        <v>34</v>
      </c>
      <c r="D92" s="222" t="s">
        <v>84</v>
      </c>
      <c r="E92" s="222" t="s">
        <v>32</v>
      </c>
      <c r="F92" s="223" t="s">
        <v>520</v>
      </c>
      <c r="G92" s="35" t="s">
        <v>53</v>
      </c>
      <c r="H92" s="236">
        <f>'прил9 (ведом 22)'!M469</f>
        <v>111.3</v>
      </c>
    </row>
    <row r="93" spans="1:8" ht="162" x14ac:dyDescent="0.35">
      <c r="A93" s="392"/>
      <c r="B93" s="403" t="s">
        <v>256</v>
      </c>
      <c r="C93" s="221" t="s">
        <v>34</v>
      </c>
      <c r="D93" s="222" t="s">
        <v>84</v>
      </c>
      <c r="E93" s="222" t="s">
        <v>32</v>
      </c>
      <c r="F93" s="223" t="s">
        <v>257</v>
      </c>
      <c r="G93" s="35"/>
      <c r="H93" s="236">
        <f>H94</f>
        <v>106.1</v>
      </c>
    </row>
    <row r="94" spans="1:8" ht="36" x14ac:dyDescent="0.35">
      <c r="A94" s="392"/>
      <c r="B94" s="234" t="s">
        <v>71</v>
      </c>
      <c r="C94" s="221" t="s">
        <v>34</v>
      </c>
      <c r="D94" s="222" t="s">
        <v>84</v>
      </c>
      <c r="E94" s="222" t="s">
        <v>32</v>
      </c>
      <c r="F94" s="223" t="s">
        <v>257</v>
      </c>
      <c r="G94" s="35" t="s">
        <v>72</v>
      </c>
      <c r="H94" s="236">
        <f>'прил9 (ведом 22)'!M471</f>
        <v>106.1</v>
      </c>
    </row>
    <row r="95" spans="1:8" ht="88.2" customHeight="1" x14ac:dyDescent="0.35">
      <c r="A95" s="392"/>
      <c r="B95" s="234" t="s">
        <v>334</v>
      </c>
      <c r="C95" s="221" t="s">
        <v>34</v>
      </c>
      <c r="D95" s="222" t="s">
        <v>84</v>
      </c>
      <c r="E95" s="222" t="s">
        <v>32</v>
      </c>
      <c r="F95" s="223" t="s">
        <v>258</v>
      </c>
      <c r="G95" s="35"/>
      <c r="H95" s="236">
        <f>H96</f>
        <v>10086.799999999999</v>
      </c>
    </row>
    <row r="96" spans="1:8" ht="34.950000000000003" customHeight="1" x14ac:dyDescent="0.35">
      <c r="A96" s="392"/>
      <c r="B96" s="234" t="s">
        <v>71</v>
      </c>
      <c r="C96" s="221" t="s">
        <v>34</v>
      </c>
      <c r="D96" s="222" t="s">
        <v>84</v>
      </c>
      <c r="E96" s="222" t="s">
        <v>32</v>
      </c>
      <c r="F96" s="223" t="s">
        <v>258</v>
      </c>
      <c r="G96" s="35" t="s">
        <v>72</v>
      </c>
      <c r="H96" s="236">
        <f>'прил9 (ведом 22)'!M473</f>
        <v>10086.799999999999</v>
      </c>
    </row>
    <row r="97" spans="1:8" ht="18" x14ac:dyDescent="0.35">
      <c r="A97" s="392"/>
      <c r="B97" s="234" t="s">
        <v>265</v>
      </c>
      <c r="C97" s="221" t="s">
        <v>34</v>
      </c>
      <c r="D97" s="222" t="s">
        <v>84</v>
      </c>
      <c r="E97" s="222" t="s">
        <v>34</v>
      </c>
      <c r="F97" s="223" t="s">
        <v>39</v>
      </c>
      <c r="G97" s="35"/>
      <c r="H97" s="236">
        <f>H98</f>
        <v>54</v>
      </c>
    </row>
    <row r="98" spans="1:8" ht="36" x14ac:dyDescent="0.35">
      <c r="A98" s="392"/>
      <c r="B98" s="234" t="s">
        <v>266</v>
      </c>
      <c r="C98" s="221" t="s">
        <v>34</v>
      </c>
      <c r="D98" s="222" t="s">
        <v>84</v>
      </c>
      <c r="E98" s="222" t="s">
        <v>34</v>
      </c>
      <c r="F98" s="223" t="s">
        <v>267</v>
      </c>
      <c r="G98" s="35"/>
      <c r="H98" s="236">
        <f>H99</f>
        <v>54</v>
      </c>
    </row>
    <row r="99" spans="1:8" ht="20.25" customHeight="1" x14ac:dyDescent="0.35">
      <c r="A99" s="392"/>
      <c r="B99" s="234" t="s">
        <v>115</v>
      </c>
      <c r="C99" s="221" t="s">
        <v>34</v>
      </c>
      <c r="D99" s="222" t="s">
        <v>84</v>
      </c>
      <c r="E99" s="222" t="s">
        <v>34</v>
      </c>
      <c r="F99" s="223" t="s">
        <v>267</v>
      </c>
      <c r="G99" s="35" t="s">
        <v>116</v>
      </c>
      <c r="H99" s="236">
        <f>'прил9 (ведом 22)'!M487</f>
        <v>54</v>
      </c>
    </row>
    <row r="100" spans="1:8" ht="43.5" customHeight="1" x14ac:dyDescent="0.35">
      <c r="A100" s="392"/>
      <c r="B100" s="403" t="s">
        <v>207</v>
      </c>
      <c r="C100" s="221" t="s">
        <v>34</v>
      </c>
      <c r="D100" s="222" t="s">
        <v>25</v>
      </c>
      <c r="E100" s="222" t="s">
        <v>38</v>
      </c>
      <c r="F100" s="223" t="s">
        <v>39</v>
      </c>
      <c r="G100" s="258"/>
      <c r="H100" s="236">
        <f>H101+H119+H124+H127+H130</f>
        <v>81020.3</v>
      </c>
    </row>
    <row r="101" spans="1:8" ht="36" x14ac:dyDescent="0.35">
      <c r="A101" s="392"/>
      <c r="B101" s="403" t="s">
        <v>270</v>
      </c>
      <c r="C101" s="221" t="s">
        <v>34</v>
      </c>
      <c r="D101" s="222" t="s">
        <v>25</v>
      </c>
      <c r="E101" s="222" t="s">
        <v>32</v>
      </c>
      <c r="F101" s="223" t="s">
        <v>39</v>
      </c>
      <c r="G101" s="258"/>
      <c r="H101" s="236">
        <f>H102+H111+H106+H117+H115+H113</f>
        <v>75320.5</v>
      </c>
    </row>
    <row r="102" spans="1:8" ht="36" x14ac:dyDescent="0.35">
      <c r="A102" s="392"/>
      <c r="B102" s="403" t="s">
        <v>42</v>
      </c>
      <c r="C102" s="221" t="s">
        <v>34</v>
      </c>
      <c r="D102" s="222" t="s">
        <v>25</v>
      </c>
      <c r="E102" s="222" t="s">
        <v>32</v>
      </c>
      <c r="F102" s="223" t="s">
        <v>43</v>
      </c>
      <c r="G102" s="35"/>
      <c r="H102" s="236">
        <f>SUM(H103:H105)</f>
        <v>11695.9</v>
      </c>
    </row>
    <row r="103" spans="1:8" ht="90" x14ac:dyDescent="0.35">
      <c r="A103" s="392"/>
      <c r="B103" s="403" t="s">
        <v>44</v>
      </c>
      <c r="C103" s="221" t="s">
        <v>34</v>
      </c>
      <c r="D103" s="222" t="s">
        <v>25</v>
      </c>
      <c r="E103" s="222" t="s">
        <v>32</v>
      </c>
      <c r="F103" s="223" t="s">
        <v>43</v>
      </c>
      <c r="G103" s="35" t="s">
        <v>45</v>
      </c>
      <c r="H103" s="236">
        <f>'прил9 (ведом 22)'!M491</f>
        <v>10911.199999999999</v>
      </c>
    </row>
    <row r="104" spans="1:8" ht="36" x14ac:dyDescent="0.35">
      <c r="A104" s="392"/>
      <c r="B104" s="403" t="s">
        <v>50</v>
      </c>
      <c r="C104" s="221" t="s">
        <v>34</v>
      </c>
      <c r="D104" s="222" t="s">
        <v>25</v>
      </c>
      <c r="E104" s="222" t="s">
        <v>32</v>
      </c>
      <c r="F104" s="223" t="s">
        <v>43</v>
      </c>
      <c r="G104" s="35" t="s">
        <v>51</v>
      </c>
      <c r="H104" s="236">
        <f>'прил9 (ведом 22)'!M492</f>
        <v>767.7</v>
      </c>
    </row>
    <row r="105" spans="1:8" ht="18" x14ac:dyDescent="0.35">
      <c r="A105" s="392"/>
      <c r="B105" s="403" t="s">
        <v>52</v>
      </c>
      <c r="C105" s="221" t="s">
        <v>34</v>
      </c>
      <c r="D105" s="222" t="s">
        <v>25</v>
      </c>
      <c r="E105" s="222" t="s">
        <v>32</v>
      </c>
      <c r="F105" s="223" t="s">
        <v>43</v>
      </c>
      <c r="G105" s="35" t="s">
        <v>53</v>
      </c>
      <c r="H105" s="236">
        <f>'прил9 (ведом 22)'!M493</f>
        <v>17</v>
      </c>
    </row>
    <row r="106" spans="1:8" ht="36" x14ac:dyDescent="0.35">
      <c r="A106" s="392"/>
      <c r="B106" s="403" t="s">
        <v>437</v>
      </c>
      <c r="C106" s="221" t="s">
        <v>34</v>
      </c>
      <c r="D106" s="222" t="s">
        <v>25</v>
      </c>
      <c r="E106" s="222" t="s">
        <v>32</v>
      </c>
      <c r="F106" s="223" t="s">
        <v>86</v>
      </c>
      <c r="G106" s="35"/>
      <c r="H106" s="236">
        <f>SUM(H107:H110)</f>
        <v>53799</v>
      </c>
    </row>
    <row r="107" spans="1:8" ht="90" x14ac:dyDescent="0.35">
      <c r="A107" s="392"/>
      <c r="B107" s="403" t="s">
        <v>44</v>
      </c>
      <c r="C107" s="221" t="s">
        <v>34</v>
      </c>
      <c r="D107" s="222" t="s">
        <v>25</v>
      </c>
      <c r="E107" s="222" t="s">
        <v>32</v>
      </c>
      <c r="F107" s="223" t="s">
        <v>86</v>
      </c>
      <c r="G107" s="35" t="s">
        <v>45</v>
      </c>
      <c r="H107" s="236">
        <f>'прил9 (ведом 22)'!M495</f>
        <v>31449.800000000003</v>
      </c>
    </row>
    <row r="108" spans="1:8" ht="36" x14ac:dyDescent="0.35">
      <c r="A108" s="392"/>
      <c r="B108" s="403" t="s">
        <v>50</v>
      </c>
      <c r="C108" s="221" t="s">
        <v>34</v>
      </c>
      <c r="D108" s="222" t="s">
        <v>25</v>
      </c>
      <c r="E108" s="222" t="s">
        <v>32</v>
      </c>
      <c r="F108" s="223" t="s">
        <v>86</v>
      </c>
      <c r="G108" s="35" t="s">
        <v>51</v>
      </c>
      <c r="H108" s="236">
        <f>'прил9 (ведом 22)'!M496</f>
        <v>3043.9</v>
      </c>
    </row>
    <row r="109" spans="1:8" ht="34.200000000000003" customHeight="1" x14ac:dyDescent="0.35">
      <c r="A109" s="392"/>
      <c r="B109" s="234" t="s">
        <v>71</v>
      </c>
      <c r="C109" s="221" t="s">
        <v>34</v>
      </c>
      <c r="D109" s="222" t="s">
        <v>25</v>
      </c>
      <c r="E109" s="222" t="s">
        <v>32</v>
      </c>
      <c r="F109" s="223" t="s">
        <v>86</v>
      </c>
      <c r="G109" s="35" t="s">
        <v>72</v>
      </c>
      <c r="H109" s="236">
        <f>'прил9 (ведом 22)'!M497</f>
        <v>19299.099999999999</v>
      </c>
    </row>
    <row r="110" spans="1:8" ht="18" x14ac:dyDescent="0.35">
      <c r="A110" s="392"/>
      <c r="B110" s="403" t="s">
        <v>52</v>
      </c>
      <c r="C110" s="221" t="s">
        <v>34</v>
      </c>
      <c r="D110" s="222" t="s">
        <v>25</v>
      </c>
      <c r="E110" s="222" t="s">
        <v>32</v>
      </c>
      <c r="F110" s="223" t="s">
        <v>86</v>
      </c>
      <c r="G110" s="35" t="s">
        <v>53</v>
      </c>
      <c r="H110" s="236">
        <f>'прил9 (ведом 22)'!M498</f>
        <v>6.2</v>
      </c>
    </row>
    <row r="111" spans="1:8" ht="18" x14ac:dyDescent="0.35">
      <c r="A111" s="392"/>
      <c r="B111" s="234" t="s">
        <v>438</v>
      </c>
      <c r="C111" s="221" t="s">
        <v>34</v>
      </c>
      <c r="D111" s="222" t="s">
        <v>25</v>
      </c>
      <c r="E111" s="222" t="s">
        <v>32</v>
      </c>
      <c r="F111" s="223" t="s">
        <v>376</v>
      </c>
      <c r="G111" s="35"/>
      <c r="H111" s="236">
        <f>H112</f>
        <v>550.9</v>
      </c>
    </row>
    <row r="112" spans="1:8" ht="36" x14ac:dyDescent="0.35">
      <c r="A112" s="392"/>
      <c r="B112" s="234" t="s">
        <v>50</v>
      </c>
      <c r="C112" s="221" t="s">
        <v>34</v>
      </c>
      <c r="D112" s="222" t="s">
        <v>25</v>
      </c>
      <c r="E112" s="222" t="s">
        <v>32</v>
      </c>
      <c r="F112" s="223" t="s">
        <v>376</v>
      </c>
      <c r="G112" s="35" t="s">
        <v>51</v>
      </c>
      <c r="H112" s="236">
        <f>'прил9 (ведом 22)'!M500</f>
        <v>550.9</v>
      </c>
    </row>
    <row r="113" spans="1:8" ht="36" x14ac:dyDescent="0.35">
      <c r="A113" s="392"/>
      <c r="B113" s="234" t="s">
        <v>203</v>
      </c>
      <c r="C113" s="221" t="s">
        <v>34</v>
      </c>
      <c r="D113" s="222" t="s">
        <v>25</v>
      </c>
      <c r="E113" s="222" t="s">
        <v>32</v>
      </c>
      <c r="F113" s="223" t="s">
        <v>262</v>
      </c>
      <c r="G113" s="35"/>
      <c r="H113" s="236">
        <f>H114</f>
        <v>10</v>
      </c>
    </row>
    <row r="114" spans="1:8" ht="36" x14ac:dyDescent="0.35">
      <c r="A114" s="392"/>
      <c r="B114" s="234" t="s">
        <v>50</v>
      </c>
      <c r="C114" s="221" t="s">
        <v>34</v>
      </c>
      <c r="D114" s="222" t="s">
        <v>25</v>
      </c>
      <c r="E114" s="222" t="s">
        <v>32</v>
      </c>
      <c r="F114" s="223" t="s">
        <v>262</v>
      </c>
      <c r="G114" s="35" t="s">
        <v>51</v>
      </c>
      <c r="H114" s="236">
        <f>'прил9 (ведом 22)'!M502</f>
        <v>10</v>
      </c>
    </row>
    <row r="115" spans="1:8" ht="87.6" customHeight="1" x14ac:dyDescent="0.35">
      <c r="A115" s="392"/>
      <c r="B115" s="234" t="s">
        <v>334</v>
      </c>
      <c r="C115" s="221" t="s">
        <v>34</v>
      </c>
      <c r="D115" s="222" t="s">
        <v>25</v>
      </c>
      <c r="E115" s="222" t="s">
        <v>32</v>
      </c>
      <c r="F115" s="223" t="s">
        <v>258</v>
      </c>
      <c r="G115" s="35"/>
      <c r="H115" s="236">
        <f>H116</f>
        <v>6189.9</v>
      </c>
    </row>
    <row r="116" spans="1:8" ht="90" x14ac:dyDescent="0.35">
      <c r="A116" s="392"/>
      <c r="B116" s="234" t="s">
        <v>44</v>
      </c>
      <c r="C116" s="221" t="s">
        <v>34</v>
      </c>
      <c r="D116" s="222" t="s">
        <v>25</v>
      </c>
      <c r="E116" s="222" t="s">
        <v>32</v>
      </c>
      <c r="F116" s="223" t="s">
        <v>258</v>
      </c>
      <c r="G116" s="35" t="s">
        <v>45</v>
      </c>
      <c r="H116" s="236">
        <f>'прил9 (ведом 22)'!M504</f>
        <v>6189.9</v>
      </c>
    </row>
    <row r="117" spans="1:8" ht="216" x14ac:dyDescent="0.35">
      <c r="A117" s="392"/>
      <c r="B117" s="234" t="s">
        <v>413</v>
      </c>
      <c r="C117" s="221" t="s">
        <v>34</v>
      </c>
      <c r="D117" s="222" t="s">
        <v>25</v>
      </c>
      <c r="E117" s="222" t="s">
        <v>32</v>
      </c>
      <c r="F117" s="223" t="s">
        <v>335</v>
      </c>
      <c r="G117" s="35"/>
      <c r="H117" s="236">
        <f>SUM(H118:H118)</f>
        <v>3074.8</v>
      </c>
    </row>
    <row r="118" spans="1:8" ht="42.75" customHeight="1" x14ac:dyDescent="0.35">
      <c r="A118" s="392"/>
      <c r="B118" s="403" t="s">
        <v>71</v>
      </c>
      <c r="C118" s="221" t="s">
        <v>34</v>
      </c>
      <c r="D118" s="222" t="s">
        <v>25</v>
      </c>
      <c r="E118" s="222" t="s">
        <v>32</v>
      </c>
      <c r="F118" s="223" t="s">
        <v>335</v>
      </c>
      <c r="G118" s="35" t="s">
        <v>72</v>
      </c>
      <c r="H118" s="236">
        <f>'прил9 (ведом 22)'!M446</f>
        <v>3074.8</v>
      </c>
    </row>
    <row r="119" spans="1:8" ht="42.75" customHeight="1" x14ac:dyDescent="0.35">
      <c r="A119" s="392"/>
      <c r="B119" s="234" t="s">
        <v>269</v>
      </c>
      <c r="C119" s="221" t="s">
        <v>34</v>
      </c>
      <c r="D119" s="222" t="s">
        <v>25</v>
      </c>
      <c r="E119" s="222" t="s">
        <v>34</v>
      </c>
      <c r="F119" s="223" t="s">
        <v>39</v>
      </c>
      <c r="G119" s="35"/>
      <c r="H119" s="236">
        <f>H120+H122</f>
        <v>5396.0999999999995</v>
      </c>
    </row>
    <row r="120" spans="1:8" ht="42.75" customHeight="1" x14ac:dyDescent="0.35">
      <c r="A120" s="392"/>
      <c r="B120" s="234" t="s">
        <v>444</v>
      </c>
      <c r="C120" s="221" t="s">
        <v>34</v>
      </c>
      <c r="D120" s="222" t="s">
        <v>25</v>
      </c>
      <c r="E120" s="222" t="s">
        <v>34</v>
      </c>
      <c r="F120" s="223" t="s">
        <v>443</v>
      </c>
      <c r="G120" s="35"/>
      <c r="H120" s="236">
        <f>H121</f>
        <v>1258.8</v>
      </c>
    </row>
    <row r="121" spans="1:8" ht="39.6" customHeight="1" x14ac:dyDescent="0.35">
      <c r="A121" s="392"/>
      <c r="B121" s="234" t="s">
        <v>71</v>
      </c>
      <c r="C121" s="221" t="s">
        <v>34</v>
      </c>
      <c r="D121" s="222" t="s">
        <v>25</v>
      </c>
      <c r="E121" s="222" t="s">
        <v>34</v>
      </c>
      <c r="F121" s="223" t="s">
        <v>443</v>
      </c>
      <c r="G121" s="35" t="s">
        <v>72</v>
      </c>
      <c r="H121" s="236">
        <f>'прил9 (ведом 22)'!M479</f>
        <v>1258.8</v>
      </c>
    </row>
    <row r="122" spans="1:8" ht="113.25" customHeight="1" x14ac:dyDescent="0.35">
      <c r="A122" s="392"/>
      <c r="B122" s="234" t="s">
        <v>418</v>
      </c>
      <c r="C122" s="221" t="s">
        <v>34</v>
      </c>
      <c r="D122" s="222" t="s">
        <v>25</v>
      </c>
      <c r="E122" s="222" t="s">
        <v>34</v>
      </c>
      <c r="F122" s="223" t="s">
        <v>417</v>
      </c>
      <c r="G122" s="35"/>
      <c r="H122" s="236">
        <f>H123</f>
        <v>4137.2999999999993</v>
      </c>
    </row>
    <row r="123" spans="1:8" ht="34.5" customHeight="1" x14ac:dyDescent="0.35">
      <c r="A123" s="392"/>
      <c r="B123" s="234" t="s">
        <v>71</v>
      </c>
      <c r="C123" s="221" t="s">
        <v>34</v>
      </c>
      <c r="D123" s="222" t="s">
        <v>25</v>
      </c>
      <c r="E123" s="222" t="s">
        <v>34</v>
      </c>
      <c r="F123" s="223" t="s">
        <v>417</v>
      </c>
      <c r="G123" s="35" t="s">
        <v>72</v>
      </c>
      <c r="H123" s="236">
        <f>'прил9 (ведом 22)'!M481</f>
        <v>4137.2999999999993</v>
      </c>
    </row>
    <row r="124" spans="1:8" ht="39" customHeight="1" x14ac:dyDescent="0.35">
      <c r="A124" s="392"/>
      <c r="B124" s="257" t="s">
        <v>340</v>
      </c>
      <c r="C124" s="564" t="s">
        <v>34</v>
      </c>
      <c r="D124" s="565" t="s">
        <v>25</v>
      </c>
      <c r="E124" s="565" t="s">
        <v>58</v>
      </c>
      <c r="F124" s="566" t="s">
        <v>39</v>
      </c>
      <c r="G124" s="258"/>
      <c r="H124" s="236">
        <f>H125</f>
        <v>173.9</v>
      </c>
    </row>
    <row r="125" spans="1:8" ht="51" customHeight="1" x14ac:dyDescent="0.35">
      <c r="A125" s="392"/>
      <c r="B125" s="257" t="s">
        <v>446</v>
      </c>
      <c r="C125" s="564" t="s">
        <v>34</v>
      </c>
      <c r="D125" s="565" t="s">
        <v>25</v>
      </c>
      <c r="E125" s="565" t="s">
        <v>58</v>
      </c>
      <c r="F125" s="566" t="s">
        <v>100</v>
      </c>
      <c r="G125" s="258"/>
      <c r="H125" s="236">
        <f>H126</f>
        <v>173.9</v>
      </c>
    </row>
    <row r="126" spans="1:8" ht="36" customHeight="1" x14ac:dyDescent="0.35">
      <c r="A126" s="392"/>
      <c r="B126" s="257" t="s">
        <v>50</v>
      </c>
      <c r="C126" s="564" t="s">
        <v>34</v>
      </c>
      <c r="D126" s="565" t="s">
        <v>25</v>
      </c>
      <c r="E126" s="565" t="s">
        <v>58</v>
      </c>
      <c r="F126" s="566" t="s">
        <v>100</v>
      </c>
      <c r="G126" s="258" t="s">
        <v>51</v>
      </c>
      <c r="H126" s="236">
        <f>'прил9 (ведом 22)'!M364</f>
        <v>173.9</v>
      </c>
    </row>
    <row r="127" spans="1:8" ht="34.5" customHeight="1" x14ac:dyDescent="0.35">
      <c r="A127" s="392"/>
      <c r="B127" s="257" t="s">
        <v>441</v>
      </c>
      <c r="C127" s="564" t="s">
        <v>34</v>
      </c>
      <c r="D127" s="565" t="s">
        <v>25</v>
      </c>
      <c r="E127" s="565" t="s">
        <v>47</v>
      </c>
      <c r="F127" s="566" t="s">
        <v>39</v>
      </c>
      <c r="G127" s="258"/>
      <c r="H127" s="236">
        <f>H128</f>
        <v>24</v>
      </c>
    </row>
    <row r="128" spans="1:8" ht="15.75" customHeight="1" x14ac:dyDescent="0.35">
      <c r="A128" s="392"/>
      <c r="B128" s="257" t="s">
        <v>447</v>
      </c>
      <c r="C128" s="564" t="s">
        <v>34</v>
      </c>
      <c r="D128" s="565" t="s">
        <v>25</v>
      </c>
      <c r="E128" s="565" t="s">
        <v>47</v>
      </c>
      <c r="F128" s="566" t="s">
        <v>440</v>
      </c>
      <c r="G128" s="258"/>
      <c r="H128" s="236">
        <f>H129</f>
        <v>24</v>
      </c>
    </row>
    <row r="129" spans="1:8" ht="34.5" customHeight="1" x14ac:dyDescent="0.35">
      <c r="A129" s="392"/>
      <c r="B129" s="257" t="s">
        <v>50</v>
      </c>
      <c r="C129" s="564" t="s">
        <v>34</v>
      </c>
      <c r="D129" s="565" t="s">
        <v>25</v>
      </c>
      <c r="E129" s="565" t="s">
        <v>47</v>
      </c>
      <c r="F129" s="566" t="s">
        <v>440</v>
      </c>
      <c r="G129" s="258" t="s">
        <v>51</v>
      </c>
      <c r="H129" s="236">
        <f>'прил9 (ведом 22)'!M367</f>
        <v>24</v>
      </c>
    </row>
    <row r="130" spans="1:8" ht="36.75" customHeight="1" x14ac:dyDescent="0.35">
      <c r="A130" s="392"/>
      <c r="B130" s="257" t="s">
        <v>445</v>
      </c>
      <c r="C130" s="564" t="s">
        <v>34</v>
      </c>
      <c r="D130" s="565" t="s">
        <v>25</v>
      </c>
      <c r="E130" s="565" t="s">
        <v>60</v>
      </c>
      <c r="F130" s="566" t="s">
        <v>39</v>
      </c>
      <c r="G130" s="258"/>
      <c r="H130" s="236">
        <f>H131</f>
        <v>105.8</v>
      </c>
    </row>
    <row r="131" spans="1:8" ht="33" customHeight="1" x14ac:dyDescent="0.35">
      <c r="A131" s="392"/>
      <c r="B131" s="257" t="s">
        <v>122</v>
      </c>
      <c r="C131" s="564" t="s">
        <v>34</v>
      </c>
      <c r="D131" s="565" t="s">
        <v>25</v>
      </c>
      <c r="E131" s="565" t="s">
        <v>60</v>
      </c>
      <c r="F131" s="566" t="s">
        <v>85</v>
      </c>
      <c r="G131" s="258"/>
      <c r="H131" s="236">
        <f>H132</f>
        <v>105.8</v>
      </c>
    </row>
    <row r="132" spans="1:8" ht="33.75" customHeight="1" x14ac:dyDescent="0.35">
      <c r="A132" s="392"/>
      <c r="B132" s="257" t="s">
        <v>50</v>
      </c>
      <c r="C132" s="564" t="s">
        <v>34</v>
      </c>
      <c r="D132" s="565" t="s">
        <v>25</v>
      </c>
      <c r="E132" s="565" t="s">
        <v>60</v>
      </c>
      <c r="F132" s="566" t="s">
        <v>85</v>
      </c>
      <c r="G132" s="258" t="s">
        <v>51</v>
      </c>
      <c r="H132" s="236">
        <f>'прил9 (ведом 22)'!M370</f>
        <v>105.8</v>
      </c>
    </row>
    <row r="133" spans="1:8" ht="16.95" customHeight="1" x14ac:dyDescent="0.35">
      <c r="A133" s="392"/>
      <c r="B133" s="411"/>
      <c r="C133" s="564"/>
      <c r="D133" s="565"/>
      <c r="E133" s="565"/>
      <c r="F133" s="566"/>
      <c r="G133" s="258"/>
      <c r="H133" s="236"/>
    </row>
    <row r="134" spans="1:8" s="402" customFormat="1" ht="53.4" customHeight="1" x14ac:dyDescent="0.3">
      <c r="A134" s="412">
        <v>2</v>
      </c>
      <c r="B134" s="334" t="s">
        <v>208</v>
      </c>
      <c r="C134" s="413" t="s">
        <v>58</v>
      </c>
      <c r="D134" s="413" t="s">
        <v>37</v>
      </c>
      <c r="E134" s="413" t="s">
        <v>38</v>
      </c>
      <c r="F134" s="414" t="s">
        <v>39</v>
      </c>
      <c r="G134" s="401"/>
      <c r="H134" s="283">
        <f>H135+H163+H170</f>
        <v>101296.59999999999</v>
      </c>
    </row>
    <row r="135" spans="1:8" s="402" customFormat="1" ht="54" x14ac:dyDescent="0.35">
      <c r="A135" s="392"/>
      <c r="B135" s="415" t="s">
        <v>209</v>
      </c>
      <c r="C135" s="221" t="s">
        <v>58</v>
      </c>
      <c r="D135" s="222" t="s">
        <v>40</v>
      </c>
      <c r="E135" s="222" t="s">
        <v>38</v>
      </c>
      <c r="F135" s="223" t="s">
        <v>39</v>
      </c>
      <c r="G135" s="258"/>
      <c r="H135" s="236">
        <f>H136+H143+H146+H153+H160</f>
        <v>89165.7</v>
      </c>
    </row>
    <row r="136" spans="1:8" s="402" customFormat="1" ht="34.200000000000003" customHeight="1" x14ac:dyDescent="0.35">
      <c r="A136" s="392"/>
      <c r="B136" s="415" t="s">
        <v>264</v>
      </c>
      <c r="C136" s="221" t="s">
        <v>58</v>
      </c>
      <c r="D136" s="222" t="s">
        <v>40</v>
      </c>
      <c r="E136" s="222" t="s">
        <v>32</v>
      </c>
      <c r="F136" s="223" t="s">
        <v>39</v>
      </c>
      <c r="G136" s="258"/>
      <c r="H136" s="236">
        <f>H137+H141+H139</f>
        <v>58954.7</v>
      </c>
    </row>
    <row r="137" spans="1:8" s="402" customFormat="1" ht="36" x14ac:dyDescent="0.35">
      <c r="A137" s="392"/>
      <c r="B137" s="403" t="s">
        <v>437</v>
      </c>
      <c r="C137" s="221" t="s">
        <v>58</v>
      </c>
      <c r="D137" s="222" t="s">
        <v>40</v>
      </c>
      <c r="E137" s="222" t="s">
        <v>32</v>
      </c>
      <c r="F137" s="223" t="s">
        <v>86</v>
      </c>
      <c r="G137" s="35"/>
      <c r="H137" s="236">
        <f>H138</f>
        <v>55802.799999999996</v>
      </c>
    </row>
    <row r="138" spans="1:8" s="402" customFormat="1" ht="32.4" customHeight="1" x14ac:dyDescent="0.35">
      <c r="A138" s="392"/>
      <c r="B138" s="409" t="s">
        <v>71</v>
      </c>
      <c r="C138" s="221" t="s">
        <v>58</v>
      </c>
      <c r="D138" s="222" t="s">
        <v>40</v>
      </c>
      <c r="E138" s="222" t="s">
        <v>32</v>
      </c>
      <c r="F138" s="223" t="s">
        <v>86</v>
      </c>
      <c r="G138" s="35" t="s">
        <v>72</v>
      </c>
      <c r="H138" s="236">
        <f>'прил9 (ведом 22)'!M528</f>
        <v>55802.799999999996</v>
      </c>
    </row>
    <row r="139" spans="1:8" s="402" customFormat="1" ht="20.25" customHeight="1" x14ac:dyDescent="0.35">
      <c r="A139" s="392"/>
      <c r="B139" s="416" t="s">
        <v>438</v>
      </c>
      <c r="C139" s="221" t="s">
        <v>58</v>
      </c>
      <c r="D139" s="222" t="s">
        <v>40</v>
      </c>
      <c r="E139" s="222" t="s">
        <v>32</v>
      </c>
      <c r="F139" s="223" t="s">
        <v>376</v>
      </c>
      <c r="G139" s="35"/>
      <c r="H139" s="236">
        <f>H140</f>
        <v>1168.5999999999999</v>
      </c>
    </row>
    <row r="140" spans="1:8" s="402" customFormat="1" ht="37.950000000000003" customHeight="1" x14ac:dyDescent="0.35">
      <c r="A140" s="392"/>
      <c r="B140" s="416" t="s">
        <v>71</v>
      </c>
      <c r="C140" s="221" t="s">
        <v>58</v>
      </c>
      <c r="D140" s="222" t="s">
        <v>40</v>
      </c>
      <c r="E140" s="222" t="s">
        <v>32</v>
      </c>
      <c r="F140" s="223" t="s">
        <v>376</v>
      </c>
      <c r="G140" s="35" t="s">
        <v>72</v>
      </c>
      <c r="H140" s="236">
        <f>'прил9 (ведом 22)'!M530</f>
        <v>1168.5999999999999</v>
      </c>
    </row>
    <row r="141" spans="1:8" s="402" customFormat="1" ht="36" x14ac:dyDescent="0.35">
      <c r="A141" s="392"/>
      <c r="B141" s="416" t="s">
        <v>302</v>
      </c>
      <c r="C141" s="221" t="s">
        <v>58</v>
      </c>
      <c r="D141" s="222" t="s">
        <v>40</v>
      </c>
      <c r="E141" s="222" t="s">
        <v>32</v>
      </c>
      <c r="F141" s="223" t="s">
        <v>303</v>
      </c>
      <c r="G141" s="35"/>
      <c r="H141" s="236">
        <f>H142</f>
        <v>1983.3</v>
      </c>
    </row>
    <row r="142" spans="1:8" s="402" customFormat="1" ht="35.4" customHeight="1" x14ac:dyDescent="0.35">
      <c r="A142" s="392"/>
      <c r="B142" s="416" t="s">
        <v>71</v>
      </c>
      <c r="C142" s="221" t="s">
        <v>58</v>
      </c>
      <c r="D142" s="222" t="s">
        <v>40</v>
      </c>
      <c r="E142" s="222" t="s">
        <v>32</v>
      </c>
      <c r="F142" s="223" t="s">
        <v>303</v>
      </c>
      <c r="G142" s="35" t="s">
        <v>72</v>
      </c>
      <c r="H142" s="236">
        <f>'прил9 (ведом 22)'!M532</f>
        <v>1983.3</v>
      </c>
    </row>
    <row r="143" spans="1:8" ht="18" x14ac:dyDescent="0.35">
      <c r="A143" s="502"/>
      <c r="B143" s="409" t="s">
        <v>265</v>
      </c>
      <c r="C143" s="221" t="s">
        <v>58</v>
      </c>
      <c r="D143" s="222" t="s">
        <v>40</v>
      </c>
      <c r="E143" s="222" t="s">
        <v>34</v>
      </c>
      <c r="F143" s="223" t="s">
        <v>39</v>
      </c>
      <c r="G143" s="35"/>
      <c r="H143" s="503">
        <f>H144</f>
        <v>225</v>
      </c>
    </row>
    <row r="144" spans="1:8" s="402" customFormat="1" ht="36" x14ac:dyDescent="0.35">
      <c r="A144" s="392"/>
      <c r="B144" s="409" t="s">
        <v>206</v>
      </c>
      <c r="C144" s="221" t="s">
        <v>58</v>
      </c>
      <c r="D144" s="222" t="s">
        <v>40</v>
      </c>
      <c r="E144" s="222" t="s">
        <v>34</v>
      </c>
      <c r="F144" s="223" t="s">
        <v>267</v>
      </c>
      <c r="G144" s="35"/>
      <c r="H144" s="236">
        <f>H145</f>
        <v>225</v>
      </c>
    </row>
    <row r="145" spans="1:8" s="402" customFormat="1" ht="19.95" customHeight="1" x14ac:dyDescent="0.35">
      <c r="A145" s="392"/>
      <c r="B145" s="409" t="s">
        <v>115</v>
      </c>
      <c r="C145" s="221" t="s">
        <v>58</v>
      </c>
      <c r="D145" s="222" t="s">
        <v>40</v>
      </c>
      <c r="E145" s="222" t="s">
        <v>34</v>
      </c>
      <c r="F145" s="223" t="s">
        <v>267</v>
      </c>
      <c r="G145" s="35" t="s">
        <v>116</v>
      </c>
      <c r="H145" s="236">
        <f>'прил9 (ведом 22)'!M544</f>
        <v>225</v>
      </c>
    </row>
    <row r="146" spans="1:8" s="402" customFormat="1" ht="18" x14ac:dyDescent="0.35">
      <c r="A146" s="392"/>
      <c r="B146" s="403" t="s">
        <v>304</v>
      </c>
      <c r="C146" s="417" t="s">
        <v>58</v>
      </c>
      <c r="D146" s="418" t="s">
        <v>40</v>
      </c>
      <c r="E146" s="418" t="s">
        <v>58</v>
      </c>
      <c r="F146" s="419" t="s">
        <v>39</v>
      </c>
      <c r="G146" s="420"/>
      <c r="H146" s="236">
        <f>H147+H149+H151</f>
        <v>12204.5</v>
      </c>
    </row>
    <row r="147" spans="1:8" s="402" customFormat="1" ht="36" x14ac:dyDescent="0.35">
      <c r="A147" s="392"/>
      <c r="B147" s="403" t="s">
        <v>437</v>
      </c>
      <c r="C147" s="417" t="s">
        <v>58</v>
      </c>
      <c r="D147" s="418" t="s">
        <v>40</v>
      </c>
      <c r="E147" s="418" t="s">
        <v>58</v>
      </c>
      <c r="F147" s="419" t="s">
        <v>86</v>
      </c>
      <c r="G147" s="420"/>
      <c r="H147" s="236">
        <f>H148</f>
        <v>11475.3</v>
      </c>
    </row>
    <row r="148" spans="1:8" s="402" customFormat="1" ht="34.950000000000003" customHeight="1" x14ac:dyDescent="0.35">
      <c r="A148" s="392"/>
      <c r="B148" s="409" t="s">
        <v>71</v>
      </c>
      <c r="C148" s="221" t="s">
        <v>58</v>
      </c>
      <c r="D148" s="222" t="s">
        <v>40</v>
      </c>
      <c r="E148" s="222" t="s">
        <v>58</v>
      </c>
      <c r="F148" s="223" t="s">
        <v>86</v>
      </c>
      <c r="G148" s="35" t="s">
        <v>72</v>
      </c>
      <c r="H148" s="236">
        <f>'прил9 (ведом 22)'!M551</f>
        <v>11475.3</v>
      </c>
    </row>
    <row r="149" spans="1:8" s="402" customFormat="1" ht="36" x14ac:dyDescent="0.35">
      <c r="A149" s="392"/>
      <c r="B149" s="409" t="s">
        <v>302</v>
      </c>
      <c r="C149" s="417" t="s">
        <v>58</v>
      </c>
      <c r="D149" s="418" t="s">
        <v>40</v>
      </c>
      <c r="E149" s="418" t="s">
        <v>58</v>
      </c>
      <c r="F149" s="419" t="s">
        <v>303</v>
      </c>
      <c r="G149" s="420"/>
      <c r="H149" s="236">
        <f>H150</f>
        <v>258.2</v>
      </c>
    </row>
    <row r="150" spans="1:8" s="402" customFormat="1" ht="36" x14ac:dyDescent="0.35">
      <c r="A150" s="392"/>
      <c r="B150" s="409" t="s">
        <v>71</v>
      </c>
      <c r="C150" s="417" t="s">
        <v>58</v>
      </c>
      <c r="D150" s="418" t="s">
        <v>40</v>
      </c>
      <c r="E150" s="418" t="s">
        <v>58</v>
      </c>
      <c r="F150" s="419" t="s">
        <v>303</v>
      </c>
      <c r="G150" s="420" t="s">
        <v>72</v>
      </c>
      <c r="H150" s="236">
        <f>'прил9 (ведом 22)'!M553</f>
        <v>258.2</v>
      </c>
    </row>
    <row r="151" spans="1:8" s="402" customFormat="1" ht="54" x14ac:dyDescent="0.35">
      <c r="A151" s="392"/>
      <c r="B151" s="409" t="s">
        <v>210</v>
      </c>
      <c r="C151" s="221" t="s">
        <v>58</v>
      </c>
      <c r="D151" s="222" t="s">
        <v>40</v>
      </c>
      <c r="E151" s="222" t="s">
        <v>58</v>
      </c>
      <c r="F151" s="223" t="s">
        <v>305</v>
      </c>
      <c r="G151" s="35"/>
      <c r="H151" s="236">
        <f>H152</f>
        <v>471</v>
      </c>
    </row>
    <row r="152" spans="1:8" s="402" customFormat="1" ht="36" x14ac:dyDescent="0.35">
      <c r="A152" s="392"/>
      <c r="B152" s="409" t="s">
        <v>71</v>
      </c>
      <c r="C152" s="221" t="s">
        <v>58</v>
      </c>
      <c r="D152" s="222" t="s">
        <v>40</v>
      </c>
      <c r="E152" s="222" t="s">
        <v>58</v>
      </c>
      <c r="F152" s="223" t="s">
        <v>305</v>
      </c>
      <c r="G152" s="35" t="s">
        <v>72</v>
      </c>
      <c r="H152" s="236">
        <f>'прил9 (ведом 22)'!M555</f>
        <v>471</v>
      </c>
    </row>
    <row r="153" spans="1:8" s="402" customFormat="1" ht="36" x14ac:dyDescent="0.35">
      <c r="A153" s="392"/>
      <c r="B153" s="409" t="s">
        <v>306</v>
      </c>
      <c r="C153" s="417" t="s">
        <v>58</v>
      </c>
      <c r="D153" s="418" t="s">
        <v>40</v>
      </c>
      <c r="E153" s="418" t="s">
        <v>47</v>
      </c>
      <c r="F153" s="223" t="s">
        <v>39</v>
      </c>
      <c r="G153" s="35"/>
      <c r="H153" s="236">
        <f>H154+H158</f>
        <v>17492.5</v>
      </c>
    </row>
    <row r="154" spans="1:8" s="402" customFormat="1" ht="36" x14ac:dyDescent="0.35">
      <c r="A154" s="392"/>
      <c r="B154" s="403" t="s">
        <v>437</v>
      </c>
      <c r="C154" s="417" t="s">
        <v>58</v>
      </c>
      <c r="D154" s="418" t="s">
        <v>40</v>
      </c>
      <c r="E154" s="418" t="s">
        <v>47</v>
      </c>
      <c r="F154" s="419" t="s">
        <v>86</v>
      </c>
      <c r="G154" s="420"/>
      <c r="H154" s="236">
        <f>SUM(H155:H157)</f>
        <v>13245.4</v>
      </c>
    </row>
    <row r="155" spans="1:8" s="402" customFormat="1" ht="90" x14ac:dyDescent="0.35">
      <c r="A155" s="392"/>
      <c r="B155" s="234" t="s">
        <v>44</v>
      </c>
      <c r="C155" s="221" t="s">
        <v>58</v>
      </c>
      <c r="D155" s="222" t="s">
        <v>40</v>
      </c>
      <c r="E155" s="222" t="s">
        <v>47</v>
      </c>
      <c r="F155" s="223" t="s">
        <v>86</v>
      </c>
      <c r="G155" s="35" t="s">
        <v>45</v>
      </c>
      <c r="H155" s="236">
        <f>'прил9 (ведом 22)'!M558</f>
        <v>12141.1</v>
      </c>
    </row>
    <row r="156" spans="1:8" s="402" customFormat="1" ht="36" x14ac:dyDescent="0.35">
      <c r="A156" s="392"/>
      <c r="B156" s="234" t="s">
        <v>50</v>
      </c>
      <c r="C156" s="221" t="s">
        <v>58</v>
      </c>
      <c r="D156" s="222" t="s">
        <v>40</v>
      </c>
      <c r="E156" s="222" t="s">
        <v>47</v>
      </c>
      <c r="F156" s="223" t="s">
        <v>86</v>
      </c>
      <c r="G156" s="35" t="s">
        <v>51</v>
      </c>
      <c r="H156" s="236">
        <f>'прил9 (ведом 22)'!M559</f>
        <v>1057.3</v>
      </c>
    </row>
    <row r="157" spans="1:8" s="402" customFormat="1" ht="18" x14ac:dyDescent="0.35">
      <c r="A157" s="392"/>
      <c r="B157" s="234" t="s">
        <v>52</v>
      </c>
      <c r="C157" s="221" t="s">
        <v>58</v>
      </c>
      <c r="D157" s="222" t="s">
        <v>40</v>
      </c>
      <c r="E157" s="222" t="s">
        <v>47</v>
      </c>
      <c r="F157" s="223" t="s">
        <v>86</v>
      </c>
      <c r="G157" s="35" t="s">
        <v>53</v>
      </c>
      <c r="H157" s="236">
        <f>'прил9 (ведом 22)'!M560</f>
        <v>47</v>
      </c>
    </row>
    <row r="158" spans="1:8" s="402" customFormat="1" ht="90" x14ac:dyDescent="0.35">
      <c r="A158" s="392"/>
      <c r="B158" s="234" t="s">
        <v>526</v>
      </c>
      <c r="C158" s="221" t="s">
        <v>58</v>
      </c>
      <c r="D158" s="222" t="s">
        <v>40</v>
      </c>
      <c r="E158" s="222" t="s">
        <v>47</v>
      </c>
      <c r="F158" s="223" t="s">
        <v>527</v>
      </c>
      <c r="G158" s="35"/>
      <c r="H158" s="236">
        <f>H159</f>
        <v>4247.1000000000004</v>
      </c>
    </row>
    <row r="159" spans="1:8" s="402" customFormat="1" ht="36" x14ac:dyDescent="0.35">
      <c r="A159" s="392"/>
      <c r="B159" s="234" t="s">
        <v>50</v>
      </c>
      <c r="C159" s="221" t="s">
        <v>58</v>
      </c>
      <c r="D159" s="222" t="s">
        <v>40</v>
      </c>
      <c r="E159" s="222" t="s">
        <v>47</v>
      </c>
      <c r="F159" s="223" t="s">
        <v>527</v>
      </c>
      <c r="G159" s="35" t="s">
        <v>51</v>
      </c>
      <c r="H159" s="236">
        <f>'прил9 (ведом 22)'!M562</f>
        <v>4247.1000000000004</v>
      </c>
    </row>
    <row r="160" spans="1:8" s="402" customFormat="1" ht="32.4" customHeight="1" x14ac:dyDescent="0.35">
      <c r="A160" s="392"/>
      <c r="B160" s="416" t="s">
        <v>269</v>
      </c>
      <c r="C160" s="221" t="s">
        <v>58</v>
      </c>
      <c r="D160" s="222" t="s">
        <v>40</v>
      </c>
      <c r="E160" s="222" t="s">
        <v>60</v>
      </c>
      <c r="F160" s="223" t="s">
        <v>39</v>
      </c>
      <c r="G160" s="35"/>
      <c r="H160" s="236">
        <f>H161</f>
        <v>289</v>
      </c>
    </row>
    <row r="161" spans="1:8" s="402" customFormat="1" ht="36" x14ac:dyDescent="0.35">
      <c r="A161" s="392"/>
      <c r="B161" s="416" t="s">
        <v>444</v>
      </c>
      <c r="C161" s="221" t="s">
        <v>58</v>
      </c>
      <c r="D161" s="222" t="s">
        <v>40</v>
      </c>
      <c r="E161" s="222" t="s">
        <v>60</v>
      </c>
      <c r="F161" s="223" t="s">
        <v>443</v>
      </c>
      <c r="G161" s="35"/>
      <c r="H161" s="236">
        <f>H162</f>
        <v>289</v>
      </c>
    </row>
    <row r="162" spans="1:8" s="402" customFormat="1" ht="39" customHeight="1" x14ac:dyDescent="0.35">
      <c r="A162" s="392"/>
      <c r="B162" s="416" t="s">
        <v>71</v>
      </c>
      <c r="C162" s="221" t="s">
        <v>58</v>
      </c>
      <c r="D162" s="222" t="s">
        <v>40</v>
      </c>
      <c r="E162" s="222" t="s">
        <v>60</v>
      </c>
      <c r="F162" s="223" t="s">
        <v>443</v>
      </c>
      <c r="G162" s="35" t="s">
        <v>72</v>
      </c>
      <c r="H162" s="236">
        <f>'прил9 (ведом 22)'!M538</f>
        <v>289</v>
      </c>
    </row>
    <row r="163" spans="1:8" ht="36" x14ac:dyDescent="0.35">
      <c r="A163" s="392"/>
      <c r="B163" s="403" t="s">
        <v>314</v>
      </c>
      <c r="C163" s="417" t="s">
        <v>58</v>
      </c>
      <c r="D163" s="418" t="s">
        <v>84</v>
      </c>
      <c r="E163" s="418" t="s">
        <v>38</v>
      </c>
      <c r="F163" s="223" t="s">
        <v>39</v>
      </c>
      <c r="G163" s="420"/>
      <c r="H163" s="236">
        <f>H164</f>
        <v>938.9</v>
      </c>
    </row>
    <row r="164" spans="1:8" ht="90" x14ac:dyDescent="0.35">
      <c r="A164" s="392"/>
      <c r="B164" s="409" t="s">
        <v>307</v>
      </c>
      <c r="C164" s="417" t="s">
        <v>58</v>
      </c>
      <c r="D164" s="418" t="s">
        <v>84</v>
      </c>
      <c r="E164" s="418" t="s">
        <v>58</v>
      </c>
      <c r="F164" s="223" t="s">
        <v>39</v>
      </c>
      <c r="G164" s="420"/>
      <c r="H164" s="236">
        <f>H165+H168</f>
        <v>938.9</v>
      </c>
    </row>
    <row r="165" spans="1:8" ht="36" x14ac:dyDescent="0.35">
      <c r="A165" s="392"/>
      <c r="B165" s="409" t="s">
        <v>302</v>
      </c>
      <c r="C165" s="417" t="s">
        <v>58</v>
      </c>
      <c r="D165" s="418" t="s">
        <v>84</v>
      </c>
      <c r="E165" s="418" t="s">
        <v>58</v>
      </c>
      <c r="F165" s="419" t="s">
        <v>303</v>
      </c>
      <c r="G165" s="258"/>
      <c r="H165" s="236">
        <f>SUM(H166:H167)</f>
        <v>896.8</v>
      </c>
    </row>
    <row r="166" spans="1:8" ht="36" x14ac:dyDescent="0.35">
      <c r="A166" s="392"/>
      <c r="B166" s="403" t="s">
        <v>50</v>
      </c>
      <c r="C166" s="221" t="s">
        <v>58</v>
      </c>
      <c r="D166" s="222" t="s">
        <v>84</v>
      </c>
      <c r="E166" s="222" t="s">
        <v>58</v>
      </c>
      <c r="F166" s="223" t="s">
        <v>303</v>
      </c>
      <c r="G166" s="258" t="s">
        <v>51</v>
      </c>
      <c r="H166" s="236">
        <f>'прил9 (ведом 22)'!M575+'прил9 (ведом 22)'!M566</f>
        <v>878.9</v>
      </c>
    </row>
    <row r="167" spans="1:8" ht="39.75" customHeight="1" x14ac:dyDescent="0.35">
      <c r="A167" s="392"/>
      <c r="B167" s="409" t="s">
        <v>71</v>
      </c>
      <c r="C167" s="221" t="s">
        <v>58</v>
      </c>
      <c r="D167" s="222" t="s">
        <v>84</v>
      </c>
      <c r="E167" s="222" t="s">
        <v>58</v>
      </c>
      <c r="F167" s="223" t="s">
        <v>303</v>
      </c>
      <c r="G167" s="35" t="s">
        <v>72</v>
      </c>
      <c r="H167" s="236">
        <f>'прил9 (ведом 22)'!M567</f>
        <v>17.899999999999999</v>
      </c>
    </row>
    <row r="168" spans="1:8" ht="40.5" customHeight="1" x14ac:dyDescent="0.35">
      <c r="A168" s="392"/>
      <c r="B168" s="416" t="s">
        <v>401</v>
      </c>
      <c r="C168" s="221" t="s">
        <v>58</v>
      </c>
      <c r="D168" s="222" t="s">
        <v>84</v>
      </c>
      <c r="E168" s="222" t="s">
        <v>58</v>
      </c>
      <c r="F168" s="223" t="s">
        <v>402</v>
      </c>
      <c r="G168" s="35"/>
      <c r="H168" s="236">
        <f>H169</f>
        <v>42.1</v>
      </c>
    </row>
    <row r="169" spans="1:8" ht="41.25" customHeight="1" x14ac:dyDescent="0.35">
      <c r="A169" s="392"/>
      <c r="B169" s="416" t="s">
        <v>71</v>
      </c>
      <c r="C169" s="221" t="s">
        <v>58</v>
      </c>
      <c r="D169" s="222" t="s">
        <v>84</v>
      </c>
      <c r="E169" s="222" t="s">
        <v>58</v>
      </c>
      <c r="F169" s="223" t="s">
        <v>402</v>
      </c>
      <c r="G169" s="35" t="s">
        <v>72</v>
      </c>
      <c r="H169" s="236">
        <f>'прил9 (ведом 22)'!M569</f>
        <v>42.1</v>
      </c>
    </row>
    <row r="170" spans="1:8" s="402" customFormat="1" ht="37.200000000000003" customHeight="1" x14ac:dyDescent="0.35">
      <c r="A170" s="392"/>
      <c r="B170" s="403" t="s">
        <v>211</v>
      </c>
      <c r="C170" s="221" t="s">
        <v>58</v>
      </c>
      <c r="D170" s="222" t="s">
        <v>25</v>
      </c>
      <c r="E170" s="222" t="s">
        <v>38</v>
      </c>
      <c r="F170" s="223" t="s">
        <v>39</v>
      </c>
      <c r="G170" s="258"/>
      <c r="H170" s="236">
        <f>H171+H182</f>
        <v>11192</v>
      </c>
    </row>
    <row r="171" spans="1:8" s="402" customFormat="1" ht="36" x14ac:dyDescent="0.35">
      <c r="A171" s="392"/>
      <c r="B171" s="403" t="s">
        <v>270</v>
      </c>
      <c r="C171" s="221" t="s">
        <v>58</v>
      </c>
      <c r="D171" s="222" t="s">
        <v>25</v>
      </c>
      <c r="E171" s="222" t="s">
        <v>32</v>
      </c>
      <c r="F171" s="223" t="s">
        <v>39</v>
      </c>
      <c r="G171" s="35"/>
      <c r="H171" s="236">
        <f>H172+H176+H180</f>
        <v>11138.7</v>
      </c>
    </row>
    <row r="172" spans="1:8" ht="36" x14ac:dyDescent="0.35">
      <c r="A172" s="392"/>
      <c r="B172" s="403" t="s">
        <v>42</v>
      </c>
      <c r="C172" s="221" t="s">
        <v>58</v>
      </c>
      <c r="D172" s="222" t="s">
        <v>25</v>
      </c>
      <c r="E172" s="222" t="s">
        <v>32</v>
      </c>
      <c r="F172" s="223" t="s">
        <v>43</v>
      </c>
      <c r="G172" s="420"/>
      <c r="H172" s="236">
        <f>SUM(H173:H175)</f>
        <v>3290.1</v>
      </c>
    </row>
    <row r="173" spans="1:8" ht="90" x14ac:dyDescent="0.35">
      <c r="A173" s="392"/>
      <c r="B173" s="403" t="s">
        <v>44</v>
      </c>
      <c r="C173" s="221" t="s">
        <v>58</v>
      </c>
      <c r="D173" s="222" t="s">
        <v>25</v>
      </c>
      <c r="E173" s="222" t="s">
        <v>32</v>
      </c>
      <c r="F173" s="223" t="s">
        <v>43</v>
      </c>
      <c r="G173" s="420" t="s">
        <v>45</v>
      </c>
      <c r="H173" s="236">
        <f>'прил9 (ведом 22)'!M579</f>
        <v>3036.2999999999997</v>
      </c>
    </row>
    <row r="174" spans="1:8" ht="36" x14ac:dyDescent="0.35">
      <c r="A174" s="392"/>
      <c r="B174" s="403" t="s">
        <v>50</v>
      </c>
      <c r="C174" s="221" t="s">
        <v>58</v>
      </c>
      <c r="D174" s="222" t="s">
        <v>25</v>
      </c>
      <c r="E174" s="222" t="s">
        <v>32</v>
      </c>
      <c r="F174" s="223" t="s">
        <v>43</v>
      </c>
      <c r="G174" s="420" t="s">
        <v>51</v>
      </c>
      <c r="H174" s="236">
        <f>'прил9 (ведом 22)'!M580</f>
        <v>249.4</v>
      </c>
    </row>
    <row r="175" spans="1:8" ht="18" x14ac:dyDescent="0.35">
      <c r="A175" s="392"/>
      <c r="B175" s="403" t="s">
        <v>52</v>
      </c>
      <c r="C175" s="221" t="s">
        <v>58</v>
      </c>
      <c r="D175" s="222" t="s">
        <v>25</v>
      </c>
      <c r="E175" s="222" t="s">
        <v>32</v>
      </c>
      <c r="F175" s="223" t="s">
        <v>43</v>
      </c>
      <c r="G175" s="35" t="s">
        <v>53</v>
      </c>
      <c r="H175" s="236">
        <f>'прил9 (ведом 22)'!M581</f>
        <v>4.4000000000000004</v>
      </c>
    </row>
    <row r="176" spans="1:8" ht="36" x14ac:dyDescent="0.35">
      <c r="A176" s="392"/>
      <c r="B176" s="403" t="s">
        <v>437</v>
      </c>
      <c r="C176" s="221" t="s">
        <v>58</v>
      </c>
      <c r="D176" s="222" t="s">
        <v>25</v>
      </c>
      <c r="E176" s="222" t="s">
        <v>32</v>
      </c>
      <c r="F176" s="223" t="s">
        <v>86</v>
      </c>
      <c r="G176" s="35"/>
      <c r="H176" s="236">
        <f>SUM(H177:H179)</f>
        <v>7537.1</v>
      </c>
    </row>
    <row r="177" spans="1:8" ht="90" x14ac:dyDescent="0.35">
      <c r="A177" s="392"/>
      <c r="B177" s="403" t="s">
        <v>44</v>
      </c>
      <c r="C177" s="221" t="s">
        <v>58</v>
      </c>
      <c r="D177" s="222" t="s">
        <v>25</v>
      </c>
      <c r="E177" s="222" t="s">
        <v>32</v>
      </c>
      <c r="F177" s="223" t="s">
        <v>86</v>
      </c>
      <c r="G177" s="420" t="s">
        <v>45</v>
      </c>
      <c r="H177" s="236">
        <f>'прил9 (ведом 22)'!M583</f>
        <v>6988.9000000000005</v>
      </c>
    </row>
    <row r="178" spans="1:8" ht="36" x14ac:dyDescent="0.35">
      <c r="A178" s="392"/>
      <c r="B178" s="403" t="s">
        <v>50</v>
      </c>
      <c r="C178" s="221" t="s">
        <v>58</v>
      </c>
      <c r="D178" s="222" t="s">
        <v>25</v>
      </c>
      <c r="E178" s="222" t="s">
        <v>32</v>
      </c>
      <c r="F178" s="223" t="s">
        <v>86</v>
      </c>
      <c r="G178" s="420" t="s">
        <v>51</v>
      </c>
      <c r="H178" s="236">
        <f>'прил9 (ведом 22)'!M584</f>
        <v>546.5</v>
      </c>
    </row>
    <row r="179" spans="1:8" ht="18" x14ac:dyDescent="0.35">
      <c r="A179" s="392"/>
      <c r="B179" s="403" t="s">
        <v>52</v>
      </c>
      <c r="C179" s="221" t="s">
        <v>58</v>
      </c>
      <c r="D179" s="222" t="s">
        <v>25</v>
      </c>
      <c r="E179" s="222" t="s">
        <v>32</v>
      </c>
      <c r="F179" s="223" t="s">
        <v>86</v>
      </c>
      <c r="G179" s="35" t="s">
        <v>53</v>
      </c>
      <c r="H179" s="236">
        <f>'прил9 (ведом 22)'!M585</f>
        <v>1.7</v>
      </c>
    </row>
    <row r="180" spans="1:8" ht="18" x14ac:dyDescent="0.35">
      <c r="A180" s="392"/>
      <c r="B180" s="504" t="s">
        <v>438</v>
      </c>
      <c r="C180" s="221" t="s">
        <v>58</v>
      </c>
      <c r="D180" s="222" t="s">
        <v>25</v>
      </c>
      <c r="E180" s="222" t="s">
        <v>32</v>
      </c>
      <c r="F180" s="505" t="s">
        <v>376</v>
      </c>
      <c r="G180" s="506"/>
      <c r="H180" s="236">
        <f>H181</f>
        <v>311.5</v>
      </c>
    </row>
    <row r="181" spans="1:8" ht="36" x14ac:dyDescent="0.35">
      <c r="A181" s="392"/>
      <c r="B181" s="234" t="s">
        <v>50</v>
      </c>
      <c r="C181" s="221" t="s">
        <v>58</v>
      </c>
      <c r="D181" s="222" t="s">
        <v>25</v>
      </c>
      <c r="E181" s="222" t="s">
        <v>32</v>
      </c>
      <c r="F181" s="507" t="s">
        <v>376</v>
      </c>
      <c r="G181" s="508" t="s">
        <v>51</v>
      </c>
      <c r="H181" s="236">
        <f>'прил9 (ведом 22)'!M587</f>
        <v>311.5</v>
      </c>
    </row>
    <row r="182" spans="1:8" ht="36" x14ac:dyDescent="0.35">
      <c r="A182" s="392"/>
      <c r="B182" s="234" t="s">
        <v>340</v>
      </c>
      <c r="C182" s="221" t="s">
        <v>58</v>
      </c>
      <c r="D182" s="222" t="s">
        <v>25</v>
      </c>
      <c r="E182" s="222" t="s">
        <v>34</v>
      </c>
      <c r="F182" s="223" t="s">
        <v>39</v>
      </c>
      <c r="G182" s="160"/>
      <c r="H182" s="236">
        <f>H183</f>
        <v>53.3</v>
      </c>
    </row>
    <row r="183" spans="1:8" ht="54" x14ac:dyDescent="0.35">
      <c r="A183" s="392"/>
      <c r="B183" s="234" t="s">
        <v>341</v>
      </c>
      <c r="C183" s="221" t="s">
        <v>58</v>
      </c>
      <c r="D183" s="222" t="s">
        <v>25</v>
      </c>
      <c r="E183" s="222" t="s">
        <v>34</v>
      </c>
      <c r="F183" s="223" t="s">
        <v>100</v>
      </c>
      <c r="G183" s="160"/>
      <c r="H183" s="236">
        <f>H184</f>
        <v>53.3</v>
      </c>
    </row>
    <row r="184" spans="1:8" ht="36" x14ac:dyDescent="0.35">
      <c r="A184" s="392"/>
      <c r="B184" s="234" t="s">
        <v>50</v>
      </c>
      <c r="C184" s="221" t="s">
        <v>58</v>
      </c>
      <c r="D184" s="222" t="s">
        <v>25</v>
      </c>
      <c r="E184" s="222" t="s">
        <v>34</v>
      </c>
      <c r="F184" s="223" t="s">
        <v>100</v>
      </c>
      <c r="G184" s="35" t="s">
        <v>51</v>
      </c>
      <c r="H184" s="236">
        <f>'прил9 (ведом 22)'!M521</f>
        <v>53.3</v>
      </c>
    </row>
    <row r="185" spans="1:8" ht="18" x14ac:dyDescent="0.35">
      <c r="A185" s="392"/>
      <c r="B185" s="411"/>
      <c r="C185" s="421"/>
      <c r="D185" s="421"/>
      <c r="E185" s="340"/>
      <c r="F185" s="422"/>
      <c r="G185" s="258"/>
      <c r="H185" s="236"/>
    </row>
    <row r="186" spans="1:8" s="402" customFormat="1" ht="52.2" x14ac:dyDescent="0.3">
      <c r="A186" s="412">
        <v>3</v>
      </c>
      <c r="B186" s="423" t="s">
        <v>212</v>
      </c>
      <c r="C186" s="413" t="s">
        <v>47</v>
      </c>
      <c r="D186" s="413" t="s">
        <v>37</v>
      </c>
      <c r="E186" s="413" t="s">
        <v>38</v>
      </c>
      <c r="F186" s="414" t="s">
        <v>39</v>
      </c>
      <c r="G186" s="401"/>
      <c r="H186" s="283">
        <f>H187+H194+H223</f>
        <v>44524.599999999991</v>
      </c>
    </row>
    <row r="187" spans="1:8" ht="24" customHeight="1" x14ac:dyDescent="0.35">
      <c r="A187" s="392"/>
      <c r="B187" s="415" t="s">
        <v>213</v>
      </c>
      <c r="C187" s="221" t="s">
        <v>47</v>
      </c>
      <c r="D187" s="222" t="s">
        <v>40</v>
      </c>
      <c r="E187" s="222" t="s">
        <v>38</v>
      </c>
      <c r="F187" s="223" t="s">
        <v>39</v>
      </c>
      <c r="G187" s="258"/>
      <c r="H187" s="236">
        <f>H188+H191</f>
        <v>800.7</v>
      </c>
    </row>
    <row r="188" spans="1:8" ht="18" x14ac:dyDescent="0.35">
      <c r="A188" s="392"/>
      <c r="B188" s="403" t="s">
        <v>265</v>
      </c>
      <c r="C188" s="221" t="s">
        <v>47</v>
      </c>
      <c r="D188" s="222" t="s">
        <v>40</v>
      </c>
      <c r="E188" s="222" t="s">
        <v>32</v>
      </c>
      <c r="F188" s="223" t="s">
        <v>39</v>
      </c>
      <c r="G188" s="258"/>
      <c r="H188" s="236">
        <f>H189</f>
        <v>171</v>
      </c>
    </row>
    <row r="189" spans="1:8" ht="36" x14ac:dyDescent="0.35">
      <c r="A189" s="392"/>
      <c r="B189" s="403" t="s">
        <v>266</v>
      </c>
      <c r="C189" s="221" t="s">
        <v>47</v>
      </c>
      <c r="D189" s="222" t="s">
        <v>40</v>
      </c>
      <c r="E189" s="222" t="s">
        <v>32</v>
      </c>
      <c r="F189" s="223" t="s">
        <v>267</v>
      </c>
      <c r="G189" s="35"/>
      <c r="H189" s="236">
        <f>H190</f>
        <v>171</v>
      </c>
    </row>
    <row r="190" spans="1:8" ht="22.5" customHeight="1" x14ac:dyDescent="0.35">
      <c r="A190" s="392"/>
      <c r="B190" s="403" t="s">
        <v>115</v>
      </c>
      <c r="C190" s="221" t="s">
        <v>47</v>
      </c>
      <c r="D190" s="222" t="s">
        <v>40</v>
      </c>
      <c r="E190" s="222" t="s">
        <v>32</v>
      </c>
      <c r="F190" s="223" t="s">
        <v>267</v>
      </c>
      <c r="G190" s="35" t="s">
        <v>116</v>
      </c>
      <c r="H190" s="236">
        <f>'прил9 (ведом 22)'!M603</f>
        <v>171</v>
      </c>
    </row>
    <row r="191" spans="1:8" ht="34.200000000000003" customHeight="1" x14ac:dyDescent="0.35">
      <c r="A191" s="392"/>
      <c r="B191" s="403" t="s">
        <v>280</v>
      </c>
      <c r="C191" s="221" t="s">
        <v>47</v>
      </c>
      <c r="D191" s="222" t="s">
        <v>40</v>
      </c>
      <c r="E191" s="222" t="s">
        <v>34</v>
      </c>
      <c r="F191" s="223" t="s">
        <v>39</v>
      </c>
      <c r="G191" s="35"/>
      <c r="H191" s="236">
        <f>H192</f>
        <v>629.70000000000005</v>
      </c>
    </row>
    <row r="192" spans="1:8" ht="42" customHeight="1" x14ac:dyDescent="0.35">
      <c r="A192" s="392"/>
      <c r="B192" s="403" t="s">
        <v>214</v>
      </c>
      <c r="C192" s="221" t="s">
        <v>47</v>
      </c>
      <c r="D192" s="222" t="s">
        <v>40</v>
      </c>
      <c r="E192" s="222" t="s">
        <v>34</v>
      </c>
      <c r="F192" s="223" t="s">
        <v>281</v>
      </c>
      <c r="G192" s="35"/>
      <c r="H192" s="236">
        <f>SUM(H193:H193)</f>
        <v>629.70000000000005</v>
      </c>
    </row>
    <row r="193" spans="1:8" ht="36" x14ac:dyDescent="0.35">
      <c r="A193" s="392"/>
      <c r="B193" s="403" t="s">
        <v>50</v>
      </c>
      <c r="C193" s="221" t="s">
        <v>47</v>
      </c>
      <c r="D193" s="222" t="s">
        <v>40</v>
      </c>
      <c r="E193" s="222" t="s">
        <v>34</v>
      </c>
      <c r="F193" s="223" t="s">
        <v>281</v>
      </c>
      <c r="G193" s="35" t="s">
        <v>51</v>
      </c>
      <c r="H193" s="236">
        <f>'прил9 (ведом 22)'!M634</f>
        <v>629.70000000000005</v>
      </c>
    </row>
    <row r="194" spans="1:8" ht="22.5" customHeight="1" x14ac:dyDescent="0.35">
      <c r="A194" s="392"/>
      <c r="B194" s="403" t="s">
        <v>215</v>
      </c>
      <c r="C194" s="221" t="s">
        <v>47</v>
      </c>
      <c r="D194" s="222" t="s">
        <v>84</v>
      </c>
      <c r="E194" s="222" t="s">
        <v>38</v>
      </c>
      <c r="F194" s="223" t="s">
        <v>39</v>
      </c>
      <c r="G194" s="258"/>
      <c r="H194" s="236">
        <f>H195+H200+H213+H216</f>
        <v>42644.899999999994</v>
      </c>
    </row>
    <row r="195" spans="1:8" ht="36" x14ac:dyDescent="0.35">
      <c r="A195" s="392"/>
      <c r="B195" s="403" t="s">
        <v>270</v>
      </c>
      <c r="C195" s="221" t="s">
        <v>47</v>
      </c>
      <c r="D195" s="222" t="s">
        <v>84</v>
      </c>
      <c r="E195" s="222" t="s">
        <v>32</v>
      </c>
      <c r="F195" s="223" t="s">
        <v>39</v>
      </c>
      <c r="G195" s="35"/>
      <c r="H195" s="236">
        <f>H196</f>
        <v>2858.1</v>
      </c>
    </row>
    <row r="196" spans="1:8" ht="36" x14ac:dyDescent="0.35">
      <c r="A196" s="392"/>
      <c r="B196" s="403" t="s">
        <v>42</v>
      </c>
      <c r="C196" s="221" t="s">
        <v>47</v>
      </c>
      <c r="D196" s="222" t="s">
        <v>84</v>
      </c>
      <c r="E196" s="222" t="s">
        <v>32</v>
      </c>
      <c r="F196" s="223" t="s">
        <v>43</v>
      </c>
      <c r="G196" s="35"/>
      <c r="H196" s="236">
        <f>SUM(H197:H199)</f>
        <v>2858.1</v>
      </c>
    </row>
    <row r="197" spans="1:8" ht="90" x14ac:dyDescent="0.35">
      <c r="A197" s="392"/>
      <c r="B197" s="403" t="s">
        <v>44</v>
      </c>
      <c r="C197" s="221" t="s">
        <v>47</v>
      </c>
      <c r="D197" s="222" t="s">
        <v>84</v>
      </c>
      <c r="E197" s="222" t="s">
        <v>32</v>
      </c>
      <c r="F197" s="223" t="s">
        <v>43</v>
      </c>
      <c r="G197" s="35" t="s">
        <v>45</v>
      </c>
      <c r="H197" s="236">
        <f>'прил9 (ведом 22)'!M640</f>
        <v>2798.9</v>
      </c>
    </row>
    <row r="198" spans="1:8" ht="36" x14ac:dyDescent="0.35">
      <c r="A198" s="392"/>
      <c r="B198" s="403" t="s">
        <v>50</v>
      </c>
      <c r="C198" s="221" t="s">
        <v>47</v>
      </c>
      <c r="D198" s="222" t="s">
        <v>84</v>
      </c>
      <c r="E198" s="222" t="s">
        <v>32</v>
      </c>
      <c r="F198" s="223" t="s">
        <v>43</v>
      </c>
      <c r="G198" s="35" t="s">
        <v>51</v>
      </c>
      <c r="H198" s="236">
        <f>'прил9 (ведом 22)'!M641</f>
        <v>57.2</v>
      </c>
    </row>
    <row r="199" spans="1:8" ht="18" x14ac:dyDescent="0.35">
      <c r="A199" s="392"/>
      <c r="B199" s="403" t="s">
        <v>52</v>
      </c>
      <c r="C199" s="221" t="s">
        <v>47</v>
      </c>
      <c r="D199" s="222" t="s">
        <v>84</v>
      </c>
      <c r="E199" s="222" t="s">
        <v>32</v>
      </c>
      <c r="F199" s="223" t="s">
        <v>43</v>
      </c>
      <c r="G199" s="35" t="s">
        <v>53</v>
      </c>
      <c r="H199" s="236">
        <f>'прил9 (ведом 22)'!M642</f>
        <v>2</v>
      </c>
    </row>
    <row r="200" spans="1:8" ht="18" x14ac:dyDescent="0.35">
      <c r="A200" s="392"/>
      <c r="B200" s="403" t="s">
        <v>350</v>
      </c>
      <c r="C200" s="221" t="s">
        <v>47</v>
      </c>
      <c r="D200" s="222" t="s">
        <v>84</v>
      </c>
      <c r="E200" s="222" t="s">
        <v>34</v>
      </c>
      <c r="F200" s="223" t="s">
        <v>39</v>
      </c>
      <c r="G200" s="35"/>
      <c r="H200" s="236">
        <f>H201+H205+H211+H207+H209</f>
        <v>35740.799999999996</v>
      </c>
    </row>
    <row r="201" spans="1:8" ht="36" x14ac:dyDescent="0.35">
      <c r="A201" s="392"/>
      <c r="B201" s="403" t="s">
        <v>437</v>
      </c>
      <c r="C201" s="221" t="s">
        <v>47</v>
      </c>
      <c r="D201" s="222" t="s">
        <v>84</v>
      </c>
      <c r="E201" s="222" t="s">
        <v>34</v>
      </c>
      <c r="F201" s="223" t="s">
        <v>86</v>
      </c>
      <c r="G201" s="35"/>
      <c r="H201" s="236">
        <f>SUM(H202:H204)</f>
        <v>23966.3</v>
      </c>
    </row>
    <row r="202" spans="1:8" ht="90" x14ac:dyDescent="0.35">
      <c r="A202" s="392"/>
      <c r="B202" s="403" t="s">
        <v>44</v>
      </c>
      <c r="C202" s="221" t="s">
        <v>47</v>
      </c>
      <c r="D202" s="222" t="s">
        <v>84</v>
      </c>
      <c r="E202" s="222" t="s">
        <v>34</v>
      </c>
      <c r="F202" s="223" t="s">
        <v>86</v>
      </c>
      <c r="G202" s="35" t="s">
        <v>45</v>
      </c>
      <c r="H202" s="236">
        <f>'прил9 (ведом 22)'!M607</f>
        <v>18213.8</v>
      </c>
    </row>
    <row r="203" spans="1:8" ht="36" x14ac:dyDescent="0.35">
      <c r="A203" s="392"/>
      <c r="B203" s="403" t="s">
        <v>50</v>
      </c>
      <c r="C203" s="221" t="s">
        <v>47</v>
      </c>
      <c r="D203" s="222" t="s">
        <v>84</v>
      </c>
      <c r="E203" s="222" t="s">
        <v>34</v>
      </c>
      <c r="F203" s="223" t="s">
        <v>86</v>
      </c>
      <c r="G203" s="35" t="s">
        <v>51</v>
      </c>
      <c r="H203" s="236">
        <f>'прил9 (ведом 22)'!M608</f>
        <v>5686.2</v>
      </c>
    </row>
    <row r="204" spans="1:8" ht="18" x14ac:dyDescent="0.35">
      <c r="A204" s="392"/>
      <c r="B204" s="403" t="s">
        <v>52</v>
      </c>
      <c r="C204" s="221" t="s">
        <v>47</v>
      </c>
      <c r="D204" s="222" t="s">
        <v>84</v>
      </c>
      <c r="E204" s="222" t="s">
        <v>34</v>
      </c>
      <c r="F204" s="223" t="s">
        <v>86</v>
      </c>
      <c r="G204" s="35" t="s">
        <v>53</v>
      </c>
      <c r="H204" s="236">
        <f>'прил9 (ведом 22)'!M609</f>
        <v>66.3</v>
      </c>
    </row>
    <row r="205" spans="1:8" ht="18" x14ac:dyDescent="0.35">
      <c r="A205" s="392"/>
      <c r="B205" s="234" t="s">
        <v>438</v>
      </c>
      <c r="C205" s="221" t="s">
        <v>47</v>
      </c>
      <c r="D205" s="222" t="s">
        <v>84</v>
      </c>
      <c r="E205" s="222" t="s">
        <v>34</v>
      </c>
      <c r="F205" s="223" t="s">
        <v>376</v>
      </c>
      <c r="G205" s="35"/>
      <c r="H205" s="236">
        <f>H206</f>
        <v>5058.8</v>
      </c>
    </row>
    <row r="206" spans="1:8" ht="36" x14ac:dyDescent="0.35">
      <c r="A206" s="392"/>
      <c r="B206" s="234" t="s">
        <v>50</v>
      </c>
      <c r="C206" s="221" t="s">
        <v>47</v>
      </c>
      <c r="D206" s="222" t="s">
        <v>84</v>
      </c>
      <c r="E206" s="222" t="s">
        <v>34</v>
      </c>
      <c r="F206" s="223" t="s">
        <v>376</v>
      </c>
      <c r="G206" s="35" t="s">
        <v>51</v>
      </c>
      <c r="H206" s="236">
        <f>'прил9 (ведом 22)'!M611</f>
        <v>5058.8</v>
      </c>
    </row>
    <row r="207" spans="1:8" ht="36" x14ac:dyDescent="0.35">
      <c r="A207" s="392"/>
      <c r="B207" s="234" t="s">
        <v>214</v>
      </c>
      <c r="C207" s="221" t="s">
        <v>47</v>
      </c>
      <c r="D207" s="222" t="s">
        <v>84</v>
      </c>
      <c r="E207" s="222" t="s">
        <v>34</v>
      </c>
      <c r="F207" s="223" t="s">
        <v>281</v>
      </c>
      <c r="G207" s="35"/>
      <c r="H207" s="236">
        <f>H208</f>
        <v>5466.4</v>
      </c>
    </row>
    <row r="208" spans="1:8" ht="36" x14ac:dyDescent="0.35">
      <c r="A208" s="392"/>
      <c r="B208" s="234" t="s">
        <v>50</v>
      </c>
      <c r="C208" s="221" t="s">
        <v>47</v>
      </c>
      <c r="D208" s="222" t="s">
        <v>84</v>
      </c>
      <c r="E208" s="222" t="s">
        <v>34</v>
      </c>
      <c r="F208" s="223" t="s">
        <v>281</v>
      </c>
      <c r="G208" s="35" t="s">
        <v>51</v>
      </c>
      <c r="H208" s="236">
        <f>'прил9 (ведом 22)'!M613</f>
        <v>5466.4</v>
      </c>
    </row>
    <row r="209" spans="1:8" ht="180" x14ac:dyDescent="0.35">
      <c r="A209" s="392"/>
      <c r="B209" s="234" t="s">
        <v>414</v>
      </c>
      <c r="C209" s="221" t="s">
        <v>47</v>
      </c>
      <c r="D209" s="222" t="s">
        <v>84</v>
      </c>
      <c r="E209" s="222" t="s">
        <v>34</v>
      </c>
      <c r="F209" s="223" t="s">
        <v>389</v>
      </c>
      <c r="G209" s="35"/>
      <c r="H209" s="236">
        <f>H210</f>
        <v>250</v>
      </c>
    </row>
    <row r="210" spans="1:8" ht="90" x14ac:dyDescent="0.35">
      <c r="A210" s="392"/>
      <c r="B210" s="234" t="s">
        <v>44</v>
      </c>
      <c r="C210" s="221" t="s">
        <v>47</v>
      </c>
      <c r="D210" s="222" t="s">
        <v>84</v>
      </c>
      <c r="E210" s="222" t="s">
        <v>34</v>
      </c>
      <c r="F210" s="223" t="s">
        <v>389</v>
      </c>
      <c r="G210" s="35" t="s">
        <v>45</v>
      </c>
      <c r="H210" s="236">
        <f>'прил9 (ведом 22)'!M615</f>
        <v>250</v>
      </c>
    </row>
    <row r="211" spans="1:8" ht="58.2" customHeight="1" x14ac:dyDescent="0.35">
      <c r="A211" s="392"/>
      <c r="B211" s="234" t="s">
        <v>416</v>
      </c>
      <c r="C211" s="221" t="s">
        <v>47</v>
      </c>
      <c r="D211" s="222" t="s">
        <v>84</v>
      </c>
      <c r="E211" s="222" t="s">
        <v>34</v>
      </c>
      <c r="F211" s="223" t="s">
        <v>398</v>
      </c>
      <c r="G211" s="35"/>
      <c r="H211" s="236">
        <f>H212</f>
        <v>999.3</v>
      </c>
    </row>
    <row r="212" spans="1:8" ht="90" x14ac:dyDescent="0.35">
      <c r="A212" s="392"/>
      <c r="B212" s="234" t="s">
        <v>44</v>
      </c>
      <c r="C212" s="221" t="s">
        <v>47</v>
      </c>
      <c r="D212" s="222" t="s">
        <v>84</v>
      </c>
      <c r="E212" s="222" t="s">
        <v>34</v>
      </c>
      <c r="F212" s="223" t="s">
        <v>398</v>
      </c>
      <c r="G212" s="35" t="s">
        <v>45</v>
      </c>
      <c r="H212" s="236">
        <f>'прил9 (ведом 22)'!M617</f>
        <v>999.3</v>
      </c>
    </row>
    <row r="213" spans="1:8" ht="36" x14ac:dyDescent="0.35">
      <c r="A213" s="392"/>
      <c r="B213" s="234" t="s">
        <v>340</v>
      </c>
      <c r="C213" s="221" t="s">
        <v>47</v>
      </c>
      <c r="D213" s="222" t="s">
        <v>84</v>
      </c>
      <c r="E213" s="222" t="s">
        <v>58</v>
      </c>
      <c r="F213" s="223" t="s">
        <v>39</v>
      </c>
      <c r="G213" s="35"/>
      <c r="H213" s="236">
        <f>H214</f>
        <v>35.6</v>
      </c>
    </row>
    <row r="214" spans="1:8" ht="54" x14ac:dyDescent="0.35">
      <c r="A214" s="392"/>
      <c r="B214" s="426" t="s">
        <v>341</v>
      </c>
      <c r="C214" s="221" t="s">
        <v>47</v>
      </c>
      <c r="D214" s="222" t="s">
        <v>84</v>
      </c>
      <c r="E214" s="222" t="s">
        <v>58</v>
      </c>
      <c r="F214" s="223" t="s">
        <v>100</v>
      </c>
      <c r="G214" s="35"/>
      <c r="H214" s="236">
        <f>H215</f>
        <v>35.6</v>
      </c>
    </row>
    <row r="215" spans="1:8" ht="36" x14ac:dyDescent="0.35">
      <c r="A215" s="392"/>
      <c r="B215" s="234" t="s">
        <v>50</v>
      </c>
      <c r="C215" s="221" t="s">
        <v>47</v>
      </c>
      <c r="D215" s="222" t="s">
        <v>84</v>
      </c>
      <c r="E215" s="222" t="s">
        <v>58</v>
      </c>
      <c r="F215" s="223" t="s">
        <v>100</v>
      </c>
      <c r="G215" s="35" t="s">
        <v>51</v>
      </c>
      <c r="H215" s="236">
        <f>'прил9 (ведом 22)'!M596</f>
        <v>35.6</v>
      </c>
    </row>
    <row r="216" spans="1:8" ht="18" x14ac:dyDescent="0.35">
      <c r="A216" s="392"/>
      <c r="B216" s="24" t="s">
        <v>555</v>
      </c>
      <c r="C216" s="571" t="s">
        <v>47</v>
      </c>
      <c r="D216" s="572" t="s">
        <v>84</v>
      </c>
      <c r="E216" s="572" t="s">
        <v>47</v>
      </c>
      <c r="F216" s="573" t="s">
        <v>39</v>
      </c>
      <c r="G216" s="10"/>
      <c r="H216" s="236">
        <f>H217+H221</f>
        <v>4010.4</v>
      </c>
    </row>
    <row r="217" spans="1:8" ht="36" x14ac:dyDescent="0.35">
      <c r="A217" s="392"/>
      <c r="B217" s="24" t="s">
        <v>437</v>
      </c>
      <c r="C217" s="571" t="s">
        <v>47</v>
      </c>
      <c r="D217" s="572" t="s">
        <v>84</v>
      </c>
      <c r="E217" s="572" t="s">
        <v>47</v>
      </c>
      <c r="F217" s="573" t="s">
        <v>86</v>
      </c>
      <c r="G217" s="10"/>
      <c r="H217" s="236">
        <f>H218+H219+H220</f>
        <v>3216.8</v>
      </c>
    </row>
    <row r="218" spans="1:8" ht="90" x14ac:dyDescent="0.35">
      <c r="A218" s="392"/>
      <c r="B218" s="24" t="s">
        <v>44</v>
      </c>
      <c r="C218" s="571" t="s">
        <v>47</v>
      </c>
      <c r="D218" s="572" t="s">
        <v>84</v>
      </c>
      <c r="E218" s="572" t="s">
        <v>47</v>
      </c>
      <c r="F218" s="573" t="s">
        <v>86</v>
      </c>
      <c r="G218" s="10" t="s">
        <v>45</v>
      </c>
      <c r="H218" s="236">
        <f>'прил9 (ведом 22)'!M620</f>
        <v>1779.7</v>
      </c>
    </row>
    <row r="219" spans="1:8" ht="36" x14ac:dyDescent="0.35">
      <c r="A219" s="392"/>
      <c r="B219" s="24" t="s">
        <v>50</v>
      </c>
      <c r="C219" s="571" t="s">
        <v>47</v>
      </c>
      <c r="D219" s="572" t="s">
        <v>84</v>
      </c>
      <c r="E219" s="572" t="s">
        <v>47</v>
      </c>
      <c r="F219" s="573" t="s">
        <v>86</v>
      </c>
      <c r="G219" s="10" t="s">
        <v>51</v>
      </c>
      <c r="H219" s="236">
        <f>'прил9 (ведом 22)'!M621</f>
        <v>1313.8</v>
      </c>
    </row>
    <row r="220" spans="1:8" ht="18" x14ac:dyDescent="0.35">
      <c r="A220" s="392"/>
      <c r="B220" s="24" t="s">
        <v>52</v>
      </c>
      <c r="C220" s="571" t="s">
        <v>47</v>
      </c>
      <c r="D220" s="572" t="s">
        <v>84</v>
      </c>
      <c r="E220" s="572" t="s">
        <v>47</v>
      </c>
      <c r="F220" s="573" t="s">
        <v>86</v>
      </c>
      <c r="G220" s="10" t="s">
        <v>53</v>
      </c>
      <c r="H220" s="236">
        <f>'прил9 (ведом 22)'!M622</f>
        <v>123.3</v>
      </c>
    </row>
    <row r="221" spans="1:8" ht="36" x14ac:dyDescent="0.35">
      <c r="A221" s="392"/>
      <c r="B221" s="24" t="s">
        <v>556</v>
      </c>
      <c r="C221" s="571" t="s">
        <v>47</v>
      </c>
      <c r="D221" s="572" t="s">
        <v>84</v>
      </c>
      <c r="E221" s="572" t="s">
        <v>47</v>
      </c>
      <c r="F221" s="573" t="s">
        <v>261</v>
      </c>
      <c r="G221" s="10"/>
      <c r="H221" s="236">
        <f>H222</f>
        <v>793.6</v>
      </c>
    </row>
    <row r="222" spans="1:8" ht="36" x14ac:dyDescent="0.35">
      <c r="A222" s="392"/>
      <c r="B222" s="24" t="s">
        <v>50</v>
      </c>
      <c r="C222" s="571" t="s">
        <v>47</v>
      </c>
      <c r="D222" s="572" t="s">
        <v>84</v>
      </c>
      <c r="E222" s="572" t="s">
        <v>47</v>
      </c>
      <c r="F222" s="573" t="s">
        <v>261</v>
      </c>
      <c r="G222" s="10" t="s">
        <v>51</v>
      </c>
      <c r="H222" s="236">
        <f>'прил9 (ведом 22)'!M624</f>
        <v>793.6</v>
      </c>
    </row>
    <row r="223" spans="1:8" ht="18" x14ac:dyDescent="0.35">
      <c r="A223" s="392"/>
      <c r="B223" s="234" t="s">
        <v>328</v>
      </c>
      <c r="C223" s="221" t="s">
        <v>47</v>
      </c>
      <c r="D223" s="222" t="s">
        <v>26</v>
      </c>
      <c r="E223" s="222" t="s">
        <v>38</v>
      </c>
      <c r="F223" s="223" t="s">
        <v>39</v>
      </c>
      <c r="G223" s="35"/>
      <c r="H223" s="236">
        <f>H224</f>
        <v>1079</v>
      </c>
    </row>
    <row r="224" spans="1:8" ht="59.25" customHeight="1" x14ac:dyDescent="0.35">
      <c r="A224" s="392"/>
      <c r="B224" s="234" t="s">
        <v>399</v>
      </c>
      <c r="C224" s="221" t="s">
        <v>47</v>
      </c>
      <c r="D224" s="222" t="s">
        <v>26</v>
      </c>
      <c r="E224" s="222" t="s">
        <v>58</v>
      </c>
      <c r="F224" s="223" t="s">
        <v>39</v>
      </c>
      <c r="G224" s="35"/>
      <c r="H224" s="236">
        <f>H225</f>
        <v>1079</v>
      </c>
    </row>
    <row r="225" spans="1:8" ht="41.25" customHeight="1" x14ac:dyDescent="0.35">
      <c r="A225" s="392"/>
      <c r="B225" s="234" t="s">
        <v>214</v>
      </c>
      <c r="C225" s="221" t="s">
        <v>47</v>
      </c>
      <c r="D225" s="222" t="s">
        <v>26</v>
      </c>
      <c r="E225" s="222" t="s">
        <v>58</v>
      </c>
      <c r="F225" s="223" t="s">
        <v>281</v>
      </c>
      <c r="G225" s="35"/>
      <c r="H225" s="236">
        <f>H226</f>
        <v>1079</v>
      </c>
    </row>
    <row r="226" spans="1:8" ht="35.25" customHeight="1" x14ac:dyDescent="0.35">
      <c r="A226" s="392"/>
      <c r="B226" s="234" t="s">
        <v>198</v>
      </c>
      <c r="C226" s="221" t="s">
        <v>47</v>
      </c>
      <c r="D226" s="222" t="s">
        <v>26</v>
      </c>
      <c r="E226" s="222" t="s">
        <v>58</v>
      </c>
      <c r="F226" s="223" t="s">
        <v>281</v>
      </c>
      <c r="G226" s="35" t="s">
        <v>199</v>
      </c>
      <c r="H226" s="236">
        <f>'прил9 (ведом 22)'!M355+'прил9 (ведом 22)'!M628</f>
        <v>1079</v>
      </c>
    </row>
    <row r="227" spans="1:8" s="402" customFormat="1" ht="52.2" x14ac:dyDescent="0.3">
      <c r="A227" s="412">
        <v>4</v>
      </c>
      <c r="B227" s="334" t="s">
        <v>216</v>
      </c>
      <c r="C227" s="399" t="s">
        <v>60</v>
      </c>
      <c r="D227" s="399" t="s">
        <v>37</v>
      </c>
      <c r="E227" s="399" t="s">
        <v>38</v>
      </c>
      <c r="F227" s="400" t="s">
        <v>39</v>
      </c>
      <c r="G227" s="401"/>
      <c r="H227" s="283">
        <f>H228+H236</f>
        <v>7545.8000000000011</v>
      </c>
    </row>
    <row r="228" spans="1:8" s="402" customFormat="1" ht="18" x14ac:dyDescent="0.35">
      <c r="A228" s="392"/>
      <c r="B228" s="403" t="s">
        <v>217</v>
      </c>
      <c r="C228" s="221" t="s">
        <v>60</v>
      </c>
      <c r="D228" s="222" t="s">
        <v>40</v>
      </c>
      <c r="E228" s="222" t="s">
        <v>38</v>
      </c>
      <c r="F228" s="223" t="s">
        <v>39</v>
      </c>
      <c r="G228" s="258"/>
      <c r="H228" s="236">
        <f>H229</f>
        <v>4026.5</v>
      </c>
    </row>
    <row r="229" spans="1:8" s="402" customFormat="1" ht="72" x14ac:dyDescent="0.35">
      <c r="A229" s="392"/>
      <c r="B229" s="403" t="s">
        <v>276</v>
      </c>
      <c r="C229" s="221" t="s">
        <v>60</v>
      </c>
      <c r="D229" s="222" t="s">
        <v>40</v>
      </c>
      <c r="E229" s="222" t="s">
        <v>32</v>
      </c>
      <c r="F229" s="223" t="s">
        <v>39</v>
      </c>
      <c r="G229" s="35"/>
      <c r="H229" s="236">
        <f>H230+H234</f>
        <v>4026.5</v>
      </c>
    </row>
    <row r="230" spans="1:8" ht="36" x14ac:dyDescent="0.35">
      <c r="A230" s="392"/>
      <c r="B230" s="403" t="s">
        <v>437</v>
      </c>
      <c r="C230" s="221" t="s">
        <v>60</v>
      </c>
      <c r="D230" s="222" t="s">
        <v>40</v>
      </c>
      <c r="E230" s="222" t="s">
        <v>32</v>
      </c>
      <c r="F230" s="223" t="s">
        <v>86</v>
      </c>
      <c r="G230" s="35"/>
      <c r="H230" s="236">
        <f>H231+H232+H233</f>
        <v>3591.2</v>
      </c>
    </row>
    <row r="231" spans="1:8" ht="90" x14ac:dyDescent="0.35">
      <c r="A231" s="392"/>
      <c r="B231" s="403" t="s">
        <v>44</v>
      </c>
      <c r="C231" s="221" t="s">
        <v>60</v>
      </c>
      <c r="D231" s="222" t="s">
        <v>40</v>
      </c>
      <c r="E231" s="222" t="s">
        <v>32</v>
      </c>
      <c r="F231" s="223" t="s">
        <v>86</v>
      </c>
      <c r="G231" s="35" t="s">
        <v>45</v>
      </c>
      <c r="H231" s="236">
        <f>'прил9 (ведом 22)'!M664</f>
        <v>3276.8</v>
      </c>
    </row>
    <row r="232" spans="1:8" ht="36" x14ac:dyDescent="0.35">
      <c r="A232" s="392"/>
      <c r="B232" s="403" t="s">
        <v>50</v>
      </c>
      <c r="C232" s="221" t="s">
        <v>60</v>
      </c>
      <c r="D232" s="222" t="s">
        <v>40</v>
      </c>
      <c r="E232" s="222" t="s">
        <v>32</v>
      </c>
      <c r="F232" s="223" t="s">
        <v>86</v>
      </c>
      <c r="G232" s="35" t="s">
        <v>51</v>
      </c>
      <c r="H232" s="236">
        <f>'прил9 (ведом 22)'!M665</f>
        <v>311.7</v>
      </c>
    </row>
    <row r="233" spans="1:8" ht="18" x14ac:dyDescent="0.35">
      <c r="A233" s="392"/>
      <c r="B233" s="234" t="s">
        <v>52</v>
      </c>
      <c r="C233" s="221" t="s">
        <v>60</v>
      </c>
      <c r="D233" s="222" t="s">
        <v>40</v>
      </c>
      <c r="E233" s="222" t="s">
        <v>32</v>
      </c>
      <c r="F233" s="223" t="s">
        <v>86</v>
      </c>
      <c r="G233" s="35" t="s">
        <v>53</v>
      </c>
      <c r="H233" s="236">
        <f>'прил9 (ведом 22)'!M666</f>
        <v>2.7</v>
      </c>
    </row>
    <row r="234" spans="1:8" ht="36" x14ac:dyDescent="0.35">
      <c r="A234" s="392"/>
      <c r="B234" s="403" t="s">
        <v>277</v>
      </c>
      <c r="C234" s="221" t="s">
        <v>60</v>
      </c>
      <c r="D234" s="222" t="s">
        <v>40</v>
      </c>
      <c r="E234" s="222" t="s">
        <v>32</v>
      </c>
      <c r="F234" s="223" t="s">
        <v>278</v>
      </c>
      <c r="G234" s="35"/>
      <c r="H234" s="236">
        <f>H235</f>
        <v>435.3</v>
      </c>
    </row>
    <row r="235" spans="1:8" ht="36" x14ac:dyDescent="0.35">
      <c r="A235" s="392"/>
      <c r="B235" s="403" t="s">
        <v>50</v>
      </c>
      <c r="C235" s="221" t="s">
        <v>60</v>
      </c>
      <c r="D235" s="222" t="s">
        <v>40</v>
      </c>
      <c r="E235" s="222" t="s">
        <v>32</v>
      </c>
      <c r="F235" s="223" t="s">
        <v>278</v>
      </c>
      <c r="G235" s="35" t="s">
        <v>51</v>
      </c>
      <c r="H235" s="236">
        <f>'прил9 (ведом 22)'!M668</f>
        <v>435.3</v>
      </c>
    </row>
    <row r="236" spans="1:8" s="402" customFormat="1" ht="21" customHeight="1" x14ac:dyDescent="0.35">
      <c r="A236" s="392"/>
      <c r="B236" s="403" t="s">
        <v>215</v>
      </c>
      <c r="C236" s="221" t="s">
        <v>60</v>
      </c>
      <c r="D236" s="222" t="s">
        <v>84</v>
      </c>
      <c r="E236" s="222" t="s">
        <v>38</v>
      </c>
      <c r="F236" s="223" t="s">
        <v>39</v>
      </c>
      <c r="G236" s="35"/>
      <c r="H236" s="236">
        <f>H237+H242+H245+H248</f>
        <v>3519.3000000000006</v>
      </c>
    </row>
    <row r="237" spans="1:8" s="402" customFormat="1" ht="36" x14ac:dyDescent="0.35">
      <c r="A237" s="392"/>
      <c r="B237" s="403" t="s">
        <v>270</v>
      </c>
      <c r="C237" s="221" t="s">
        <v>60</v>
      </c>
      <c r="D237" s="222" t="s">
        <v>84</v>
      </c>
      <c r="E237" s="222" t="s">
        <v>32</v>
      </c>
      <c r="F237" s="223" t="s">
        <v>39</v>
      </c>
      <c r="G237" s="35"/>
      <c r="H237" s="236">
        <f>H238</f>
        <v>3396.6000000000004</v>
      </c>
    </row>
    <row r="238" spans="1:8" s="402" customFormat="1" ht="36" x14ac:dyDescent="0.35">
      <c r="A238" s="392"/>
      <c r="B238" s="403" t="s">
        <v>42</v>
      </c>
      <c r="C238" s="221" t="s">
        <v>60</v>
      </c>
      <c r="D238" s="222" t="s">
        <v>84</v>
      </c>
      <c r="E238" s="222" t="s">
        <v>32</v>
      </c>
      <c r="F238" s="223" t="s">
        <v>43</v>
      </c>
      <c r="G238" s="35"/>
      <c r="H238" s="236">
        <f>SUM(H239:H241)</f>
        <v>3396.6000000000004</v>
      </c>
    </row>
    <row r="239" spans="1:8" s="402" customFormat="1" ht="90" x14ac:dyDescent="0.35">
      <c r="A239" s="392"/>
      <c r="B239" s="403" t="s">
        <v>44</v>
      </c>
      <c r="C239" s="221" t="s">
        <v>60</v>
      </c>
      <c r="D239" s="222" t="s">
        <v>84</v>
      </c>
      <c r="E239" s="222" t="s">
        <v>32</v>
      </c>
      <c r="F239" s="223" t="s">
        <v>43</v>
      </c>
      <c r="G239" s="35" t="s">
        <v>45</v>
      </c>
      <c r="H239" s="236">
        <f>'прил9 (ведом 22)'!M674</f>
        <v>3045.5</v>
      </c>
    </row>
    <row r="240" spans="1:8" ht="36" x14ac:dyDescent="0.35">
      <c r="A240" s="392"/>
      <c r="B240" s="403" t="s">
        <v>50</v>
      </c>
      <c r="C240" s="221" t="s">
        <v>60</v>
      </c>
      <c r="D240" s="222" t="s">
        <v>84</v>
      </c>
      <c r="E240" s="222" t="s">
        <v>32</v>
      </c>
      <c r="F240" s="223" t="s">
        <v>43</v>
      </c>
      <c r="G240" s="35" t="s">
        <v>51</v>
      </c>
      <c r="H240" s="236">
        <f>'прил9 (ведом 22)'!M675</f>
        <v>349.8</v>
      </c>
    </row>
    <row r="241" spans="1:8" ht="18" x14ac:dyDescent="0.35">
      <c r="A241" s="392"/>
      <c r="B241" s="403" t="s">
        <v>52</v>
      </c>
      <c r="C241" s="221" t="s">
        <v>60</v>
      </c>
      <c r="D241" s="222" t="s">
        <v>84</v>
      </c>
      <c r="E241" s="222" t="s">
        <v>32</v>
      </c>
      <c r="F241" s="223" t="s">
        <v>43</v>
      </c>
      <c r="G241" s="35" t="s">
        <v>53</v>
      </c>
      <c r="H241" s="236">
        <f>'прил9 (ведом 22)'!M676</f>
        <v>1.3</v>
      </c>
    </row>
    <row r="242" spans="1:8" ht="36" x14ac:dyDescent="0.35">
      <c r="A242" s="392"/>
      <c r="B242" s="426" t="s">
        <v>340</v>
      </c>
      <c r="C242" s="222" t="s">
        <v>60</v>
      </c>
      <c r="D242" s="222" t="s">
        <v>84</v>
      </c>
      <c r="E242" s="222" t="s">
        <v>34</v>
      </c>
      <c r="F242" s="223" t="s">
        <v>39</v>
      </c>
      <c r="G242" s="35"/>
      <c r="H242" s="236">
        <f>H243</f>
        <v>65.400000000000006</v>
      </c>
    </row>
    <row r="243" spans="1:8" ht="54" x14ac:dyDescent="0.35">
      <c r="A243" s="392"/>
      <c r="B243" s="426" t="s">
        <v>341</v>
      </c>
      <c r="C243" s="221" t="s">
        <v>60</v>
      </c>
      <c r="D243" s="222" t="s">
        <v>84</v>
      </c>
      <c r="E243" s="222" t="s">
        <v>34</v>
      </c>
      <c r="F243" s="223" t="s">
        <v>100</v>
      </c>
      <c r="G243" s="35"/>
      <c r="H243" s="236">
        <f>H244</f>
        <v>65.400000000000006</v>
      </c>
    </row>
    <row r="244" spans="1:8" ht="36" x14ac:dyDescent="0.35">
      <c r="A244" s="392"/>
      <c r="B244" s="426" t="s">
        <v>50</v>
      </c>
      <c r="C244" s="221" t="s">
        <v>60</v>
      </c>
      <c r="D244" s="222" t="s">
        <v>84</v>
      </c>
      <c r="E244" s="222" t="s">
        <v>34</v>
      </c>
      <c r="F244" s="223" t="s">
        <v>100</v>
      </c>
      <c r="G244" s="35" t="s">
        <v>51</v>
      </c>
      <c r="H244" s="236">
        <f>'прил9 (ведом 22)'!M651</f>
        <v>65.400000000000006</v>
      </c>
    </row>
    <row r="245" spans="1:8" ht="36" x14ac:dyDescent="0.35">
      <c r="A245" s="392"/>
      <c r="B245" s="234" t="s">
        <v>441</v>
      </c>
      <c r="C245" s="222" t="s">
        <v>60</v>
      </c>
      <c r="D245" s="222" t="s">
        <v>84</v>
      </c>
      <c r="E245" s="222" t="s">
        <v>58</v>
      </c>
      <c r="F245" s="223" t="s">
        <v>39</v>
      </c>
      <c r="G245" s="35"/>
      <c r="H245" s="236">
        <f>H246</f>
        <v>14.8</v>
      </c>
    </row>
    <row r="246" spans="1:8" ht="18" x14ac:dyDescent="0.35">
      <c r="A246" s="392"/>
      <c r="B246" s="234" t="s">
        <v>439</v>
      </c>
      <c r="C246" s="222" t="s">
        <v>60</v>
      </c>
      <c r="D246" s="222" t="s">
        <v>84</v>
      </c>
      <c r="E246" s="222" t="s">
        <v>58</v>
      </c>
      <c r="F246" s="223" t="s">
        <v>440</v>
      </c>
      <c r="G246" s="35"/>
      <c r="H246" s="236">
        <f>H247</f>
        <v>14.8</v>
      </c>
    </row>
    <row r="247" spans="1:8" ht="36" x14ac:dyDescent="0.35">
      <c r="A247" s="392"/>
      <c r="B247" s="426" t="s">
        <v>50</v>
      </c>
      <c r="C247" s="222" t="s">
        <v>60</v>
      </c>
      <c r="D247" s="222" t="s">
        <v>84</v>
      </c>
      <c r="E247" s="222" t="s">
        <v>58</v>
      </c>
      <c r="F247" s="223" t="s">
        <v>440</v>
      </c>
      <c r="G247" s="35" t="s">
        <v>51</v>
      </c>
      <c r="H247" s="236">
        <f>'прил9 (ведом 22)'!M654</f>
        <v>14.8</v>
      </c>
    </row>
    <row r="248" spans="1:8" ht="36" x14ac:dyDescent="0.35">
      <c r="A248" s="392"/>
      <c r="B248" s="426" t="s">
        <v>445</v>
      </c>
      <c r="C248" s="222" t="s">
        <v>60</v>
      </c>
      <c r="D248" s="222" t="s">
        <v>84</v>
      </c>
      <c r="E248" s="222" t="s">
        <v>47</v>
      </c>
      <c r="F248" s="566" t="s">
        <v>39</v>
      </c>
      <c r="G248" s="258"/>
      <c r="H248" s="236">
        <f>H249</f>
        <v>42.5</v>
      </c>
    </row>
    <row r="249" spans="1:8" ht="36" x14ac:dyDescent="0.35">
      <c r="A249" s="392"/>
      <c r="B249" s="427" t="s">
        <v>122</v>
      </c>
      <c r="C249" s="222" t="s">
        <v>60</v>
      </c>
      <c r="D249" s="222" t="s">
        <v>84</v>
      </c>
      <c r="E249" s="222" t="s">
        <v>47</v>
      </c>
      <c r="F249" s="428" t="s">
        <v>85</v>
      </c>
      <c r="G249" s="258"/>
      <c r="H249" s="236">
        <f>H250</f>
        <v>42.5</v>
      </c>
    </row>
    <row r="250" spans="1:8" ht="36" x14ac:dyDescent="0.35">
      <c r="A250" s="392"/>
      <c r="B250" s="426" t="s">
        <v>50</v>
      </c>
      <c r="C250" s="222" t="s">
        <v>60</v>
      </c>
      <c r="D250" s="222" t="s">
        <v>84</v>
      </c>
      <c r="E250" s="222" t="s">
        <v>47</v>
      </c>
      <c r="F250" s="566" t="s">
        <v>85</v>
      </c>
      <c r="G250" s="258" t="s">
        <v>51</v>
      </c>
      <c r="H250" s="236">
        <f>'прил9 (ведом 22)'!M657</f>
        <v>42.5</v>
      </c>
    </row>
    <row r="251" spans="1:8" ht="18" x14ac:dyDescent="0.35">
      <c r="A251" s="392"/>
      <c r="B251" s="426"/>
      <c r="C251" s="221"/>
      <c r="D251" s="222"/>
      <c r="E251" s="222"/>
      <c r="F251" s="566"/>
      <c r="G251" s="258"/>
      <c r="H251" s="236"/>
    </row>
    <row r="252" spans="1:8" s="402" customFormat="1" ht="52.2" x14ac:dyDescent="0.3">
      <c r="A252" s="412">
        <v>5</v>
      </c>
      <c r="B252" s="334" t="s">
        <v>75</v>
      </c>
      <c r="C252" s="413" t="s">
        <v>76</v>
      </c>
      <c r="D252" s="413" t="s">
        <v>37</v>
      </c>
      <c r="E252" s="413" t="s">
        <v>38</v>
      </c>
      <c r="F252" s="414" t="s">
        <v>39</v>
      </c>
      <c r="G252" s="401"/>
      <c r="H252" s="283">
        <f>H263+H253+H275+H281</f>
        <v>27686.899999999998</v>
      </c>
    </row>
    <row r="253" spans="1:8" ht="54" x14ac:dyDescent="0.35">
      <c r="A253" s="392"/>
      <c r="B253" s="415" t="s">
        <v>77</v>
      </c>
      <c r="C253" s="221" t="s">
        <v>76</v>
      </c>
      <c r="D253" s="222" t="s">
        <v>40</v>
      </c>
      <c r="E253" s="222" t="s">
        <v>38</v>
      </c>
      <c r="F253" s="223" t="s">
        <v>39</v>
      </c>
      <c r="G253" s="258"/>
      <c r="H253" s="236">
        <f>H254</f>
        <v>3610.0000000000005</v>
      </c>
    </row>
    <row r="254" spans="1:8" ht="72" x14ac:dyDescent="0.35">
      <c r="A254" s="392"/>
      <c r="B254" s="403" t="s">
        <v>78</v>
      </c>
      <c r="C254" s="221" t="s">
        <v>76</v>
      </c>
      <c r="D254" s="222" t="s">
        <v>40</v>
      </c>
      <c r="E254" s="222" t="s">
        <v>32</v>
      </c>
      <c r="F254" s="223" t="s">
        <v>39</v>
      </c>
      <c r="G254" s="35"/>
      <c r="H254" s="236">
        <f>H255+H257+H259+H261</f>
        <v>3610.0000000000005</v>
      </c>
    </row>
    <row r="255" spans="1:8" ht="36" x14ac:dyDescent="0.35">
      <c r="A255" s="392"/>
      <c r="B255" s="415" t="s">
        <v>428</v>
      </c>
      <c r="C255" s="221" t="s">
        <v>76</v>
      </c>
      <c r="D255" s="222" t="s">
        <v>40</v>
      </c>
      <c r="E255" s="222" t="s">
        <v>32</v>
      </c>
      <c r="F255" s="223" t="s">
        <v>79</v>
      </c>
      <c r="G255" s="35"/>
      <c r="H255" s="236">
        <f>H256</f>
        <v>298.39999999999998</v>
      </c>
    </row>
    <row r="256" spans="1:8" ht="36" x14ac:dyDescent="0.35">
      <c r="A256" s="392"/>
      <c r="B256" s="403" t="s">
        <v>50</v>
      </c>
      <c r="C256" s="221" t="s">
        <v>76</v>
      </c>
      <c r="D256" s="222" t="s">
        <v>40</v>
      </c>
      <c r="E256" s="222" t="s">
        <v>32</v>
      </c>
      <c r="F256" s="223" t="s">
        <v>79</v>
      </c>
      <c r="G256" s="35" t="s">
        <v>51</v>
      </c>
      <c r="H256" s="236">
        <f>'прил9 (ведом 22)'!M92</f>
        <v>298.39999999999998</v>
      </c>
    </row>
    <row r="257" spans="1:8" ht="36" x14ac:dyDescent="0.35">
      <c r="A257" s="392"/>
      <c r="B257" s="403" t="s">
        <v>80</v>
      </c>
      <c r="C257" s="221" t="s">
        <v>76</v>
      </c>
      <c r="D257" s="222" t="s">
        <v>40</v>
      </c>
      <c r="E257" s="222" t="s">
        <v>32</v>
      </c>
      <c r="F257" s="223" t="s">
        <v>81</v>
      </c>
      <c r="G257" s="35"/>
      <c r="H257" s="236">
        <f>H258</f>
        <v>223.9</v>
      </c>
    </row>
    <row r="258" spans="1:8" ht="36" x14ac:dyDescent="0.35">
      <c r="A258" s="392"/>
      <c r="B258" s="403" t="s">
        <v>50</v>
      </c>
      <c r="C258" s="221" t="s">
        <v>76</v>
      </c>
      <c r="D258" s="222" t="s">
        <v>40</v>
      </c>
      <c r="E258" s="222" t="s">
        <v>32</v>
      </c>
      <c r="F258" s="223" t="s">
        <v>81</v>
      </c>
      <c r="G258" s="35" t="s">
        <v>51</v>
      </c>
      <c r="H258" s="236">
        <f>'прил9 (ведом 22)'!M94</f>
        <v>223.9</v>
      </c>
    </row>
    <row r="259" spans="1:8" ht="87" customHeight="1" x14ac:dyDescent="0.35">
      <c r="A259" s="392"/>
      <c r="B259" s="403" t="s">
        <v>329</v>
      </c>
      <c r="C259" s="221" t="s">
        <v>76</v>
      </c>
      <c r="D259" s="222" t="s">
        <v>40</v>
      </c>
      <c r="E259" s="222" t="s">
        <v>32</v>
      </c>
      <c r="F259" s="223" t="s">
        <v>317</v>
      </c>
      <c r="G259" s="35"/>
      <c r="H259" s="236">
        <f>H260</f>
        <v>3075.3</v>
      </c>
    </row>
    <row r="260" spans="1:8" ht="18" x14ac:dyDescent="0.35">
      <c r="A260" s="392"/>
      <c r="B260" s="403" t="s">
        <v>118</v>
      </c>
      <c r="C260" s="221" t="s">
        <v>76</v>
      </c>
      <c r="D260" s="222" t="s">
        <v>40</v>
      </c>
      <c r="E260" s="222" t="s">
        <v>32</v>
      </c>
      <c r="F260" s="223" t="s">
        <v>317</v>
      </c>
      <c r="G260" s="35" t="s">
        <v>119</v>
      </c>
      <c r="H260" s="236">
        <f>'прил9 (ведом 22)'!M96</f>
        <v>3075.3</v>
      </c>
    </row>
    <row r="261" spans="1:8" ht="108" x14ac:dyDescent="0.35">
      <c r="A261" s="392"/>
      <c r="B261" s="403" t="s">
        <v>331</v>
      </c>
      <c r="C261" s="221" t="s">
        <v>76</v>
      </c>
      <c r="D261" s="222" t="s">
        <v>40</v>
      </c>
      <c r="E261" s="222" t="s">
        <v>32</v>
      </c>
      <c r="F261" s="223" t="s">
        <v>318</v>
      </c>
      <c r="G261" s="35"/>
      <c r="H261" s="236">
        <f>H262</f>
        <v>12.4</v>
      </c>
    </row>
    <row r="262" spans="1:8" ht="18" x14ac:dyDescent="0.35">
      <c r="A262" s="392"/>
      <c r="B262" s="403" t="s">
        <v>118</v>
      </c>
      <c r="C262" s="221" t="s">
        <v>76</v>
      </c>
      <c r="D262" s="222" t="s">
        <v>40</v>
      </c>
      <c r="E262" s="222" t="s">
        <v>32</v>
      </c>
      <c r="F262" s="223" t="s">
        <v>318</v>
      </c>
      <c r="G262" s="35" t="s">
        <v>119</v>
      </c>
      <c r="H262" s="236">
        <f>'прил9 (ведом 22)'!M98</f>
        <v>12.4</v>
      </c>
    </row>
    <row r="263" spans="1:8" ht="36" x14ac:dyDescent="0.35">
      <c r="A263" s="392"/>
      <c r="B263" s="429" t="s">
        <v>120</v>
      </c>
      <c r="C263" s="221" t="s">
        <v>76</v>
      </c>
      <c r="D263" s="222" t="s">
        <v>84</v>
      </c>
      <c r="E263" s="222" t="s">
        <v>38</v>
      </c>
      <c r="F263" s="223" t="s">
        <v>39</v>
      </c>
      <c r="G263" s="258"/>
      <c r="H263" s="236">
        <f>H264+H272</f>
        <v>10721.6</v>
      </c>
    </row>
    <row r="264" spans="1:8" ht="36" x14ac:dyDescent="0.35">
      <c r="A264" s="392"/>
      <c r="B264" s="403" t="s">
        <v>259</v>
      </c>
      <c r="C264" s="221" t="s">
        <v>76</v>
      </c>
      <c r="D264" s="222" t="s">
        <v>84</v>
      </c>
      <c r="E264" s="222" t="s">
        <v>32</v>
      </c>
      <c r="F264" s="223" t="s">
        <v>39</v>
      </c>
      <c r="G264" s="35"/>
      <c r="H264" s="236">
        <f>H265+H267+H269</f>
        <v>10278</v>
      </c>
    </row>
    <row r="265" spans="1:8" ht="36" x14ac:dyDescent="0.35">
      <c r="A265" s="392"/>
      <c r="B265" s="403" t="s">
        <v>122</v>
      </c>
      <c r="C265" s="221" t="s">
        <v>76</v>
      </c>
      <c r="D265" s="222" t="s">
        <v>84</v>
      </c>
      <c r="E265" s="222" t="s">
        <v>32</v>
      </c>
      <c r="F265" s="223" t="s">
        <v>85</v>
      </c>
      <c r="G265" s="35"/>
      <c r="H265" s="236">
        <f>SUM(H266:H266)</f>
        <v>1585.8</v>
      </c>
    </row>
    <row r="266" spans="1:8" ht="36" x14ac:dyDescent="0.35">
      <c r="A266" s="392"/>
      <c r="B266" s="403" t="s">
        <v>50</v>
      </c>
      <c r="C266" s="221" t="s">
        <v>76</v>
      </c>
      <c r="D266" s="222" t="s">
        <v>84</v>
      </c>
      <c r="E266" s="222" t="s">
        <v>32</v>
      </c>
      <c r="F266" s="223" t="s">
        <v>85</v>
      </c>
      <c r="G266" s="35" t="s">
        <v>51</v>
      </c>
      <c r="H266" s="236">
        <f>'прил9 (ведом 22)'!M104</f>
        <v>1585.8</v>
      </c>
    </row>
    <row r="267" spans="1:8" ht="90" x14ac:dyDescent="0.35">
      <c r="A267" s="392"/>
      <c r="B267" s="429" t="s">
        <v>330</v>
      </c>
      <c r="C267" s="221" t="s">
        <v>76</v>
      </c>
      <c r="D267" s="222" t="s">
        <v>84</v>
      </c>
      <c r="E267" s="222" t="s">
        <v>32</v>
      </c>
      <c r="F267" s="223" t="s">
        <v>319</v>
      </c>
      <c r="G267" s="35"/>
      <c r="H267" s="236">
        <f>H268</f>
        <v>122.1</v>
      </c>
    </row>
    <row r="268" spans="1:8" ht="18" x14ac:dyDescent="0.35">
      <c r="A268" s="392"/>
      <c r="B268" s="429" t="s">
        <v>118</v>
      </c>
      <c r="C268" s="221" t="s">
        <v>76</v>
      </c>
      <c r="D268" s="222" t="s">
        <v>84</v>
      </c>
      <c r="E268" s="222" t="s">
        <v>32</v>
      </c>
      <c r="F268" s="223" t="s">
        <v>319</v>
      </c>
      <c r="G268" s="35" t="s">
        <v>119</v>
      </c>
      <c r="H268" s="236">
        <f>'прил9 (ведом 22)'!M106</f>
        <v>122.1</v>
      </c>
    </row>
    <row r="269" spans="1:8" ht="18" x14ac:dyDescent="0.35">
      <c r="A269" s="392"/>
      <c r="B269" s="234" t="s">
        <v>410</v>
      </c>
      <c r="C269" s="221" t="s">
        <v>76</v>
      </c>
      <c r="D269" s="222" t="s">
        <v>84</v>
      </c>
      <c r="E269" s="222" t="s">
        <v>32</v>
      </c>
      <c r="F269" s="223" t="s">
        <v>411</v>
      </c>
      <c r="G269" s="35"/>
      <c r="H269" s="224">
        <f>H271+H270</f>
        <v>8570.1</v>
      </c>
    </row>
    <row r="270" spans="1:8" ht="36" x14ac:dyDescent="0.35">
      <c r="A270" s="392"/>
      <c r="B270" s="234" t="s">
        <v>50</v>
      </c>
      <c r="C270" s="221" t="s">
        <v>76</v>
      </c>
      <c r="D270" s="222" t="s">
        <v>84</v>
      </c>
      <c r="E270" s="222" t="s">
        <v>32</v>
      </c>
      <c r="F270" s="223" t="s">
        <v>411</v>
      </c>
      <c r="G270" s="35" t="s">
        <v>51</v>
      </c>
      <c r="H270" s="224">
        <f>'прил9 (ведом 22)'!M451</f>
        <v>905.2</v>
      </c>
    </row>
    <row r="271" spans="1:8" ht="36" x14ac:dyDescent="0.35">
      <c r="A271" s="392"/>
      <c r="B271" s="234" t="s">
        <v>71</v>
      </c>
      <c r="C271" s="221" t="s">
        <v>76</v>
      </c>
      <c r="D271" s="222" t="s">
        <v>84</v>
      </c>
      <c r="E271" s="222" t="s">
        <v>32</v>
      </c>
      <c r="F271" s="223" t="s">
        <v>411</v>
      </c>
      <c r="G271" s="35" t="s">
        <v>72</v>
      </c>
      <c r="H271" s="224">
        <f>'прил9 (ведом 22)'!M392+'прил9 (ведом 22)'!M452</f>
        <v>7664.9</v>
      </c>
    </row>
    <row r="272" spans="1:8" ht="54" x14ac:dyDescent="0.35">
      <c r="A272" s="392"/>
      <c r="B272" s="432" t="s">
        <v>121</v>
      </c>
      <c r="C272" s="221" t="s">
        <v>76</v>
      </c>
      <c r="D272" s="222" t="s">
        <v>84</v>
      </c>
      <c r="E272" s="222" t="s">
        <v>34</v>
      </c>
      <c r="F272" s="223" t="s">
        <v>39</v>
      </c>
      <c r="G272" s="35"/>
      <c r="H272" s="236">
        <f>H273</f>
        <v>443.6</v>
      </c>
    </row>
    <row r="273" spans="1:8" ht="36" x14ac:dyDescent="0.35">
      <c r="A273" s="392"/>
      <c r="B273" s="432" t="s">
        <v>122</v>
      </c>
      <c r="C273" s="221" t="s">
        <v>76</v>
      </c>
      <c r="D273" s="222" t="s">
        <v>84</v>
      </c>
      <c r="E273" s="222" t="s">
        <v>34</v>
      </c>
      <c r="F273" s="223" t="s">
        <v>85</v>
      </c>
      <c r="G273" s="35"/>
      <c r="H273" s="236">
        <f>H274</f>
        <v>443.6</v>
      </c>
    </row>
    <row r="274" spans="1:8" ht="36" x14ac:dyDescent="0.35">
      <c r="A274" s="392"/>
      <c r="B274" s="403" t="s">
        <v>50</v>
      </c>
      <c r="C274" s="221" t="s">
        <v>76</v>
      </c>
      <c r="D274" s="222" t="s">
        <v>84</v>
      </c>
      <c r="E274" s="222" t="s">
        <v>34</v>
      </c>
      <c r="F274" s="223" t="s">
        <v>85</v>
      </c>
      <c r="G274" s="35" t="s">
        <v>51</v>
      </c>
      <c r="H274" s="236">
        <f>'прил9 (ведом 22)'!M109</f>
        <v>443.6</v>
      </c>
    </row>
    <row r="275" spans="1:8" ht="54" x14ac:dyDescent="0.35">
      <c r="A275" s="392"/>
      <c r="B275" s="431" t="s">
        <v>357</v>
      </c>
      <c r="C275" s="221" t="s">
        <v>76</v>
      </c>
      <c r="D275" s="222" t="s">
        <v>25</v>
      </c>
      <c r="E275" s="222" t="s">
        <v>38</v>
      </c>
      <c r="F275" s="223" t="s">
        <v>39</v>
      </c>
      <c r="G275" s="35"/>
      <c r="H275" s="236">
        <f>H276</f>
        <v>13333.5</v>
      </c>
    </row>
    <row r="276" spans="1:8" ht="72" x14ac:dyDescent="0.35">
      <c r="A276" s="392"/>
      <c r="B276" s="432" t="s">
        <v>310</v>
      </c>
      <c r="C276" s="221" t="s">
        <v>76</v>
      </c>
      <c r="D276" s="222" t="s">
        <v>25</v>
      </c>
      <c r="E276" s="222" t="s">
        <v>32</v>
      </c>
      <c r="F276" s="223" t="s">
        <v>39</v>
      </c>
      <c r="G276" s="35"/>
      <c r="H276" s="236">
        <f>H277</f>
        <v>13333.5</v>
      </c>
    </row>
    <row r="277" spans="1:8" ht="36" x14ac:dyDescent="0.35">
      <c r="A277" s="392"/>
      <c r="B277" s="403" t="s">
        <v>437</v>
      </c>
      <c r="C277" s="221" t="s">
        <v>76</v>
      </c>
      <c r="D277" s="222" t="s">
        <v>25</v>
      </c>
      <c r="E277" s="222" t="s">
        <v>32</v>
      </c>
      <c r="F277" s="223" t="s">
        <v>86</v>
      </c>
      <c r="G277" s="35"/>
      <c r="H277" s="236">
        <f>SUM(H278:H280)</f>
        <v>13333.5</v>
      </c>
    </row>
    <row r="278" spans="1:8" s="402" customFormat="1" ht="90" x14ac:dyDescent="0.35">
      <c r="A278" s="392"/>
      <c r="B278" s="403" t="s">
        <v>44</v>
      </c>
      <c r="C278" s="221" t="s">
        <v>76</v>
      </c>
      <c r="D278" s="222" t="s">
        <v>25</v>
      </c>
      <c r="E278" s="222" t="s">
        <v>32</v>
      </c>
      <c r="F278" s="223" t="s">
        <v>86</v>
      </c>
      <c r="G278" s="35" t="s">
        <v>45</v>
      </c>
      <c r="H278" s="236">
        <f>'прил9 (ведом 22)'!M113</f>
        <v>11294.300000000001</v>
      </c>
    </row>
    <row r="279" spans="1:8" ht="36" x14ac:dyDescent="0.35">
      <c r="A279" s="392"/>
      <c r="B279" s="403" t="s">
        <v>50</v>
      </c>
      <c r="C279" s="221" t="s">
        <v>76</v>
      </c>
      <c r="D279" s="222" t="s">
        <v>25</v>
      </c>
      <c r="E279" s="222" t="s">
        <v>32</v>
      </c>
      <c r="F279" s="223" t="s">
        <v>86</v>
      </c>
      <c r="G279" s="35" t="s">
        <v>51</v>
      </c>
      <c r="H279" s="236">
        <f>'прил9 (ведом 22)'!M114</f>
        <v>2032.9</v>
      </c>
    </row>
    <row r="280" spans="1:8" s="402" customFormat="1" ht="18" x14ac:dyDescent="0.35">
      <c r="A280" s="392"/>
      <c r="B280" s="403" t="s">
        <v>52</v>
      </c>
      <c r="C280" s="221" t="s">
        <v>76</v>
      </c>
      <c r="D280" s="222" t="s">
        <v>25</v>
      </c>
      <c r="E280" s="222" t="s">
        <v>32</v>
      </c>
      <c r="F280" s="223" t="s">
        <v>86</v>
      </c>
      <c r="G280" s="35" t="s">
        <v>53</v>
      </c>
      <c r="H280" s="236">
        <f>'прил9 (ведом 22)'!M115</f>
        <v>6.3</v>
      </c>
    </row>
    <row r="281" spans="1:8" s="402" customFormat="1" ht="54" x14ac:dyDescent="0.35">
      <c r="A281" s="392"/>
      <c r="B281" s="435" t="s">
        <v>465</v>
      </c>
      <c r="C281" s="222" t="s">
        <v>76</v>
      </c>
      <c r="D281" s="222" t="s">
        <v>26</v>
      </c>
      <c r="E281" s="222" t="s">
        <v>38</v>
      </c>
      <c r="F281" s="223" t="s">
        <v>39</v>
      </c>
      <c r="G281" s="35"/>
      <c r="H281" s="236">
        <f t="shared" ref="H281:H282" si="0">H282</f>
        <v>21.8</v>
      </c>
    </row>
    <row r="282" spans="1:8" s="402" customFormat="1" ht="54" x14ac:dyDescent="0.35">
      <c r="A282" s="392"/>
      <c r="B282" s="435" t="s">
        <v>466</v>
      </c>
      <c r="C282" s="222" t="s">
        <v>76</v>
      </c>
      <c r="D282" s="222" t="s">
        <v>26</v>
      </c>
      <c r="E282" s="222" t="s">
        <v>32</v>
      </c>
      <c r="F282" s="223" t="s">
        <v>39</v>
      </c>
      <c r="G282" s="35"/>
      <c r="H282" s="236">
        <f t="shared" si="0"/>
        <v>21.8</v>
      </c>
    </row>
    <row r="283" spans="1:8" s="402" customFormat="1" ht="38.25" customHeight="1" x14ac:dyDescent="0.35">
      <c r="A283" s="392"/>
      <c r="B283" s="435" t="s">
        <v>80</v>
      </c>
      <c r="C283" s="222" t="s">
        <v>76</v>
      </c>
      <c r="D283" s="222" t="s">
        <v>26</v>
      </c>
      <c r="E283" s="222" t="s">
        <v>32</v>
      </c>
      <c r="F283" s="223" t="s">
        <v>81</v>
      </c>
      <c r="G283" s="35"/>
      <c r="H283" s="236">
        <f>H284</f>
        <v>21.8</v>
      </c>
    </row>
    <row r="284" spans="1:8" s="402" customFormat="1" ht="36" x14ac:dyDescent="0.35">
      <c r="A284" s="392"/>
      <c r="B284" s="435" t="s">
        <v>50</v>
      </c>
      <c r="C284" s="222" t="s">
        <v>76</v>
      </c>
      <c r="D284" s="222" t="s">
        <v>26</v>
      </c>
      <c r="E284" s="222" t="s">
        <v>32</v>
      </c>
      <c r="F284" s="223" t="s">
        <v>81</v>
      </c>
      <c r="G284" s="35" t="s">
        <v>51</v>
      </c>
      <c r="H284" s="236">
        <f>'прил9 (ведом 22)'!M119</f>
        <v>21.8</v>
      </c>
    </row>
    <row r="285" spans="1:8" ht="18" x14ac:dyDescent="0.35">
      <c r="A285" s="437"/>
      <c r="B285" s="409"/>
      <c r="C285" s="438"/>
      <c r="D285" s="565"/>
      <c r="E285" s="565"/>
      <c r="F285" s="566"/>
      <c r="G285" s="258"/>
      <c r="H285" s="236"/>
    </row>
    <row r="286" spans="1:8" s="402" customFormat="1" ht="52.2" x14ac:dyDescent="0.3">
      <c r="A286" s="412">
        <v>6</v>
      </c>
      <c r="B286" s="423" t="s">
        <v>218</v>
      </c>
      <c r="C286" s="399" t="s">
        <v>219</v>
      </c>
      <c r="D286" s="399" t="s">
        <v>37</v>
      </c>
      <c r="E286" s="399" t="s">
        <v>38</v>
      </c>
      <c r="F286" s="400" t="s">
        <v>39</v>
      </c>
      <c r="G286" s="401"/>
      <c r="H286" s="283">
        <f>H287</f>
        <v>39625.4</v>
      </c>
    </row>
    <row r="287" spans="1:8" ht="18" x14ac:dyDescent="0.35">
      <c r="A287" s="392"/>
      <c r="B287" s="403" t="s">
        <v>328</v>
      </c>
      <c r="C287" s="439" t="s">
        <v>219</v>
      </c>
      <c r="D287" s="440" t="s">
        <v>40</v>
      </c>
      <c r="E287" s="222" t="s">
        <v>38</v>
      </c>
      <c r="F287" s="223" t="s">
        <v>39</v>
      </c>
      <c r="G287" s="35"/>
      <c r="H287" s="236">
        <f>H288+H295+H298+H301+H304</f>
        <v>39625.4</v>
      </c>
    </row>
    <row r="288" spans="1:8" ht="54" x14ac:dyDescent="0.35">
      <c r="A288" s="392"/>
      <c r="B288" s="403" t="s">
        <v>292</v>
      </c>
      <c r="C288" s="439" t="s">
        <v>219</v>
      </c>
      <c r="D288" s="440" t="s">
        <v>40</v>
      </c>
      <c r="E288" s="222" t="s">
        <v>32</v>
      </c>
      <c r="F288" s="223" t="s">
        <v>39</v>
      </c>
      <c r="G288" s="35"/>
      <c r="H288" s="236">
        <f>H289+H293</f>
        <v>28581.8</v>
      </c>
    </row>
    <row r="289" spans="1:8" ht="36" x14ac:dyDescent="0.35">
      <c r="A289" s="392"/>
      <c r="B289" s="403" t="s">
        <v>42</v>
      </c>
      <c r="C289" s="439" t="s">
        <v>219</v>
      </c>
      <c r="D289" s="440" t="s">
        <v>40</v>
      </c>
      <c r="E289" s="222" t="s">
        <v>32</v>
      </c>
      <c r="F289" s="223" t="s">
        <v>43</v>
      </c>
      <c r="G289" s="35"/>
      <c r="H289" s="236">
        <f>SUM(H290:H292)</f>
        <v>28483</v>
      </c>
    </row>
    <row r="290" spans="1:8" ht="90" x14ac:dyDescent="0.35">
      <c r="A290" s="392"/>
      <c r="B290" s="403" t="s">
        <v>44</v>
      </c>
      <c r="C290" s="439" t="s">
        <v>219</v>
      </c>
      <c r="D290" s="440" t="s">
        <v>40</v>
      </c>
      <c r="E290" s="222" t="s">
        <v>32</v>
      </c>
      <c r="F290" s="223" t="s">
        <v>43</v>
      </c>
      <c r="G290" s="35" t="s">
        <v>45</v>
      </c>
      <c r="H290" s="236">
        <f>'прил9 (ведом 22)'!M219</f>
        <v>27767.3</v>
      </c>
    </row>
    <row r="291" spans="1:8" ht="36" x14ac:dyDescent="0.35">
      <c r="A291" s="392"/>
      <c r="B291" s="403" t="s">
        <v>50</v>
      </c>
      <c r="C291" s="439" t="s">
        <v>219</v>
      </c>
      <c r="D291" s="440" t="s">
        <v>40</v>
      </c>
      <c r="E291" s="222" t="s">
        <v>32</v>
      </c>
      <c r="F291" s="223" t="s">
        <v>43</v>
      </c>
      <c r="G291" s="35" t="s">
        <v>51</v>
      </c>
      <c r="H291" s="236">
        <f>'прил9 (ведом 22)'!M220</f>
        <v>710.90000000000009</v>
      </c>
    </row>
    <row r="292" spans="1:8" ht="18" x14ac:dyDescent="0.35">
      <c r="A292" s="392"/>
      <c r="B292" s="403" t="s">
        <v>52</v>
      </c>
      <c r="C292" s="439" t="s">
        <v>219</v>
      </c>
      <c r="D292" s="440" t="s">
        <v>40</v>
      </c>
      <c r="E292" s="222" t="s">
        <v>32</v>
      </c>
      <c r="F292" s="223" t="s">
        <v>43</v>
      </c>
      <c r="G292" s="35" t="s">
        <v>53</v>
      </c>
      <c r="H292" s="236">
        <f>'прил9 (ведом 22)'!M221</f>
        <v>4.8</v>
      </c>
    </row>
    <row r="293" spans="1:8" ht="36" x14ac:dyDescent="0.35">
      <c r="A293" s="392"/>
      <c r="B293" s="24" t="s">
        <v>525</v>
      </c>
      <c r="C293" s="32" t="s">
        <v>219</v>
      </c>
      <c r="D293" s="33" t="s">
        <v>40</v>
      </c>
      <c r="E293" s="572" t="s">
        <v>32</v>
      </c>
      <c r="F293" s="573" t="s">
        <v>524</v>
      </c>
      <c r="G293" s="10"/>
      <c r="H293" s="236">
        <f>H294</f>
        <v>98.8</v>
      </c>
    </row>
    <row r="294" spans="1:8" ht="36" x14ac:dyDescent="0.35">
      <c r="A294" s="392"/>
      <c r="B294" s="24" t="s">
        <v>50</v>
      </c>
      <c r="C294" s="32" t="s">
        <v>219</v>
      </c>
      <c r="D294" s="33" t="s">
        <v>40</v>
      </c>
      <c r="E294" s="572" t="s">
        <v>32</v>
      </c>
      <c r="F294" s="573" t="s">
        <v>524</v>
      </c>
      <c r="G294" s="10" t="s">
        <v>51</v>
      </c>
      <c r="H294" s="236">
        <f>'прил9 (ведом 22)'!M240</f>
        <v>98.8</v>
      </c>
    </row>
    <row r="295" spans="1:8" ht="24.75" customHeight="1" x14ac:dyDescent="0.35">
      <c r="A295" s="392"/>
      <c r="B295" s="403" t="s">
        <v>293</v>
      </c>
      <c r="C295" s="439" t="s">
        <v>219</v>
      </c>
      <c r="D295" s="440" t="s">
        <v>40</v>
      </c>
      <c r="E295" s="222" t="s">
        <v>34</v>
      </c>
      <c r="F295" s="223" t="s">
        <v>39</v>
      </c>
      <c r="G295" s="35"/>
      <c r="H295" s="236">
        <f>H296</f>
        <v>7000</v>
      </c>
    </row>
    <row r="296" spans="1:8" ht="36" x14ac:dyDescent="0.35">
      <c r="A296" s="392"/>
      <c r="B296" s="234" t="s">
        <v>252</v>
      </c>
      <c r="C296" s="439" t="s">
        <v>219</v>
      </c>
      <c r="D296" s="440" t="s">
        <v>40</v>
      </c>
      <c r="E296" s="222" t="s">
        <v>34</v>
      </c>
      <c r="F296" s="223" t="s">
        <v>394</v>
      </c>
      <c r="G296" s="35"/>
      <c r="H296" s="236">
        <f>H297</f>
        <v>7000</v>
      </c>
    </row>
    <row r="297" spans="1:8" ht="18" x14ac:dyDescent="0.35">
      <c r="A297" s="392"/>
      <c r="B297" s="234" t="s">
        <v>118</v>
      </c>
      <c r="C297" s="439" t="s">
        <v>219</v>
      </c>
      <c r="D297" s="440" t="s">
        <v>40</v>
      </c>
      <c r="E297" s="222" t="s">
        <v>34</v>
      </c>
      <c r="F297" s="223" t="s">
        <v>394</v>
      </c>
      <c r="G297" s="35" t="s">
        <v>119</v>
      </c>
      <c r="H297" s="236">
        <f>'прил9 (ведом 22)'!M247</f>
        <v>7000</v>
      </c>
    </row>
    <row r="298" spans="1:8" ht="36" x14ac:dyDescent="0.35">
      <c r="A298" s="392"/>
      <c r="B298" s="403" t="s">
        <v>340</v>
      </c>
      <c r="C298" s="439" t="s">
        <v>219</v>
      </c>
      <c r="D298" s="440" t="s">
        <v>40</v>
      </c>
      <c r="E298" s="222" t="s">
        <v>58</v>
      </c>
      <c r="F298" s="223" t="s">
        <v>39</v>
      </c>
      <c r="G298" s="35"/>
      <c r="H298" s="236">
        <f>H299</f>
        <v>3290.9</v>
      </c>
    </row>
    <row r="299" spans="1:8" ht="54" x14ac:dyDescent="0.35">
      <c r="A299" s="392"/>
      <c r="B299" s="403" t="s">
        <v>341</v>
      </c>
      <c r="C299" s="439" t="s">
        <v>219</v>
      </c>
      <c r="D299" s="440" t="s">
        <v>40</v>
      </c>
      <c r="E299" s="222" t="s">
        <v>58</v>
      </c>
      <c r="F299" s="223" t="s">
        <v>100</v>
      </c>
      <c r="G299" s="35"/>
      <c r="H299" s="236">
        <f>H300</f>
        <v>3290.9</v>
      </c>
    </row>
    <row r="300" spans="1:8" ht="36" x14ac:dyDescent="0.35">
      <c r="A300" s="392"/>
      <c r="B300" s="403" t="s">
        <v>50</v>
      </c>
      <c r="C300" s="439" t="s">
        <v>219</v>
      </c>
      <c r="D300" s="440" t="s">
        <v>40</v>
      </c>
      <c r="E300" s="222" t="s">
        <v>58</v>
      </c>
      <c r="F300" s="223" t="s">
        <v>100</v>
      </c>
      <c r="G300" s="35" t="s">
        <v>51</v>
      </c>
      <c r="H300" s="236">
        <f>'прил9 (ведом 22)'!M230</f>
        <v>3290.9</v>
      </c>
    </row>
    <row r="301" spans="1:8" ht="54" x14ac:dyDescent="0.35">
      <c r="A301" s="392"/>
      <c r="B301" s="234" t="s">
        <v>311</v>
      </c>
      <c r="C301" s="439" t="s">
        <v>219</v>
      </c>
      <c r="D301" s="440" t="s">
        <v>40</v>
      </c>
      <c r="E301" s="222" t="s">
        <v>47</v>
      </c>
      <c r="F301" s="223" t="s">
        <v>39</v>
      </c>
      <c r="G301" s="35"/>
      <c r="H301" s="236">
        <f>H302</f>
        <v>735.5</v>
      </c>
    </row>
    <row r="302" spans="1:8" ht="36" x14ac:dyDescent="0.35">
      <c r="A302" s="392"/>
      <c r="B302" s="234" t="s">
        <v>362</v>
      </c>
      <c r="C302" s="439" t="s">
        <v>219</v>
      </c>
      <c r="D302" s="440" t="s">
        <v>40</v>
      </c>
      <c r="E302" s="222" t="s">
        <v>47</v>
      </c>
      <c r="F302" s="223" t="s">
        <v>361</v>
      </c>
      <c r="G302" s="35"/>
      <c r="H302" s="236">
        <f>H303</f>
        <v>735.5</v>
      </c>
    </row>
    <row r="303" spans="1:8" ht="90" x14ac:dyDescent="0.35">
      <c r="A303" s="392"/>
      <c r="B303" s="403" t="s">
        <v>44</v>
      </c>
      <c r="C303" s="439" t="s">
        <v>219</v>
      </c>
      <c r="D303" s="440" t="s">
        <v>40</v>
      </c>
      <c r="E303" s="222" t="s">
        <v>47</v>
      </c>
      <c r="F303" s="223" t="s">
        <v>361</v>
      </c>
      <c r="G303" s="35" t="s">
        <v>45</v>
      </c>
      <c r="H303" s="236">
        <f>'прил9 (ведом 22)'!M224</f>
        <v>735.5</v>
      </c>
    </row>
    <row r="304" spans="1:8" ht="36" x14ac:dyDescent="0.35">
      <c r="A304" s="392"/>
      <c r="B304" s="234" t="s">
        <v>441</v>
      </c>
      <c r="C304" s="439" t="s">
        <v>219</v>
      </c>
      <c r="D304" s="440" t="s">
        <v>40</v>
      </c>
      <c r="E304" s="222" t="s">
        <v>60</v>
      </c>
      <c r="F304" s="223" t="s">
        <v>39</v>
      </c>
      <c r="G304" s="35"/>
      <c r="H304" s="236">
        <f>H305</f>
        <v>17.2</v>
      </c>
    </row>
    <row r="305" spans="1:8" ht="18" x14ac:dyDescent="0.35">
      <c r="A305" s="392"/>
      <c r="B305" s="234" t="s">
        <v>439</v>
      </c>
      <c r="C305" s="439" t="s">
        <v>219</v>
      </c>
      <c r="D305" s="440" t="s">
        <v>40</v>
      </c>
      <c r="E305" s="222" t="s">
        <v>60</v>
      </c>
      <c r="F305" s="223" t="s">
        <v>440</v>
      </c>
      <c r="G305" s="35"/>
      <c r="H305" s="236">
        <f>H306</f>
        <v>17.2</v>
      </c>
    </row>
    <row r="306" spans="1:8" ht="36" x14ac:dyDescent="0.35">
      <c r="A306" s="392"/>
      <c r="B306" s="234" t="s">
        <v>50</v>
      </c>
      <c r="C306" s="439" t="s">
        <v>219</v>
      </c>
      <c r="D306" s="440" t="s">
        <v>40</v>
      </c>
      <c r="E306" s="222" t="s">
        <v>60</v>
      </c>
      <c r="F306" s="223" t="s">
        <v>440</v>
      </c>
      <c r="G306" s="35" t="s">
        <v>51</v>
      </c>
      <c r="H306" s="236">
        <f>'прил9 (ведом 22)'!M233</f>
        <v>17.2</v>
      </c>
    </row>
    <row r="307" spans="1:8" ht="18" x14ac:dyDescent="0.35">
      <c r="A307" s="392"/>
      <c r="B307" s="403"/>
      <c r="C307" s="440"/>
      <c r="D307" s="440"/>
      <c r="E307" s="440"/>
      <c r="F307" s="441"/>
      <c r="G307" s="35"/>
      <c r="H307" s="236"/>
    </row>
    <row r="308" spans="1:8" s="402" customFormat="1" ht="52.2" x14ac:dyDescent="0.3">
      <c r="A308" s="398">
        <v>7</v>
      </c>
      <c r="B308" s="442" t="s">
        <v>220</v>
      </c>
      <c r="C308" s="443" t="s">
        <v>221</v>
      </c>
      <c r="D308" s="413" t="s">
        <v>37</v>
      </c>
      <c r="E308" s="413" t="s">
        <v>38</v>
      </c>
      <c r="F308" s="414" t="s">
        <v>39</v>
      </c>
      <c r="G308" s="444"/>
      <c r="H308" s="283">
        <f>H309+H318+H338</f>
        <v>45065.7</v>
      </c>
    </row>
    <row r="309" spans="1:8" ht="36" x14ac:dyDescent="0.35">
      <c r="A309" s="437"/>
      <c r="B309" s="450" t="s">
        <v>222</v>
      </c>
      <c r="C309" s="509" t="s">
        <v>221</v>
      </c>
      <c r="D309" s="454" t="s">
        <v>40</v>
      </c>
      <c r="E309" s="454" t="s">
        <v>38</v>
      </c>
      <c r="F309" s="455" t="s">
        <v>39</v>
      </c>
      <c r="G309" s="567"/>
      <c r="H309" s="236">
        <f>H310+H315</f>
        <v>6449.2999999999993</v>
      </c>
    </row>
    <row r="310" spans="1:8" ht="75" customHeight="1" x14ac:dyDescent="0.35">
      <c r="A310" s="437"/>
      <c r="B310" s="450" t="s">
        <v>286</v>
      </c>
      <c r="C310" s="472" t="s">
        <v>221</v>
      </c>
      <c r="D310" s="438" t="s">
        <v>40</v>
      </c>
      <c r="E310" s="438" t="s">
        <v>32</v>
      </c>
      <c r="F310" s="451" t="s">
        <v>39</v>
      </c>
      <c r="G310" s="452"/>
      <c r="H310" s="236">
        <f>H311+H313</f>
        <v>2629.7</v>
      </c>
    </row>
    <row r="311" spans="1:8" ht="33" customHeight="1" x14ac:dyDescent="0.35">
      <c r="A311" s="437"/>
      <c r="B311" s="450" t="s">
        <v>223</v>
      </c>
      <c r="C311" s="472" t="s">
        <v>221</v>
      </c>
      <c r="D311" s="438" t="s">
        <v>40</v>
      </c>
      <c r="E311" s="438" t="s">
        <v>32</v>
      </c>
      <c r="F311" s="451" t="s">
        <v>287</v>
      </c>
      <c r="G311" s="452"/>
      <c r="H311" s="236">
        <f>H312</f>
        <v>511</v>
      </c>
    </row>
    <row r="312" spans="1:8" ht="36" x14ac:dyDescent="0.35">
      <c r="A312" s="437"/>
      <c r="B312" s="403" t="s">
        <v>50</v>
      </c>
      <c r="C312" s="472" t="s">
        <v>221</v>
      </c>
      <c r="D312" s="438" t="s">
        <v>40</v>
      </c>
      <c r="E312" s="438" t="s">
        <v>32</v>
      </c>
      <c r="F312" s="451" t="s">
        <v>287</v>
      </c>
      <c r="G312" s="452" t="s">
        <v>51</v>
      </c>
      <c r="H312" s="236">
        <f>'прил9 (ведом 22)'!M268</f>
        <v>511</v>
      </c>
    </row>
    <row r="313" spans="1:8" ht="36" x14ac:dyDescent="0.35">
      <c r="A313" s="437"/>
      <c r="B313" s="457" t="s">
        <v>359</v>
      </c>
      <c r="C313" s="417" t="s">
        <v>221</v>
      </c>
      <c r="D313" s="438" t="s">
        <v>40</v>
      </c>
      <c r="E313" s="438" t="s">
        <v>32</v>
      </c>
      <c r="F313" s="451" t="s">
        <v>358</v>
      </c>
      <c r="G313" s="452"/>
      <c r="H313" s="236">
        <f>H314</f>
        <v>2118.6999999999998</v>
      </c>
    </row>
    <row r="314" spans="1:8" ht="36" x14ac:dyDescent="0.35">
      <c r="A314" s="437"/>
      <c r="B314" s="234" t="s">
        <v>50</v>
      </c>
      <c r="C314" s="417" t="s">
        <v>221</v>
      </c>
      <c r="D314" s="438" t="s">
        <v>40</v>
      </c>
      <c r="E314" s="438" t="s">
        <v>32</v>
      </c>
      <c r="F314" s="451" t="s">
        <v>358</v>
      </c>
      <c r="G314" s="452" t="s">
        <v>51</v>
      </c>
      <c r="H314" s="236">
        <f>'прил9 (ведом 22)'!M309</f>
        <v>2118.6999999999998</v>
      </c>
    </row>
    <row r="315" spans="1:8" ht="36" x14ac:dyDescent="0.35">
      <c r="A315" s="437"/>
      <c r="B315" s="403" t="s">
        <v>327</v>
      </c>
      <c r="C315" s="472" t="s">
        <v>221</v>
      </c>
      <c r="D315" s="438" t="s">
        <v>40</v>
      </c>
      <c r="E315" s="438" t="s">
        <v>34</v>
      </c>
      <c r="F315" s="451" t="s">
        <v>39</v>
      </c>
      <c r="G315" s="452"/>
      <c r="H315" s="236">
        <f>H316</f>
        <v>3819.5999999999995</v>
      </c>
    </row>
    <row r="316" spans="1:8" ht="36" x14ac:dyDescent="0.35">
      <c r="A316" s="437"/>
      <c r="B316" s="403" t="s">
        <v>326</v>
      </c>
      <c r="C316" s="472" t="s">
        <v>221</v>
      </c>
      <c r="D316" s="438" t="s">
        <v>40</v>
      </c>
      <c r="E316" s="438" t="s">
        <v>34</v>
      </c>
      <c r="F316" s="451" t="s">
        <v>325</v>
      </c>
      <c r="G316" s="452"/>
      <c r="H316" s="236">
        <f>SUM(H317:H317)</f>
        <v>3819.5999999999995</v>
      </c>
    </row>
    <row r="317" spans="1:8" ht="36" x14ac:dyDescent="0.35">
      <c r="A317" s="437"/>
      <c r="B317" s="403" t="s">
        <v>50</v>
      </c>
      <c r="C317" s="472" t="s">
        <v>221</v>
      </c>
      <c r="D317" s="438" t="s">
        <v>40</v>
      </c>
      <c r="E317" s="438" t="s">
        <v>34</v>
      </c>
      <c r="F317" s="451" t="s">
        <v>325</v>
      </c>
      <c r="G317" s="452" t="s">
        <v>51</v>
      </c>
      <c r="H317" s="236">
        <f>'прил9 (ведом 22)'!M271</f>
        <v>3819.5999999999995</v>
      </c>
    </row>
    <row r="318" spans="1:8" ht="36" x14ac:dyDescent="0.35">
      <c r="A318" s="437"/>
      <c r="B318" s="450" t="s">
        <v>224</v>
      </c>
      <c r="C318" s="417" t="s">
        <v>221</v>
      </c>
      <c r="D318" s="438" t="s">
        <v>84</v>
      </c>
      <c r="E318" s="438" t="s">
        <v>38</v>
      </c>
      <c r="F318" s="451" t="s">
        <v>39</v>
      </c>
      <c r="G318" s="452"/>
      <c r="H318" s="236">
        <f>H319+H332+H335</f>
        <v>24642.499999999996</v>
      </c>
    </row>
    <row r="319" spans="1:8" ht="72" x14ac:dyDescent="0.35">
      <c r="A319" s="437"/>
      <c r="B319" s="450" t="s">
        <v>290</v>
      </c>
      <c r="C319" s="417" t="s">
        <v>221</v>
      </c>
      <c r="D319" s="438" t="s">
        <v>84</v>
      </c>
      <c r="E319" s="438" t="s">
        <v>32</v>
      </c>
      <c r="F319" s="451" t="s">
        <v>39</v>
      </c>
      <c r="G319" s="452"/>
      <c r="H319" s="236">
        <f>H320+H324+H328+H330</f>
        <v>23958.6</v>
      </c>
    </row>
    <row r="320" spans="1:8" ht="36" x14ac:dyDescent="0.35">
      <c r="A320" s="437"/>
      <c r="B320" s="450" t="s">
        <v>42</v>
      </c>
      <c r="C320" s="453" t="s">
        <v>221</v>
      </c>
      <c r="D320" s="454" t="s">
        <v>84</v>
      </c>
      <c r="E320" s="454" t="s">
        <v>32</v>
      </c>
      <c r="F320" s="455" t="s">
        <v>43</v>
      </c>
      <c r="G320" s="452"/>
      <c r="H320" s="236">
        <f>SUM(H321:H323)</f>
        <v>15075.9</v>
      </c>
    </row>
    <row r="321" spans="1:8" ht="90" x14ac:dyDescent="0.35">
      <c r="A321" s="437"/>
      <c r="B321" s="450" t="s">
        <v>44</v>
      </c>
      <c r="C321" s="417" t="s">
        <v>221</v>
      </c>
      <c r="D321" s="438" t="s">
        <v>84</v>
      </c>
      <c r="E321" s="438" t="s">
        <v>32</v>
      </c>
      <c r="F321" s="451" t="s">
        <v>43</v>
      </c>
      <c r="G321" s="452" t="s">
        <v>45</v>
      </c>
      <c r="H321" s="236">
        <f>'прил9 (ведом 22)'!M275</f>
        <v>14720.199999999999</v>
      </c>
    </row>
    <row r="322" spans="1:8" ht="36" x14ac:dyDescent="0.35">
      <c r="A322" s="437"/>
      <c r="B322" s="403" t="s">
        <v>50</v>
      </c>
      <c r="C322" s="417" t="s">
        <v>221</v>
      </c>
      <c r="D322" s="438" t="s">
        <v>84</v>
      </c>
      <c r="E322" s="438" t="s">
        <v>32</v>
      </c>
      <c r="F322" s="451" t="s">
        <v>43</v>
      </c>
      <c r="G322" s="452" t="s">
        <v>51</v>
      </c>
      <c r="H322" s="236">
        <f>'прил9 (ведом 22)'!M276</f>
        <v>354.5</v>
      </c>
    </row>
    <row r="323" spans="1:8" ht="18" x14ac:dyDescent="0.35">
      <c r="A323" s="437"/>
      <c r="B323" s="450" t="s">
        <v>52</v>
      </c>
      <c r="C323" s="417" t="s">
        <v>221</v>
      </c>
      <c r="D323" s="438" t="s">
        <v>84</v>
      </c>
      <c r="E323" s="438" t="s">
        <v>32</v>
      </c>
      <c r="F323" s="451" t="s">
        <v>43</v>
      </c>
      <c r="G323" s="452" t="s">
        <v>53</v>
      </c>
      <c r="H323" s="236">
        <f>'прил9 (ведом 22)'!M277</f>
        <v>1.2</v>
      </c>
    </row>
    <row r="324" spans="1:8" ht="36" x14ac:dyDescent="0.35">
      <c r="A324" s="437"/>
      <c r="B324" s="403" t="s">
        <v>437</v>
      </c>
      <c r="C324" s="417" t="s">
        <v>221</v>
      </c>
      <c r="D324" s="438" t="s">
        <v>84</v>
      </c>
      <c r="E324" s="438" t="s">
        <v>32</v>
      </c>
      <c r="F324" s="451" t="s">
        <v>86</v>
      </c>
      <c r="G324" s="452"/>
      <c r="H324" s="236">
        <f>SUM(H325:H327)</f>
        <v>8803.6999999999971</v>
      </c>
    </row>
    <row r="325" spans="1:8" ht="90" x14ac:dyDescent="0.35">
      <c r="A325" s="437"/>
      <c r="B325" s="450" t="s">
        <v>44</v>
      </c>
      <c r="C325" s="417" t="s">
        <v>221</v>
      </c>
      <c r="D325" s="438" t="s">
        <v>84</v>
      </c>
      <c r="E325" s="438" t="s">
        <v>32</v>
      </c>
      <c r="F325" s="451" t="s">
        <v>86</v>
      </c>
      <c r="G325" s="452" t="s">
        <v>45</v>
      </c>
      <c r="H325" s="236">
        <f>'прил9 (ведом 22)'!M279</f>
        <v>8465.0999999999985</v>
      </c>
    </row>
    <row r="326" spans="1:8" ht="36" x14ac:dyDescent="0.35">
      <c r="A326" s="437"/>
      <c r="B326" s="403" t="s">
        <v>50</v>
      </c>
      <c r="C326" s="453" t="s">
        <v>221</v>
      </c>
      <c r="D326" s="454" t="s">
        <v>84</v>
      </c>
      <c r="E326" s="454" t="s">
        <v>32</v>
      </c>
      <c r="F326" s="455" t="s">
        <v>86</v>
      </c>
      <c r="G326" s="452" t="s">
        <v>51</v>
      </c>
      <c r="H326" s="236">
        <f>'прил9 (ведом 22)'!M280</f>
        <v>318.3</v>
      </c>
    </row>
    <row r="327" spans="1:8" ht="18" x14ac:dyDescent="0.35">
      <c r="A327" s="437"/>
      <c r="B327" s="450" t="s">
        <v>52</v>
      </c>
      <c r="C327" s="417" t="s">
        <v>221</v>
      </c>
      <c r="D327" s="438" t="s">
        <v>84</v>
      </c>
      <c r="E327" s="438" t="s">
        <v>32</v>
      </c>
      <c r="F327" s="451" t="s">
        <v>86</v>
      </c>
      <c r="G327" s="452" t="s">
        <v>53</v>
      </c>
      <c r="H327" s="236">
        <f>'прил9 (ведом 22)'!M281</f>
        <v>20.3</v>
      </c>
    </row>
    <row r="328" spans="1:8" ht="36" x14ac:dyDescent="0.35">
      <c r="A328" s="437"/>
      <c r="B328" s="24" t="s">
        <v>525</v>
      </c>
      <c r="C328" s="95" t="s">
        <v>221</v>
      </c>
      <c r="D328" s="83" t="s">
        <v>84</v>
      </c>
      <c r="E328" s="83" t="s">
        <v>32</v>
      </c>
      <c r="F328" s="84" t="s">
        <v>524</v>
      </c>
      <c r="G328" s="85"/>
      <c r="H328" s="236">
        <f>H329</f>
        <v>10</v>
      </c>
    </row>
    <row r="329" spans="1:8" ht="36" x14ac:dyDescent="0.35">
      <c r="A329" s="437"/>
      <c r="B329" s="24" t="s">
        <v>50</v>
      </c>
      <c r="C329" s="95" t="s">
        <v>221</v>
      </c>
      <c r="D329" s="83" t="s">
        <v>84</v>
      </c>
      <c r="E329" s="83" t="s">
        <v>32</v>
      </c>
      <c r="F329" s="84" t="s">
        <v>524</v>
      </c>
      <c r="G329" s="85" t="s">
        <v>51</v>
      </c>
      <c r="H329" s="236">
        <f>'прил9 (ведом 22)'!M339</f>
        <v>10</v>
      </c>
    </row>
    <row r="330" spans="1:8" ht="54" x14ac:dyDescent="0.35">
      <c r="A330" s="437"/>
      <c r="B330" s="234" t="s">
        <v>343</v>
      </c>
      <c r="C330" s="417" t="s">
        <v>221</v>
      </c>
      <c r="D330" s="438" t="s">
        <v>84</v>
      </c>
      <c r="E330" s="438" t="s">
        <v>32</v>
      </c>
      <c r="F330" s="451" t="s">
        <v>342</v>
      </c>
      <c r="G330" s="452"/>
      <c r="H330" s="236">
        <f>H331</f>
        <v>69</v>
      </c>
    </row>
    <row r="331" spans="1:8" ht="36" x14ac:dyDescent="0.35">
      <c r="A331" s="437"/>
      <c r="B331" s="234" t="s">
        <v>50</v>
      </c>
      <c r="C331" s="417" t="s">
        <v>221</v>
      </c>
      <c r="D331" s="438" t="s">
        <v>84</v>
      </c>
      <c r="E331" s="438" t="s">
        <v>32</v>
      </c>
      <c r="F331" s="451" t="s">
        <v>342</v>
      </c>
      <c r="G331" s="452" t="s">
        <v>51</v>
      </c>
      <c r="H331" s="236">
        <f>'прил9 (ведом 22)'!M283</f>
        <v>69</v>
      </c>
    </row>
    <row r="332" spans="1:8" ht="36" x14ac:dyDescent="0.35">
      <c r="A332" s="437"/>
      <c r="B332" s="510" t="s">
        <v>340</v>
      </c>
      <c r="C332" s="511" t="s">
        <v>221</v>
      </c>
      <c r="D332" s="512" t="s">
        <v>84</v>
      </c>
      <c r="E332" s="512" t="s">
        <v>34</v>
      </c>
      <c r="F332" s="513" t="s">
        <v>39</v>
      </c>
      <c r="G332" s="462"/>
      <c r="H332" s="514">
        <f>H333</f>
        <v>669.1</v>
      </c>
    </row>
    <row r="333" spans="1:8" ht="54" x14ac:dyDescent="0.35">
      <c r="A333" s="437"/>
      <c r="B333" s="515" t="s">
        <v>341</v>
      </c>
      <c r="C333" s="456" t="s">
        <v>221</v>
      </c>
      <c r="D333" s="460" t="s">
        <v>84</v>
      </c>
      <c r="E333" s="460" t="s">
        <v>34</v>
      </c>
      <c r="F333" s="461" t="s">
        <v>100</v>
      </c>
      <c r="G333" s="465"/>
      <c r="H333" s="236">
        <f>H334</f>
        <v>669.1</v>
      </c>
    </row>
    <row r="334" spans="1:8" ht="36" x14ac:dyDescent="0.35">
      <c r="A334" s="437"/>
      <c r="B334" s="516" t="s">
        <v>50</v>
      </c>
      <c r="C334" s="517" t="s">
        <v>221</v>
      </c>
      <c r="D334" s="460" t="s">
        <v>84</v>
      </c>
      <c r="E334" s="460" t="s">
        <v>34</v>
      </c>
      <c r="F334" s="461" t="s">
        <v>100</v>
      </c>
      <c r="G334" s="465" t="s">
        <v>51</v>
      </c>
      <c r="H334" s="236">
        <f>'прил9 (ведом 22)'!M286</f>
        <v>669.1</v>
      </c>
    </row>
    <row r="335" spans="1:8" ht="27" customHeight="1" x14ac:dyDescent="0.35">
      <c r="A335" s="437"/>
      <c r="B335" s="450" t="s">
        <v>363</v>
      </c>
      <c r="C335" s="471" t="s">
        <v>221</v>
      </c>
      <c r="D335" s="467" t="s">
        <v>84</v>
      </c>
      <c r="E335" s="518" t="s">
        <v>58</v>
      </c>
      <c r="F335" s="519" t="s">
        <v>39</v>
      </c>
      <c r="G335" s="520"/>
      <c r="H335" s="236">
        <f>H336</f>
        <v>14.8</v>
      </c>
    </row>
    <row r="336" spans="1:8" ht="36" x14ac:dyDescent="0.35">
      <c r="A336" s="437"/>
      <c r="B336" s="450" t="s">
        <v>326</v>
      </c>
      <c r="C336" s="471" t="s">
        <v>221</v>
      </c>
      <c r="D336" s="467" t="s">
        <v>84</v>
      </c>
      <c r="E336" s="521" t="s">
        <v>58</v>
      </c>
      <c r="F336" s="522" t="s">
        <v>325</v>
      </c>
      <c r="G336" s="520"/>
      <c r="H336" s="236">
        <f>H337</f>
        <v>14.8</v>
      </c>
    </row>
    <row r="337" spans="1:8" ht="18" x14ac:dyDescent="0.35">
      <c r="A337" s="437"/>
      <c r="B337" s="457" t="s">
        <v>52</v>
      </c>
      <c r="C337" s="417" t="s">
        <v>221</v>
      </c>
      <c r="D337" s="518" t="s">
        <v>84</v>
      </c>
      <c r="E337" s="518" t="s">
        <v>58</v>
      </c>
      <c r="F337" s="519" t="s">
        <v>325</v>
      </c>
      <c r="G337" s="520" t="s">
        <v>53</v>
      </c>
      <c r="H337" s="236">
        <f>'прил9 (ведом 22)'!M289</f>
        <v>14.8</v>
      </c>
    </row>
    <row r="338" spans="1:8" ht="18" x14ac:dyDescent="0.35">
      <c r="A338" s="437"/>
      <c r="B338" s="523" t="s">
        <v>328</v>
      </c>
      <c r="C338" s="456" t="s">
        <v>221</v>
      </c>
      <c r="D338" s="460" t="s">
        <v>25</v>
      </c>
      <c r="E338" s="460" t="s">
        <v>38</v>
      </c>
      <c r="F338" s="461" t="s">
        <v>39</v>
      </c>
      <c r="G338" s="520"/>
      <c r="H338" s="236">
        <f>H339+H342</f>
        <v>13973.9</v>
      </c>
    </row>
    <row r="339" spans="1:8" ht="18" x14ac:dyDescent="0.35">
      <c r="A339" s="437"/>
      <c r="B339" s="523" t="s">
        <v>517</v>
      </c>
      <c r="C339" s="456" t="s">
        <v>221</v>
      </c>
      <c r="D339" s="460" t="s">
        <v>25</v>
      </c>
      <c r="E339" s="460" t="s">
        <v>47</v>
      </c>
      <c r="F339" s="461" t="s">
        <v>39</v>
      </c>
      <c r="G339" s="465"/>
      <c r="H339" s="236">
        <f>H340</f>
        <v>13927</v>
      </c>
    </row>
    <row r="340" spans="1:8" ht="36" x14ac:dyDescent="0.35">
      <c r="A340" s="437"/>
      <c r="B340" s="523" t="s">
        <v>518</v>
      </c>
      <c r="C340" s="456" t="s">
        <v>221</v>
      </c>
      <c r="D340" s="460" t="s">
        <v>25</v>
      </c>
      <c r="E340" s="460" t="s">
        <v>47</v>
      </c>
      <c r="F340" s="461" t="s">
        <v>516</v>
      </c>
      <c r="G340" s="465"/>
      <c r="H340" s="236">
        <f>H341</f>
        <v>13927</v>
      </c>
    </row>
    <row r="341" spans="1:8" ht="18" x14ac:dyDescent="0.35">
      <c r="A341" s="437"/>
      <c r="B341" s="424" t="s">
        <v>52</v>
      </c>
      <c r="C341" s="456" t="s">
        <v>221</v>
      </c>
      <c r="D341" s="460" t="s">
        <v>25</v>
      </c>
      <c r="E341" s="460" t="s">
        <v>47</v>
      </c>
      <c r="F341" s="461" t="s">
        <v>516</v>
      </c>
      <c r="G341" s="465" t="s">
        <v>53</v>
      </c>
      <c r="H341" s="236">
        <f>'прил9 (ведом 22)'!M293</f>
        <v>13927</v>
      </c>
    </row>
    <row r="342" spans="1:8" ht="18" x14ac:dyDescent="0.35">
      <c r="A342" s="437"/>
      <c r="B342" s="143" t="s">
        <v>363</v>
      </c>
      <c r="C342" s="95" t="s">
        <v>221</v>
      </c>
      <c r="D342" s="96" t="s">
        <v>25</v>
      </c>
      <c r="E342" s="96" t="s">
        <v>221</v>
      </c>
      <c r="F342" s="97" t="s">
        <v>39</v>
      </c>
      <c r="G342" s="563"/>
      <c r="H342" s="236">
        <f>H343</f>
        <v>46.9</v>
      </c>
    </row>
    <row r="343" spans="1:8" ht="36" x14ac:dyDescent="0.35">
      <c r="A343" s="437"/>
      <c r="B343" s="187" t="s">
        <v>326</v>
      </c>
      <c r="C343" s="95" t="s">
        <v>221</v>
      </c>
      <c r="D343" s="96" t="s">
        <v>25</v>
      </c>
      <c r="E343" s="96" t="s">
        <v>221</v>
      </c>
      <c r="F343" s="97" t="s">
        <v>325</v>
      </c>
      <c r="G343" s="563"/>
      <c r="H343" s="236">
        <f>H344</f>
        <v>46.9</v>
      </c>
    </row>
    <row r="344" spans="1:8" ht="36" x14ac:dyDescent="0.35">
      <c r="A344" s="437"/>
      <c r="B344" s="102" t="s">
        <v>50</v>
      </c>
      <c r="C344" s="95" t="s">
        <v>221</v>
      </c>
      <c r="D344" s="96" t="s">
        <v>25</v>
      </c>
      <c r="E344" s="96" t="s">
        <v>221</v>
      </c>
      <c r="F344" s="97" t="s">
        <v>325</v>
      </c>
      <c r="G344" s="563" t="s">
        <v>51</v>
      </c>
      <c r="H344" s="236">
        <f>'прил9 (ведом 22)'!M296</f>
        <v>46.9</v>
      </c>
    </row>
    <row r="345" spans="1:8" ht="18" x14ac:dyDescent="0.35">
      <c r="A345" s="437"/>
      <c r="B345" s="411"/>
      <c r="C345" s="438"/>
      <c r="D345" s="565"/>
      <c r="E345" s="565"/>
      <c r="F345" s="566"/>
      <c r="G345" s="258"/>
      <c r="H345" s="236"/>
    </row>
    <row r="346" spans="1:8" s="402" customFormat="1" ht="52.2" x14ac:dyDescent="0.3">
      <c r="A346" s="412">
        <v>8</v>
      </c>
      <c r="B346" s="442" t="s">
        <v>284</v>
      </c>
      <c r="C346" s="413" t="s">
        <v>74</v>
      </c>
      <c r="D346" s="413" t="s">
        <v>37</v>
      </c>
      <c r="E346" s="413" t="s">
        <v>38</v>
      </c>
      <c r="F346" s="414" t="s">
        <v>39</v>
      </c>
      <c r="G346" s="401"/>
      <c r="H346" s="283">
        <f>H347</f>
        <v>123077.3</v>
      </c>
    </row>
    <row r="347" spans="1:8" ht="24.75" customHeight="1" x14ac:dyDescent="0.35">
      <c r="A347" s="392"/>
      <c r="B347" s="403" t="s">
        <v>328</v>
      </c>
      <c r="C347" s="472" t="s">
        <v>74</v>
      </c>
      <c r="D347" s="438" t="s">
        <v>40</v>
      </c>
      <c r="E347" s="438" t="s">
        <v>38</v>
      </c>
      <c r="F347" s="223" t="s">
        <v>39</v>
      </c>
      <c r="G347" s="258"/>
      <c r="H347" s="236">
        <f>H348+H361+H366+H376</f>
        <v>123077.3</v>
      </c>
    </row>
    <row r="348" spans="1:8" ht="36" x14ac:dyDescent="0.35">
      <c r="A348" s="392"/>
      <c r="B348" s="403" t="s">
        <v>273</v>
      </c>
      <c r="C348" s="221" t="s">
        <v>74</v>
      </c>
      <c r="D348" s="222" t="s">
        <v>40</v>
      </c>
      <c r="E348" s="222" t="s">
        <v>32</v>
      </c>
      <c r="F348" s="223" t="s">
        <v>39</v>
      </c>
      <c r="G348" s="258"/>
      <c r="H348" s="236">
        <f>H349+H352+H355+H358</f>
        <v>65283.799999999996</v>
      </c>
    </row>
    <row r="349" spans="1:8" ht="126" x14ac:dyDescent="0.35">
      <c r="A349" s="392"/>
      <c r="B349" s="546" t="s">
        <v>346</v>
      </c>
      <c r="C349" s="221" t="s">
        <v>74</v>
      </c>
      <c r="D349" s="222" t="s">
        <v>40</v>
      </c>
      <c r="E349" s="222" t="s">
        <v>32</v>
      </c>
      <c r="F349" s="223" t="s">
        <v>533</v>
      </c>
      <c r="G349" s="35"/>
      <c r="H349" s="236">
        <f>SUM(H350:H351)</f>
        <v>35369.600000000006</v>
      </c>
    </row>
    <row r="350" spans="1:8" ht="36" x14ac:dyDescent="0.35">
      <c r="A350" s="392"/>
      <c r="B350" s="547" t="s">
        <v>50</v>
      </c>
      <c r="C350" s="221" t="s">
        <v>74</v>
      </c>
      <c r="D350" s="222" t="s">
        <v>40</v>
      </c>
      <c r="E350" s="222" t="s">
        <v>32</v>
      </c>
      <c r="F350" s="223" t="s">
        <v>533</v>
      </c>
      <c r="G350" s="35" t="s">
        <v>51</v>
      </c>
      <c r="H350" s="236">
        <f>'прил9 (ведом 22)'!M685</f>
        <v>176.8</v>
      </c>
    </row>
    <row r="351" spans="1:8" ht="18" x14ac:dyDescent="0.35">
      <c r="A351" s="392"/>
      <c r="B351" s="403" t="s">
        <v>115</v>
      </c>
      <c r="C351" s="221" t="s">
        <v>74</v>
      </c>
      <c r="D351" s="222" t="s">
        <v>40</v>
      </c>
      <c r="E351" s="222" t="s">
        <v>32</v>
      </c>
      <c r="F351" s="223" t="s">
        <v>533</v>
      </c>
      <c r="G351" s="35" t="s">
        <v>116</v>
      </c>
      <c r="H351" s="236">
        <f>'прил9 (ведом 22)'!M686</f>
        <v>35192.800000000003</v>
      </c>
    </row>
    <row r="352" spans="1:8" ht="90" x14ac:dyDescent="0.35">
      <c r="A352" s="392"/>
      <c r="B352" s="403" t="s">
        <v>348</v>
      </c>
      <c r="C352" s="221" t="s">
        <v>74</v>
      </c>
      <c r="D352" s="222" t="s">
        <v>40</v>
      </c>
      <c r="E352" s="222" t="s">
        <v>32</v>
      </c>
      <c r="F352" s="223" t="s">
        <v>535</v>
      </c>
      <c r="G352" s="35"/>
      <c r="H352" s="236">
        <f>SUM(H353:H354)</f>
        <v>1437.7</v>
      </c>
    </row>
    <row r="353" spans="1:8" ht="36" x14ac:dyDescent="0.35">
      <c r="A353" s="392"/>
      <c r="B353" s="403" t="s">
        <v>50</v>
      </c>
      <c r="C353" s="221" t="s">
        <v>74</v>
      </c>
      <c r="D353" s="222" t="s">
        <v>40</v>
      </c>
      <c r="E353" s="222" t="s">
        <v>32</v>
      </c>
      <c r="F353" s="223" t="s">
        <v>535</v>
      </c>
      <c r="G353" s="35" t="s">
        <v>51</v>
      </c>
      <c r="H353" s="236">
        <f>'прил9 (ведом 22)'!M688</f>
        <v>7.2</v>
      </c>
    </row>
    <row r="354" spans="1:8" ht="18" x14ac:dyDescent="0.35">
      <c r="A354" s="392"/>
      <c r="B354" s="403" t="s">
        <v>115</v>
      </c>
      <c r="C354" s="221" t="s">
        <v>74</v>
      </c>
      <c r="D354" s="222" t="s">
        <v>40</v>
      </c>
      <c r="E354" s="222" t="s">
        <v>32</v>
      </c>
      <c r="F354" s="223" t="s">
        <v>535</v>
      </c>
      <c r="G354" s="35" t="s">
        <v>116</v>
      </c>
      <c r="H354" s="236">
        <f>'прил9 (ведом 22)'!M689</f>
        <v>1430.5</v>
      </c>
    </row>
    <row r="355" spans="1:8" ht="90" x14ac:dyDescent="0.35">
      <c r="A355" s="392"/>
      <c r="B355" s="403" t="s">
        <v>347</v>
      </c>
      <c r="C355" s="221" t="s">
        <v>74</v>
      </c>
      <c r="D355" s="222" t="s">
        <v>40</v>
      </c>
      <c r="E355" s="222" t="s">
        <v>32</v>
      </c>
      <c r="F355" s="223" t="s">
        <v>534</v>
      </c>
      <c r="G355" s="35"/>
      <c r="H355" s="236">
        <f>SUM(H356:H357)</f>
        <v>26725.899999999998</v>
      </c>
    </row>
    <row r="356" spans="1:8" ht="36" x14ac:dyDescent="0.35">
      <c r="A356" s="392"/>
      <c r="B356" s="547" t="s">
        <v>50</v>
      </c>
      <c r="C356" s="221" t="s">
        <v>74</v>
      </c>
      <c r="D356" s="222" t="s">
        <v>40</v>
      </c>
      <c r="E356" s="222" t="s">
        <v>32</v>
      </c>
      <c r="F356" s="223" t="s">
        <v>534</v>
      </c>
      <c r="G356" s="35" t="s">
        <v>51</v>
      </c>
      <c r="H356" s="236">
        <f>'прил9 (ведом 22)'!M691</f>
        <v>133.6</v>
      </c>
    </row>
    <row r="357" spans="1:8" ht="18" x14ac:dyDescent="0.35">
      <c r="A357" s="392"/>
      <c r="B357" s="403" t="s">
        <v>115</v>
      </c>
      <c r="C357" s="221" t="s">
        <v>74</v>
      </c>
      <c r="D357" s="222" t="s">
        <v>40</v>
      </c>
      <c r="E357" s="222" t="s">
        <v>32</v>
      </c>
      <c r="F357" s="223" t="s">
        <v>534</v>
      </c>
      <c r="G357" s="35" t="s">
        <v>116</v>
      </c>
      <c r="H357" s="236">
        <f>'прил9 (ведом 22)'!M692</f>
        <v>26592.3</v>
      </c>
    </row>
    <row r="358" spans="1:8" ht="108" x14ac:dyDescent="0.35">
      <c r="A358" s="392"/>
      <c r="B358" s="403" t="s">
        <v>354</v>
      </c>
      <c r="C358" s="221" t="s">
        <v>74</v>
      </c>
      <c r="D358" s="222" t="s">
        <v>40</v>
      </c>
      <c r="E358" s="222" t="s">
        <v>32</v>
      </c>
      <c r="F358" s="223" t="s">
        <v>536</v>
      </c>
      <c r="G358" s="35"/>
      <c r="H358" s="236">
        <f>SUM(H359:H360)</f>
        <v>1750.6</v>
      </c>
    </row>
    <row r="359" spans="1:8" ht="36" x14ac:dyDescent="0.35">
      <c r="A359" s="392"/>
      <c r="B359" s="403" t="s">
        <v>50</v>
      </c>
      <c r="C359" s="221" t="s">
        <v>74</v>
      </c>
      <c r="D359" s="222" t="s">
        <v>40</v>
      </c>
      <c r="E359" s="222" t="s">
        <v>32</v>
      </c>
      <c r="F359" s="223" t="s">
        <v>536</v>
      </c>
      <c r="G359" s="35" t="s">
        <v>51</v>
      </c>
      <c r="H359" s="236">
        <f>'прил9 (ведом 22)'!M694</f>
        <v>8.6</v>
      </c>
    </row>
    <row r="360" spans="1:8" ht="17.25" customHeight="1" x14ac:dyDescent="0.35">
      <c r="A360" s="392"/>
      <c r="B360" s="403" t="s">
        <v>115</v>
      </c>
      <c r="C360" s="221" t="s">
        <v>74</v>
      </c>
      <c r="D360" s="222" t="s">
        <v>40</v>
      </c>
      <c r="E360" s="222" t="s">
        <v>32</v>
      </c>
      <c r="F360" s="223" t="s">
        <v>536</v>
      </c>
      <c r="G360" s="35" t="s">
        <v>116</v>
      </c>
      <c r="H360" s="236">
        <f>'прил9 (ведом 22)'!M695</f>
        <v>1742</v>
      </c>
    </row>
    <row r="361" spans="1:8" ht="72" x14ac:dyDescent="0.35">
      <c r="A361" s="392"/>
      <c r="B361" s="448" t="s">
        <v>289</v>
      </c>
      <c r="C361" s="474" t="s">
        <v>74</v>
      </c>
      <c r="D361" s="475" t="s">
        <v>40</v>
      </c>
      <c r="E361" s="475" t="s">
        <v>34</v>
      </c>
      <c r="F361" s="476" t="s">
        <v>39</v>
      </c>
      <c r="G361" s="477"/>
      <c r="H361" s="236">
        <f>H362+H364</f>
        <v>48897.8</v>
      </c>
    </row>
    <row r="362" spans="1:8" ht="90" x14ac:dyDescent="0.35">
      <c r="A362" s="392"/>
      <c r="B362" s="424" t="s">
        <v>405</v>
      </c>
      <c r="C362" s="524" t="s">
        <v>74</v>
      </c>
      <c r="D362" s="525" t="s">
        <v>40</v>
      </c>
      <c r="E362" s="525" t="s">
        <v>34</v>
      </c>
      <c r="F362" s="526" t="s">
        <v>406</v>
      </c>
      <c r="G362" s="527"/>
      <c r="H362" s="236">
        <f>H363</f>
        <v>40756</v>
      </c>
    </row>
    <row r="363" spans="1:8" ht="36" x14ac:dyDescent="0.35">
      <c r="A363" s="392"/>
      <c r="B363" s="424" t="s">
        <v>198</v>
      </c>
      <c r="C363" s="404" t="s">
        <v>74</v>
      </c>
      <c r="D363" s="405" t="s">
        <v>40</v>
      </c>
      <c r="E363" s="405" t="s">
        <v>34</v>
      </c>
      <c r="F363" s="406" t="s">
        <v>406</v>
      </c>
      <c r="G363" s="407" t="s">
        <v>199</v>
      </c>
      <c r="H363" s="236">
        <f>'прил9 (ведом 22)'!M346</f>
        <v>40756</v>
      </c>
    </row>
    <row r="364" spans="1:8" ht="90" x14ac:dyDescent="0.35">
      <c r="A364" s="392"/>
      <c r="B364" s="107" t="s">
        <v>405</v>
      </c>
      <c r="C364" s="82" t="s">
        <v>74</v>
      </c>
      <c r="D364" s="83" t="s">
        <v>40</v>
      </c>
      <c r="E364" s="83" t="s">
        <v>34</v>
      </c>
      <c r="F364" s="108" t="s">
        <v>544</v>
      </c>
      <c r="G364" s="85"/>
      <c r="H364" s="236">
        <f>H365</f>
        <v>8141.8</v>
      </c>
    </row>
    <row r="365" spans="1:8" ht="36" x14ac:dyDescent="0.35">
      <c r="A365" s="392"/>
      <c r="B365" s="107" t="s">
        <v>198</v>
      </c>
      <c r="C365" s="82" t="s">
        <v>74</v>
      </c>
      <c r="D365" s="83" t="s">
        <v>40</v>
      </c>
      <c r="E365" s="83" t="s">
        <v>34</v>
      </c>
      <c r="F365" s="108" t="s">
        <v>544</v>
      </c>
      <c r="G365" s="85" t="s">
        <v>199</v>
      </c>
      <c r="H365" s="236">
        <f>'прил9 (ведом 22)'!M348</f>
        <v>8141.8</v>
      </c>
    </row>
    <row r="366" spans="1:8" ht="36" x14ac:dyDescent="0.35">
      <c r="A366" s="392"/>
      <c r="B366" s="403" t="s">
        <v>224</v>
      </c>
      <c r="C366" s="221" t="s">
        <v>74</v>
      </c>
      <c r="D366" s="222" t="s">
        <v>40</v>
      </c>
      <c r="E366" s="222" t="s">
        <v>58</v>
      </c>
      <c r="F366" s="223" t="s">
        <v>39</v>
      </c>
      <c r="G366" s="35"/>
      <c r="H366" s="236">
        <f>H367+H370+H373</f>
        <v>7695.7</v>
      </c>
    </row>
    <row r="367" spans="1:8" ht="234" x14ac:dyDescent="0.35">
      <c r="A367" s="392"/>
      <c r="B367" s="403" t="s">
        <v>227</v>
      </c>
      <c r="C367" s="221" t="s">
        <v>74</v>
      </c>
      <c r="D367" s="222" t="s">
        <v>40</v>
      </c>
      <c r="E367" s="222" t="s">
        <v>58</v>
      </c>
      <c r="F367" s="223" t="s">
        <v>537</v>
      </c>
      <c r="G367" s="35"/>
      <c r="H367" s="236">
        <f>SUM(H368:H369)</f>
        <v>884.4</v>
      </c>
    </row>
    <row r="368" spans="1:8" ht="90" x14ac:dyDescent="0.35">
      <c r="A368" s="392"/>
      <c r="B368" s="403" t="s">
        <v>44</v>
      </c>
      <c r="C368" s="221" t="s">
        <v>74</v>
      </c>
      <c r="D368" s="222" t="s">
        <v>40</v>
      </c>
      <c r="E368" s="222" t="s">
        <v>58</v>
      </c>
      <c r="F368" s="223" t="s">
        <v>537</v>
      </c>
      <c r="G368" s="35" t="s">
        <v>45</v>
      </c>
      <c r="H368" s="236">
        <f>'прил9 (ведом 22)'!M701</f>
        <v>824.4</v>
      </c>
    </row>
    <row r="369" spans="1:8" ht="36" x14ac:dyDescent="0.35">
      <c r="A369" s="392"/>
      <c r="B369" s="403" t="s">
        <v>50</v>
      </c>
      <c r="C369" s="221" t="s">
        <v>74</v>
      </c>
      <c r="D369" s="222" t="s">
        <v>40</v>
      </c>
      <c r="E369" s="222" t="s">
        <v>58</v>
      </c>
      <c r="F369" s="223" t="s">
        <v>537</v>
      </c>
      <c r="G369" s="35" t="s">
        <v>51</v>
      </c>
      <c r="H369" s="236">
        <f>'прил9 (ведом 22)'!M702</f>
        <v>60</v>
      </c>
    </row>
    <row r="370" spans="1:8" ht="90" x14ac:dyDescent="0.35">
      <c r="A370" s="392"/>
      <c r="B370" s="59" t="s">
        <v>434</v>
      </c>
      <c r="C370" s="221" t="s">
        <v>74</v>
      </c>
      <c r="D370" s="222" t="s">
        <v>40</v>
      </c>
      <c r="E370" s="222" t="s">
        <v>58</v>
      </c>
      <c r="F370" s="223" t="s">
        <v>531</v>
      </c>
      <c r="G370" s="35"/>
      <c r="H370" s="236">
        <f>SUM(H371:H372)</f>
        <v>645.4</v>
      </c>
    </row>
    <row r="371" spans="1:8" ht="90" x14ac:dyDescent="0.35">
      <c r="A371" s="392"/>
      <c r="B371" s="403" t="s">
        <v>44</v>
      </c>
      <c r="C371" s="221" t="s">
        <v>74</v>
      </c>
      <c r="D371" s="222" t="s">
        <v>40</v>
      </c>
      <c r="E371" s="222" t="s">
        <v>58</v>
      </c>
      <c r="F371" s="223" t="s">
        <v>531</v>
      </c>
      <c r="G371" s="35" t="s">
        <v>45</v>
      </c>
      <c r="H371" s="236">
        <f>'прил9 (ведом 22)'!M704</f>
        <v>615.4</v>
      </c>
    </row>
    <row r="372" spans="1:8" ht="36" x14ac:dyDescent="0.35">
      <c r="A372" s="392"/>
      <c r="B372" s="403" t="s">
        <v>50</v>
      </c>
      <c r="C372" s="221" t="s">
        <v>74</v>
      </c>
      <c r="D372" s="222" t="s">
        <v>40</v>
      </c>
      <c r="E372" s="222" t="s">
        <v>58</v>
      </c>
      <c r="F372" s="223" t="s">
        <v>531</v>
      </c>
      <c r="G372" s="35" t="s">
        <v>51</v>
      </c>
      <c r="H372" s="236">
        <f>'прил9 (ведом 22)'!M705</f>
        <v>30</v>
      </c>
    </row>
    <row r="373" spans="1:8" ht="72" x14ac:dyDescent="0.35">
      <c r="A373" s="392"/>
      <c r="B373" s="403" t="s">
        <v>226</v>
      </c>
      <c r="C373" s="221" t="s">
        <v>74</v>
      </c>
      <c r="D373" s="222" t="s">
        <v>40</v>
      </c>
      <c r="E373" s="222" t="s">
        <v>58</v>
      </c>
      <c r="F373" s="223" t="s">
        <v>532</v>
      </c>
      <c r="G373" s="35"/>
      <c r="H373" s="236">
        <f>H374+H375</f>
        <v>6165.9</v>
      </c>
    </row>
    <row r="374" spans="1:8" ht="90" x14ac:dyDescent="0.35">
      <c r="A374" s="392"/>
      <c r="B374" s="403" t="s">
        <v>44</v>
      </c>
      <c r="C374" s="221" t="s">
        <v>74</v>
      </c>
      <c r="D374" s="222" t="s">
        <v>40</v>
      </c>
      <c r="E374" s="222" t="s">
        <v>58</v>
      </c>
      <c r="F374" s="223" t="s">
        <v>532</v>
      </c>
      <c r="G374" s="35" t="s">
        <v>45</v>
      </c>
      <c r="H374" s="236">
        <f>'прил9 (ведом 22)'!M707</f>
        <v>5805.9</v>
      </c>
    </row>
    <row r="375" spans="1:8" ht="36" x14ac:dyDescent="0.35">
      <c r="A375" s="392"/>
      <c r="B375" s="403" t="s">
        <v>50</v>
      </c>
      <c r="C375" s="548" t="s">
        <v>74</v>
      </c>
      <c r="D375" s="549" t="s">
        <v>40</v>
      </c>
      <c r="E375" s="549" t="s">
        <v>58</v>
      </c>
      <c r="F375" s="550" t="s">
        <v>532</v>
      </c>
      <c r="G375" s="35" t="s">
        <v>51</v>
      </c>
      <c r="H375" s="236">
        <f>'прил9 (ведом 22)'!M708</f>
        <v>360</v>
      </c>
    </row>
    <row r="376" spans="1:8" ht="72" x14ac:dyDescent="0.35">
      <c r="A376" s="437"/>
      <c r="B376" s="432" t="s">
        <v>425</v>
      </c>
      <c r="C376" s="221" t="s">
        <v>74</v>
      </c>
      <c r="D376" s="222" t="s">
        <v>40</v>
      </c>
      <c r="E376" s="222" t="s">
        <v>47</v>
      </c>
      <c r="F376" s="223" t="s">
        <v>39</v>
      </c>
      <c r="G376" s="35"/>
      <c r="H376" s="236">
        <f>H377</f>
        <v>1200</v>
      </c>
    </row>
    <row r="377" spans="1:8" ht="72" x14ac:dyDescent="0.35">
      <c r="A377" s="437"/>
      <c r="B377" s="432" t="s">
        <v>420</v>
      </c>
      <c r="C377" s="221" t="s">
        <v>74</v>
      </c>
      <c r="D377" s="222" t="s">
        <v>40</v>
      </c>
      <c r="E377" s="222" t="s">
        <v>47</v>
      </c>
      <c r="F377" s="223" t="s">
        <v>345</v>
      </c>
      <c r="G377" s="35"/>
      <c r="H377" s="236">
        <f>H378</f>
        <v>1200</v>
      </c>
    </row>
    <row r="378" spans="1:8" ht="23.25" customHeight="1" x14ac:dyDescent="0.35">
      <c r="A378" s="437"/>
      <c r="B378" s="409" t="s">
        <v>115</v>
      </c>
      <c r="C378" s="221" t="s">
        <v>74</v>
      </c>
      <c r="D378" s="222" t="s">
        <v>40</v>
      </c>
      <c r="E378" s="222" t="s">
        <v>47</v>
      </c>
      <c r="F378" s="223" t="s">
        <v>345</v>
      </c>
      <c r="G378" s="35" t="s">
        <v>116</v>
      </c>
      <c r="H378" s="236">
        <f>'прил9 (ведом 22)'!M197</f>
        <v>1200</v>
      </c>
    </row>
    <row r="379" spans="1:8" ht="18" x14ac:dyDescent="0.35">
      <c r="A379" s="392"/>
      <c r="B379" s="403"/>
      <c r="C379" s="222"/>
      <c r="D379" s="222"/>
      <c r="E379" s="222"/>
      <c r="F379" s="223"/>
      <c r="G379" s="35"/>
      <c r="H379" s="236"/>
    </row>
    <row r="380" spans="1:8" ht="69.599999999999994" x14ac:dyDescent="0.3">
      <c r="A380" s="412">
        <v>9</v>
      </c>
      <c r="B380" s="423" t="s">
        <v>321</v>
      </c>
      <c r="C380" s="413" t="s">
        <v>99</v>
      </c>
      <c r="D380" s="413" t="s">
        <v>37</v>
      </c>
      <c r="E380" s="413" t="s">
        <v>38</v>
      </c>
      <c r="F380" s="414" t="s">
        <v>39</v>
      </c>
      <c r="G380" s="483"/>
      <c r="H380" s="283">
        <f>H381+H387+H391+H395</f>
        <v>60104.5</v>
      </c>
    </row>
    <row r="381" spans="1:8" ht="36" x14ac:dyDescent="0.35">
      <c r="A381" s="412"/>
      <c r="B381" s="403" t="s">
        <v>323</v>
      </c>
      <c r="C381" s="221" t="s">
        <v>99</v>
      </c>
      <c r="D381" s="222" t="s">
        <v>40</v>
      </c>
      <c r="E381" s="222" t="s">
        <v>38</v>
      </c>
      <c r="F381" s="223" t="s">
        <v>39</v>
      </c>
      <c r="G381" s="35"/>
      <c r="H381" s="236">
        <f>H382</f>
        <v>13351.1</v>
      </c>
    </row>
    <row r="382" spans="1:8" ht="54" x14ac:dyDescent="0.35">
      <c r="A382" s="412"/>
      <c r="B382" s="234" t="s">
        <v>360</v>
      </c>
      <c r="C382" s="221" t="s">
        <v>99</v>
      </c>
      <c r="D382" s="222" t="s">
        <v>40</v>
      </c>
      <c r="E382" s="222" t="s">
        <v>32</v>
      </c>
      <c r="F382" s="223" t="s">
        <v>39</v>
      </c>
      <c r="G382" s="35"/>
      <c r="H382" s="236">
        <f>H383+H385</f>
        <v>13351.1</v>
      </c>
    </row>
    <row r="383" spans="1:8" ht="54" x14ac:dyDescent="0.35">
      <c r="A383" s="412"/>
      <c r="B383" s="102" t="s">
        <v>551</v>
      </c>
      <c r="C383" s="82" t="s">
        <v>99</v>
      </c>
      <c r="D383" s="83" t="s">
        <v>40</v>
      </c>
      <c r="E383" s="83" t="s">
        <v>32</v>
      </c>
      <c r="F383" s="108" t="s">
        <v>550</v>
      </c>
      <c r="G383" s="85"/>
      <c r="H383" s="236">
        <f>H384</f>
        <v>996.2</v>
      </c>
    </row>
    <row r="384" spans="1:8" ht="36" x14ac:dyDescent="0.35">
      <c r="A384" s="412"/>
      <c r="B384" s="102" t="s">
        <v>198</v>
      </c>
      <c r="C384" s="82" t="s">
        <v>99</v>
      </c>
      <c r="D384" s="83" t="s">
        <v>40</v>
      </c>
      <c r="E384" s="83" t="s">
        <v>32</v>
      </c>
      <c r="F384" s="108" t="s">
        <v>550</v>
      </c>
      <c r="G384" s="85" t="s">
        <v>199</v>
      </c>
      <c r="H384" s="236">
        <v>996.2</v>
      </c>
    </row>
    <row r="385" spans="1:8" ht="54" x14ac:dyDescent="0.35">
      <c r="A385" s="412"/>
      <c r="B385" s="448" t="s">
        <v>482</v>
      </c>
      <c r="C385" s="404" t="s">
        <v>99</v>
      </c>
      <c r="D385" s="405" t="s">
        <v>40</v>
      </c>
      <c r="E385" s="405" t="s">
        <v>32</v>
      </c>
      <c r="F385" s="406" t="s">
        <v>404</v>
      </c>
      <c r="G385" s="407"/>
      <c r="H385" s="236">
        <f>SUM(H386:H386)</f>
        <v>12354.9</v>
      </c>
    </row>
    <row r="386" spans="1:8" ht="36" x14ac:dyDescent="0.35">
      <c r="A386" s="528"/>
      <c r="B386" s="529" t="s">
        <v>198</v>
      </c>
      <c r="C386" s="445" t="s">
        <v>99</v>
      </c>
      <c r="D386" s="446" t="s">
        <v>40</v>
      </c>
      <c r="E386" s="446" t="s">
        <v>32</v>
      </c>
      <c r="F386" s="530" t="s">
        <v>404</v>
      </c>
      <c r="G386" s="531" t="s">
        <v>199</v>
      </c>
      <c r="H386" s="532">
        <f>'прил9 (ведом 22)'!M318</f>
        <v>12354.9</v>
      </c>
    </row>
    <row r="387" spans="1:8" ht="18" x14ac:dyDescent="0.35">
      <c r="A387" s="528"/>
      <c r="B387" s="219" t="s">
        <v>328</v>
      </c>
      <c r="C387" s="221" t="s">
        <v>99</v>
      </c>
      <c r="D387" s="222" t="s">
        <v>25</v>
      </c>
      <c r="E387" s="222" t="s">
        <v>38</v>
      </c>
      <c r="F387" s="223" t="s">
        <v>39</v>
      </c>
      <c r="G387" s="533"/>
      <c r="H387" s="532">
        <f>H388</f>
        <v>2109.1999999999998</v>
      </c>
    </row>
    <row r="388" spans="1:8" ht="36" x14ac:dyDescent="0.35">
      <c r="A388" s="528"/>
      <c r="B388" s="534" t="s">
        <v>486</v>
      </c>
      <c r="C388" s="221" t="s">
        <v>99</v>
      </c>
      <c r="D388" s="222" t="s">
        <v>25</v>
      </c>
      <c r="E388" s="222" t="s">
        <v>221</v>
      </c>
      <c r="F388" s="223" t="s">
        <v>39</v>
      </c>
      <c r="G388" s="533"/>
      <c r="H388" s="532">
        <f>H389</f>
        <v>2109.1999999999998</v>
      </c>
    </row>
    <row r="389" spans="1:8" ht="18" x14ac:dyDescent="0.35">
      <c r="A389" s="528"/>
      <c r="B389" s="534" t="s">
        <v>487</v>
      </c>
      <c r="C389" s="221" t="s">
        <v>99</v>
      </c>
      <c r="D389" s="222" t="s">
        <v>25</v>
      </c>
      <c r="E389" s="222" t="s">
        <v>221</v>
      </c>
      <c r="F389" s="223" t="s">
        <v>485</v>
      </c>
      <c r="G389" s="533"/>
      <c r="H389" s="532">
        <f>H390</f>
        <v>2109.1999999999998</v>
      </c>
    </row>
    <row r="390" spans="1:8" ht="36" x14ac:dyDescent="0.35">
      <c r="A390" s="528"/>
      <c r="B390" s="534" t="s">
        <v>50</v>
      </c>
      <c r="C390" s="221" t="s">
        <v>99</v>
      </c>
      <c r="D390" s="222" t="s">
        <v>25</v>
      </c>
      <c r="E390" s="222" t="s">
        <v>221</v>
      </c>
      <c r="F390" s="223" t="s">
        <v>485</v>
      </c>
      <c r="G390" s="533" t="s">
        <v>51</v>
      </c>
      <c r="H390" s="224">
        <f>'прил9 (ведом 22)'!M179</f>
        <v>2109.1999999999998</v>
      </c>
    </row>
    <row r="391" spans="1:8" ht="54" x14ac:dyDescent="0.35">
      <c r="A391" s="528"/>
      <c r="B391" s="234" t="s">
        <v>477</v>
      </c>
      <c r="C391" s="221" t="s">
        <v>99</v>
      </c>
      <c r="D391" s="222" t="s">
        <v>29</v>
      </c>
      <c r="E391" s="222" t="s">
        <v>38</v>
      </c>
      <c r="F391" s="223" t="s">
        <v>39</v>
      </c>
      <c r="G391" s="35"/>
      <c r="H391" s="532">
        <f>H392</f>
        <v>1224.5</v>
      </c>
    </row>
    <row r="392" spans="1:8" ht="36" x14ac:dyDescent="0.35">
      <c r="A392" s="528"/>
      <c r="B392" s="234" t="s">
        <v>478</v>
      </c>
      <c r="C392" s="221" t="s">
        <v>99</v>
      </c>
      <c r="D392" s="222" t="s">
        <v>29</v>
      </c>
      <c r="E392" s="222" t="s">
        <v>32</v>
      </c>
      <c r="F392" s="223" t="s">
        <v>39</v>
      </c>
      <c r="G392" s="35"/>
      <c r="H392" s="532">
        <f>H393</f>
        <v>1224.5</v>
      </c>
    </row>
    <row r="393" spans="1:8" ht="36" x14ac:dyDescent="0.35">
      <c r="A393" s="528"/>
      <c r="B393" s="234" t="s">
        <v>479</v>
      </c>
      <c r="C393" s="221" t="s">
        <v>99</v>
      </c>
      <c r="D393" s="222" t="s">
        <v>29</v>
      </c>
      <c r="E393" s="222" t="s">
        <v>32</v>
      </c>
      <c r="F393" s="223" t="s">
        <v>480</v>
      </c>
      <c r="G393" s="35"/>
      <c r="H393" s="532">
        <f>H394</f>
        <v>1224.5</v>
      </c>
    </row>
    <row r="394" spans="1:8" ht="36" x14ac:dyDescent="0.35">
      <c r="A394" s="528"/>
      <c r="B394" s="234" t="s">
        <v>50</v>
      </c>
      <c r="C394" s="221" t="s">
        <v>99</v>
      </c>
      <c r="D394" s="222" t="s">
        <v>29</v>
      </c>
      <c r="E394" s="222" t="s">
        <v>32</v>
      </c>
      <c r="F394" s="223" t="s">
        <v>480</v>
      </c>
      <c r="G394" s="35" t="s">
        <v>51</v>
      </c>
      <c r="H394" s="532">
        <f>'прил9 (ведом 22)'!M183</f>
        <v>1224.5</v>
      </c>
    </row>
    <row r="395" spans="1:8" ht="36" x14ac:dyDescent="0.35">
      <c r="A395" s="528"/>
      <c r="B395" s="535" t="s">
        <v>459</v>
      </c>
      <c r="C395" s="221" t="s">
        <v>99</v>
      </c>
      <c r="D395" s="222" t="s">
        <v>460</v>
      </c>
      <c r="E395" s="222" t="s">
        <v>38</v>
      </c>
      <c r="F395" s="223" t="s">
        <v>39</v>
      </c>
      <c r="G395" s="35"/>
      <c r="H395" s="532">
        <f>H396</f>
        <v>43419.7</v>
      </c>
    </row>
    <row r="396" spans="1:8" ht="54" x14ac:dyDescent="0.35">
      <c r="A396" s="528"/>
      <c r="B396" s="234" t="s">
        <v>451</v>
      </c>
      <c r="C396" s="221" t="s">
        <v>99</v>
      </c>
      <c r="D396" s="222" t="s">
        <v>460</v>
      </c>
      <c r="E396" s="222" t="s">
        <v>448</v>
      </c>
      <c r="F396" s="223" t="s">
        <v>39</v>
      </c>
      <c r="G396" s="35"/>
      <c r="H396" s="532">
        <f>H397+H399+H401</f>
        <v>43419.7</v>
      </c>
    </row>
    <row r="397" spans="1:8" ht="90" x14ac:dyDescent="0.35">
      <c r="A397" s="528"/>
      <c r="B397" s="234" t="s">
        <v>452</v>
      </c>
      <c r="C397" s="221" t="s">
        <v>99</v>
      </c>
      <c r="D397" s="222" t="s">
        <v>460</v>
      </c>
      <c r="E397" s="222" t="s">
        <v>448</v>
      </c>
      <c r="F397" s="223" t="s">
        <v>449</v>
      </c>
      <c r="G397" s="35"/>
      <c r="H397" s="532">
        <f>H398</f>
        <v>21532.7</v>
      </c>
    </row>
    <row r="398" spans="1:8" ht="36" x14ac:dyDescent="0.35">
      <c r="A398" s="528"/>
      <c r="B398" s="234" t="s">
        <v>198</v>
      </c>
      <c r="C398" s="221" t="s">
        <v>99</v>
      </c>
      <c r="D398" s="222" t="s">
        <v>460</v>
      </c>
      <c r="E398" s="222" t="s">
        <v>448</v>
      </c>
      <c r="F398" s="223" t="s">
        <v>449</v>
      </c>
      <c r="G398" s="35" t="s">
        <v>199</v>
      </c>
      <c r="H398" s="532">
        <f>'прил9 (ведом 22)'!M169</f>
        <v>21532.7</v>
      </c>
    </row>
    <row r="399" spans="1:8" ht="90" x14ac:dyDescent="0.35">
      <c r="A399" s="528"/>
      <c r="B399" s="234" t="s">
        <v>452</v>
      </c>
      <c r="C399" s="221" t="s">
        <v>99</v>
      </c>
      <c r="D399" s="222" t="s">
        <v>460</v>
      </c>
      <c r="E399" s="222" t="s">
        <v>448</v>
      </c>
      <c r="F399" s="223" t="s">
        <v>450</v>
      </c>
      <c r="G399" s="35"/>
      <c r="H399" s="532">
        <f>H400</f>
        <v>15225.8</v>
      </c>
    </row>
    <row r="400" spans="1:8" ht="36" x14ac:dyDescent="0.35">
      <c r="A400" s="528"/>
      <c r="B400" s="504" t="s">
        <v>198</v>
      </c>
      <c r="C400" s="221" t="s">
        <v>99</v>
      </c>
      <c r="D400" s="222" t="s">
        <v>460</v>
      </c>
      <c r="E400" s="222" t="s">
        <v>448</v>
      </c>
      <c r="F400" s="223" t="s">
        <v>450</v>
      </c>
      <c r="G400" s="35" t="s">
        <v>199</v>
      </c>
      <c r="H400" s="532">
        <f>'прил9 (ведом 22)'!M171</f>
        <v>15225.8</v>
      </c>
    </row>
    <row r="401" spans="1:8" ht="90" x14ac:dyDescent="0.35">
      <c r="A401" s="528"/>
      <c r="B401" s="234" t="s">
        <v>452</v>
      </c>
      <c r="C401" s="221" t="s">
        <v>99</v>
      </c>
      <c r="D401" s="222" t="s">
        <v>460</v>
      </c>
      <c r="E401" s="222" t="s">
        <v>448</v>
      </c>
      <c r="F401" s="223" t="s">
        <v>506</v>
      </c>
      <c r="G401" s="35"/>
      <c r="H401" s="532">
        <f>H402</f>
        <v>6661.2000000000007</v>
      </c>
    </row>
    <row r="402" spans="1:8" ht="36" x14ac:dyDescent="0.35">
      <c r="A402" s="528"/>
      <c r="B402" s="234" t="s">
        <v>198</v>
      </c>
      <c r="C402" s="221" t="s">
        <v>99</v>
      </c>
      <c r="D402" s="222" t="s">
        <v>460</v>
      </c>
      <c r="E402" s="222" t="s">
        <v>448</v>
      </c>
      <c r="F402" s="223" t="s">
        <v>506</v>
      </c>
      <c r="G402" s="35" t="s">
        <v>199</v>
      </c>
      <c r="H402" s="532">
        <f>'прил9 (ведом 22)'!M173</f>
        <v>6661.2000000000007</v>
      </c>
    </row>
    <row r="403" spans="1:8" ht="18" x14ac:dyDescent="0.35">
      <c r="A403" s="528"/>
      <c r="B403" s="234"/>
      <c r="C403" s="222"/>
      <c r="D403" s="222"/>
      <c r="E403" s="222"/>
      <c r="F403" s="223"/>
      <c r="G403" s="35"/>
      <c r="H403" s="532"/>
    </row>
    <row r="404" spans="1:8" s="402" customFormat="1" ht="52.2" x14ac:dyDescent="0.3">
      <c r="A404" s="412">
        <v>10</v>
      </c>
      <c r="B404" s="423" t="s">
        <v>89</v>
      </c>
      <c r="C404" s="413" t="s">
        <v>62</v>
      </c>
      <c r="D404" s="413" t="s">
        <v>37</v>
      </c>
      <c r="E404" s="413" t="s">
        <v>38</v>
      </c>
      <c r="F404" s="414" t="s">
        <v>39</v>
      </c>
      <c r="G404" s="483"/>
      <c r="H404" s="283">
        <f>H405</f>
        <v>12646.2</v>
      </c>
    </row>
    <row r="405" spans="1:8" ht="18" x14ac:dyDescent="0.35">
      <c r="A405" s="392"/>
      <c r="B405" s="403" t="s">
        <v>328</v>
      </c>
      <c r="C405" s="221" t="s">
        <v>62</v>
      </c>
      <c r="D405" s="222" t="s">
        <v>40</v>
      </c>
      <c r="E405" s="222" t="s">
        <v>38</v>
      </c>
      <c r="F405" s="223" t="s">
        <v>39</v>
      </c>
      <c r="G405" s="420"/>
      <c r="H405" s="236">
        <f>H406+H409</f>
        <v>12646.2</v>
      </c>
    </row>
    <row r="406" spans="1:8" ht="36" x14ac:dyDescent="0.35">
      <c r="A406" s="392"/>
      <c r="B406" s="403" t="s">
        <v>90</v>
      </c>
      <c r="C406" s="221" t="s">
        <v>62</v>
      </c>
      <c r="D406" s="222" t="s">
        <v>40</v>
      </c>
      <c r="E406" s="222" t="s">
        <v>32</v>
      </c>
      <c r="F406" s="223" t="s">
        <v>39</v>
      </c>
      <c r="G406" s="420"/>
      <c r="H406" s="236">
        <f>H407</f>
        <v>11095.300000000001</v>
      </c>
    </row>
    <row r="407" spans="1:8" ht="54" x14ac:dyDescent="0.35">
      <c r="A407" s="392"/>
      <c r="B407" s="484" t="s">
        <v>397</v>
      </c>
      <c r="C407" s="221" t="s">
        <v>62</v>
      </c>
      <c r="D407" s="222" t="s">
        <v>40</v>
      </c>
      <c r="E407" s="222" t="s">
        <v>32</v>
      </c>
      <c r="F407" s="223" t="s">
        <v>56</v>
      </c>
      <c r="G407" s="35"/>
      <c r="H407" s="236">
        <f>H408</f>
        <v>11095.300000000001</v>
      </c>
    </row>
    <row r="408" spans="1:8" ht="18" x14ac:dyDescent="0.35">
      <c r="A408" s="392"/>
      <c r="B408" s="403" t="s">
        <v>52</v>
      </c>
      <c r="C408" s="221" t="s">
        <v>62</v>
      </c>
      <c r="D408" s="222" t="s">
        <v>40</v>
      </c>
      <c r="E408" s="222" t="s">
        <v>32</v>
      </c>
      <c r="F408" s="223" t="s">
        <v>56</v>
      </c>
      <c r="G408" s="35" t="s">
        <v>53</v>
      </c>
      <c r="H408" s="236">
        <f>'прил9 (ведом 22)'!M126</f>
        <v>11095.300000000001</v>
      </c>
    </row>
    <row r="409" spans="1:8" ht="54" x14ac:dyDescent="0.35">
      <c r="A409" s="392"/>
      <c r="B409" s="403" t="s">
        <v>91</v>
      </c>
      <c r="C409" s="221" t="s">
        <v>62</v>
      </c>
      <c r="D409" s="222" t="s">
        <v>40</v>
      </c>
      <c r="E409" s="222" t="s">
        <v>34</v>
      </c>
      <c r="F409" s="223" t="s">
        <v>39</v>
      </c>
      <c r="G409" s="35"/>
      <c r="H409" s="236">
        <f>H410</f>
        <v>1550.9</v>
      </c>
    </row>
    <row r="410" spans="1:8" ht="162" x14ac:dyDescent="0.35">
      <c r="A410" s="392"/>
      <c r="B410" s="234" t="s">
        <v>514</v>
      </c>
      <c r="C410" s="221" t="s">
        <v>62</v>
      </c>
      <c r="D410" s="222" t="s">
        <v>40</v>
      </c>
      <c r="E410" s="222" t="s">
        <v>34</v>
      </c>
      <c r="F410" s="223" t="s">
        <v>92</v>
      </c>
      <c r="G410" s="35"/>
      <c r="H410" s="236">
        <f>H411</f>
        <v>1550.9</v>
      </c>
    </row>
    <row r="411" spans="1:8" ht="36" x14ac:dyDescent="0.35">
      <c r="A411" s="392"/>
      <c r="B411" s="403" t="s">
        <v>50</v>
      </c>
      <c r="C411" s="221" t="s">
        <v>62</v>
      </c>
      <c r="D411" s="222" t="s">
        <v>40</v>
      </c>
      <c r="E411" s="222" t="s">
        <v>34</v>
      </c>
      <c r="F411" s="223" t="s">
        <v>92</v>
      </c>
      <c r="G411" s="35" t="s">
        <v>51</v>
      </c>
      <c r="H411" s="236">
        <f>'прил9 (ведом 22)'!M129</f>
        <v>1550.9</v>
      </c>
    </row>
    <row r="412" spans="1:8" ht="18" x14ac:dyDescent="0.35">
      <c r="A412" s="392"/>
      <c r="B412" s="411"/>
      <c r="C412" s="565"/>
      <c r="D412" s="565"/>
      <c r="E412" s="565"/>
      <c r="F412" s="566"/>
      <c r="G412" s="258"/>
      <c r="H412" s="236"/>
    </row>
    <row r="413" spans="1:8" s="402" customFormat="1" ht="52.2" x14ac:dyDescent="0.3">
      <c r="A413" s="412">
        <v>11</v>
      </c>
      <c r="B413" s="423" t="s">
        <v>94</v>
      </c>
      <c r="C413" s="413" t="s">
        <v>95</v>
      </c>
      <c r="D413" s="413" t="s">
        <v>37</v>
      </c>
      <c r="E413" s="413" t="s">
        <v>38</v>
      </c>
      <c r="F413" s="414" t="s">
        <v>39</v>
      </c>
      <c r="G413" s="401"/>
      <c r="H413" s="283">
        <f>H414</f>
        <v>6255.7</v>
      </c>
    </row>
    <row r="414" spans="1:8" s="402" customFormat="1" ht="27.75" customHeight="1" x14ac:dyDescent="0.35">
      <c r="A414" s="392"/>
      <c r="B414" s="403" t="s">
        <v>328</v>
      </c>
      <c r="C414" s="221" t="s">
        <v>95</v>
      </c>
      <c r="D414" s="222" t="s">
        <v>40</v>
      </c>
      <c r="E414" s="222" t="s">
        <v>38</v>
      </c>
      <c r="F414" s="223" t="s">
        <v>39</v>
      </c>
      <c r="G414" s="35"/>
      <c r="H414" s="236">
        <f>H415</f>
        <v>6255.7</v>
      </c>
    </row>
    <row r="415" spans="1:8" s="402" customFormat="1" ht="72" x14ac:dyDescent="0.35">
      <c r="A415" s="392"/>
      <c r="B415" s="403" t="s">
        <v>96</v>
      </c>
      <c r="C415" s="221" t="s">
        <v>95</v>
      </c>
      <c r="D415" s="222" t="s">
        <v>40</v>
      </c>
      <c r="E415" s="222" t="s">
        <v>32</v>
      </c>
      <c r="F415" s="223" t="s">
        <v>39</v>
      </c>
      <c r="G415" s="35"/>
      <c r="H415" s="236">
        <f>H416</f>
        <v>6255.7</v>
      </c>
    </row>
    <row r="416" spans="1:8" s="402" customFormat="1" ht="72" x14ac:dyDescent="0.35">
      <c r="A416" s="392"/>
      <c r="B416" s="415" t="s">
        <v>97</v>
      </c>
      <c r="C416" s="221" t="s">
        <v>95</v>
      </c>
      <c r="D416" s="222" t="s">
        <v>40</v>
      </c>
      <c r="E416" s="222" t="s">
        <v>32</v>
      </c>
      <c r="F416" s="223" t="s">
        <v>98</v>
      </c>
      <c r="G416" s="35"/>
      <c r="H416" s="236">
        <f>H417</f>
        <v>6255.7</v>
      </c>
    </row>
    <row r="417" spans="1:8" ht="36" x14ac:dyDescent="0.35">
      <c r="A417" s="392"/>
      <c r="B417" s="403" t="s">
        <v>50</v>
      </c>
      <c r="C417" s="221" t="s">
        <v>95</v>
      </c>
      <c r="D417" s="222" t="s">
        <v>40</v>
      </c>
      <c r="E417" s="222" t="s">
        <v>32</v>
      </c>
      <c r="F417" s="223" t="s">
        <v>98</v>
      </c>
      <c r="G417" s="35" t="s">
        <v>51</v>
      </c>
      <c r="H417" s="236">
        <f>'прил9 (ведом 22)'!M135</f>
        <v>6255.7</v>
      </c>
    </row>
    <row r="418" spans="1:8" ht="18" x14ac:dyDescent="0.35">
      <c r="A418" s="392"/>
      <c r="B418" s="411"/>
      <c r="C418" s="565"/>
      <c r="D418" s="565"/>
      <c r="E418" s="565"/>
      <c r="F418" s="566"/>
      <c r="G418" s="258"/>
      <c r="H418" s="236"/>
    </row>
    <row r="419" spans="1:8" s="402" customFormat="1" ht="69.599999999999994" x14ac:dyDescent="0.3">
      <c r="A419" s="412">
        <v>12</v>
      </c>
      <c r="B419" s="423" t="s">
        <v>102</v>
      </c>
      <c r="C419" s="413" t="s">
        <v>66</v>
      </c>
      <c r="D419" s="413" t="s">
        <v>37</v>
      </c>
      <c r="E419" s="413" t="s">
        <v>38</v>
      </c>
      <c r="F419" s="414" t="s">
        <v>39</v>
      </c>
      <c r="G419" s="401"/>
      <c r="H419" s="283">
        <f>H420+H424</f>
        <v>1025.0999999999999</v>
      </c>
    </row>
    <row r="420" spans="1:8" s="402" customFormat="1" ht="36" x14ac:dyDescent="0.35">
      <c r="A420" s="392"/>
      <c r="B420" s="429" t="s">
        <v>103</v>
      </c>
      <c r="C420" s="221" t="s">
        <v>66</v>
      </c>
      <c r="D420" s="222" t="s">
        <v>40</v>
      </c>
      <c r="E420" s="222" t="s">
        <v>38</v>
      </c>
      <c r="F420" s="223" t="s">
        <v>39</v>
      </c>
      <c r="G420" s="35"/>
      <c r="H420" s="236">
        <f>H421</f>
        <v>310</v>
      </c>
    </row>
    <row r="421" spans="1:8" s="402" customFormat="1" ht="36" x14ac:dyDescent="0.35">
      <c r="A421" s="392"/>
      <c r="B421" s="403" t="s">
        <v>104</v>
      </c>
      <c r="C421" s="221" t="s">
        <v>66</v>
      </c>
      <c r="D421" s="222" t="s">
        <v>40</v>
      </c>
      <c r="E421" s="222" t="s">
        <v>32</v>
      </c>
      <c r="F421" s="223" t="s">
        <v>39</v>
      </c>
      <c r="G421" s="35"/>
      <c r="H421" s="236">
        <f>H422</f>
        <v>310</v>
      </c>
    </row>
    <row r="422" spans="1:8" s="402" customFormat="1" ht="36" x14ac:dyDescent="0.35">
      <c r="A422" s="392"/>
      <c r="B422" s="429" t="s">
        <v>105</v>
      </c>
      <c r="C422" s="221" t="s">
        <v>66</v>
      </c>
      <c r="D422" s="222" t="s">
        <v>40</v>
      </c>
      <c r="E422" s="222" t="s">
        <v>32</v>
      </c>
      <c r="F422" s="223" t="s">
        <v>106</v>
      </c>
      <c r="G422" s="35"/>
      <c r="H422" s="236">
        <f>SUM(H423:H423)</f>
        <v>310</v>
      </c>
    </row>
    <row r="423" spans="1:8" s="402" customFormat="1" ht="36" x14ac:dyDescent="0.35">
      <c r="A423" s="392"/>
      <c r="B423" s="403" t="s">
        <v>50</v>
      </c>
      <c r="C423" s="221" t="s">
        <v>66</v>
      </c>
      <c r="D423" s="222" t="s">
        <v>40</v>
      </c>
      <c r="E423" s="222" t="s">
        <v>32</v>
      </c>
      <c r="F423" s="223" t="s">
        <v>106</v>
      </c>
      <c r="G423" s="35" t="s">
        <v>51</v>
      </c>
      <c r="H423" s="236">
        <f>'прил9 (ведом 22)'!M141</f>
        <v>310</v>
      </c>
    </row>
    <row r="424" spans="1:8" s="402" customFormat="1" ht="19.2" customHeight="1" x14ac:dyDescent="0.35">
      <c r="A424" s="392"/>
      <c r="B424" s="429" t="s">
        <v>107</v>
      </c>
      <c r="C424" s="221" t="s">
        <v>66</v>
      </c>
      <c r="D424" s="222" t="s">
        <v>84</v>
      </c>
      <c r="E424" s="222" t="s">
        <v>38</v>
      </c>
      <c r="F424" s="223" t="s">
        <v>39</v>
      </c>
      <c r="G424" s="35"/>
      <c r="H424" s="236">
        <f>H425</f>
        <v>715.1</v>
      </c>
    </row>
    <row r="425" spans="1:8" s="402" customFormat="1" ht="36" x14ac:dyDescent="0.35">
      <c r="A425" s="392"/>
      <c r="B425" s="429" t="s">
        <v>108</v>
      </c>
      <c r="C425" s="221" t="s">
        <v>66</v>
      </c>
      <c r="D425" s="222" t="s">
        <v>84</v>
      </c>
      <c r="E425" s="222" t="s">
        <v>32</v>
      </c>
      <c r="F425" s="223" t="s">
        <v>39</v>
      </c>
      <c r="G425" s="35"/>
      <c r="H425" s="236">
        <f>H426</f>
        <v>715.1</v>
      </c>
    </row>
    <row r="426" spans="1:8" s="402" customFormat="1" ht="72" x14ac:dyDescent="0.35">
      <c r="A426" s="392"/>
      <c r="B426" s="429" t="s">
        <v>109</v>
      </c>
      <c r="C426" s="221" t="s">
        <v>66</v>
      </c>
      <c r="D426" s="222" t="s">
        <v>84</v>
      </c>
      <c r="E426" s="222" t="s">
        <v>32</v>
      </c>
      <c r="F426" s="223" t="s">
        <v>110</v>
      </c>
      <c r="G426" s="35"/>
      <c r="H426" s="236">
        <f>H427</f>
        <v>715.1</v>
      </c>
    </row>
    <row r="427" spans="1:8" ht="36" x14ac:dyDescent="0.35">
      <c r="A427" s="392"/>
      <c r="B427" s="403" t="s">
        <v>50</v>
      </c>
      <c r="C427" s="221" t="s">
        <v>66</v>
      </c>
      <c r="D427" s="222" t="s">
        <v>84</v>
      </c>
      <c r="E427" s="222" t="s">
        <v>32</v>
      </c>
      <c r="F427" s="223" t="s">
        <v>110</v>
      </c>
      <c r="G427" s="35" t="s">
        <v>51</v>
      </c>
      <c r="H427" s="236">
        <f>'прил9 (ведом 22)'!M145</f>
        <v>715.1</v>
      </c>
    </row>
    <row r="428" spans="1:8" ht="18" x14ac:dyDescent="0.35">
      <c r="A428" s="392"/>
      <c r="B428" s="411"/>
      <c r="C428" s="565"/>
      <c r="D428" s="565"/>
      <c r="E428" s="565"/>
      <c r="F428" s="566"/>
      <c r="G428" s="258"/>
      <c r="H428" s="236"/>
    </row>
    <row r="429" spans="1:8" s="402" customFormat="1" ht="59.25" customHeight="1" x14ac:dyDescent="0.3">
      <c r="A429" s="412">
        <v>13</v>
      </c>
      <c r="B429" s="423" t="s">
        <v>111</v>
      </c>
      <c r="C429" s="413" t="s">
        <v>83</v>
      </c>
      <c r="D429" s="413" t="s">
        <v>37</v>
      </c>
      <c r="E429" s="413" t="s">
        <v>38</v>
      </c>
      <c r="F429" s="414" t="s">
        <v>39</v>
      </c>
      <c r="G429" s="401"/>
      <c r="H429" s="283">
        <f>H430</f>
        <v>5731.2000000000007</v>
      </c>
    </row>
    <row r="430" spans="1:8" s="402" customFormat="1" ht="31.5" customHeight="1" x14ac:dyDescent="0.35">
      <c r="A430" s="392"/>
      <c r="B430" s="403" t="s">
        <v>328</v>
      </c>
      <c r="C430" s="221" t="s">
        <v>83</v>
      </c>
      <c r="D430" s="222" t="s">
        <v>40</v>
      </c>
      <c r="E430" s="222" t="s">
        <v>38</v>
      </c>
      <c r="F430" s="223" t="s">
        <v>39</v>
      </c>
      <c r="G430" s="35"/>
      <c r="H430" s="236">
        <f>H431</f>
        <v>5731.2000000000007</v>
      </c>
    </row>
    <row r="431" spans="1:8" s="402" customFormat="1" ht="54" x14ac:dyDescent="0.35">
      <c r="A431" s="392"/>
      <c r="B431" s="429" t="s">
        <v>295</v>
      </c>
      <c r="C431" s="221" t="s">
        <v>83</v>
      </c>
      <c r="D431" s="222" t="s">
        <v>40</v>
      </c>
      <c r="E431" s="222" t="s">
        <v>32</v>
      </c>
      <c r="F431" s="223" t="s">
        <v>39</v>
      </c>
      <c r="G431" s="35"/>
      <c r="H431" s="236">
        <f>H432+H434</f>
        <v>5731.2000000000007</v>
      </c>
    </row>
    <row r="432" spans="1:8" s="402" customFormat="1" ht="54" x14ac:dyDescent="0.35">
      <c r="A432" s="392"/>
      <c r="B432" s="429" t="s">
        <v>112</v>
      </c>
      <c r="C432" s="221" t="s">
        <v>83</v>
      </c>
      <c r="D432" s="222" t="s">
        <v>40</v>
      </c>
      <c r="E432" s="222" t="s">
        <v>32</v>
      </c>
      <c r="F432" s="223" t="s">
        <v>113</v>
      </c>
      <c r="G432" s="35"/>
      <c r="H432" s="236">
        <f>H433</f>
        <v>4952.2000000000007</v>
      </c>
    </row>
    <row r="433" spans="1:8" ht="36" x14ac:dyDescent="0.35">
      <c r="A433" s="392"/>
      <c r="B433" s="403" t="s">
        <v>50</v>
      </c>
      <c r="C433" s="221" t="s">
        <v>83</v>
      </c>
      <c r="D433" s="222" t="s">
        <v>40</v>
      </c>
      <c r="E433" s="222" t="s">
        <v>32</v>
      </c>
      <c r="F433" s="223" t="s">
        <v>113</v>
      </c>
      <c r="G433" s="35" t="s">
        <v>51</v>
      </c>
      <c r="H433" s="236">
        <f>'прил9 (ведом 22)'!M150</f>
        <v>4952.2000000000007</v>
      </c>
    </row>
    <row r="434" spans="1:8" ht="72" x14ac:dyDescent="0.35">
      <c r="A434" s="392"/>
      <c r="B434" s="234" t="s">
        <v>515</v>
      </c>
      <c r="C434" s="221" t="s">
        <v>83</v>
      </c>
      <c r="D434" s="222" t="s">
        <v>40</v>
      </c>
      <c r="E434" s="222" t="s">
        <v>32</v>
      </c>
      <c r="F434" s="223" t="s">
        <v>513</v>
      </c>
      <c r="G434" s="35"/>
      <c r="H434" s="236">
        <f>H435</f>
        <v>779</v>
      </c>
    </row>
    <row r="435" spans="1:8" ht="36" x14ac:dyDescent="0.35">
      <c r="A435" s="392"/>
      <c r="B435" s="234" t="s">
        <v>50</v>
      </c>
      <c r="C435" s="221" t="s">
        <v>83</v>
      </c>
      <c r="D435" s="222" t="s">
        <v>40</v>
      </c>
      <c r="E435" s="222" t="s">
        <v>32</v>
      </c>
      <c r="F435" s="223" t="s">
        <v>513</v>
      </c>
      <c r="G435" s="35" t="s">
        <v>51</v>
      </c>
      <c r="H435" s="236">
        <f>'прил9 (ведом 22)'!M152</f>
        <v>779</v>
      </c>
    </row>
    <row r="436" spans="1:8" s="402" customFormat="1" ht="18" x14ac:dyDescent="0.35">
      <c r="A436" s="392"/>
      <c r="B436" s="409"/>
      <c r="C436" s="565"/>
      <c r="D436" s="565"/>
      <c r="E436" s="565"/>
      <c r="F436" s="566"/>
      <c r="G436" s="258"/>
      <c r="H436" s="236"/>
    </row>
    <row r="437" spans="1:8" s="402" customFormat="1" ht="69.599999999999994" x14ac:dyDescent="0.3">
      <c r="A437" s="412">
        <v>14</v>
      </c>
      <c r="B437" s="423" t="s">
        <v>67</v>
      </c>
      <c r="C437" s="413" t="s">
        <v>68</v>
      </c>
      <c r="D437" s="413" t="s">
        <v>37</v>
      </c>
      <c r="E437" s="413" t="s">
        <v>38</v>
      </c>
      <c r="F437" s="414" t="s">
        <v>39</v>
      </c>
      <c r="G437" s="401"/>
      <c r="H437" s="283">
        <f>H438</f>
        <v>1331.3000000000002</v>
      </c>
    </row>
    <row r="438" spans="1:8" ht="19.5" customHeight="1" x14ac:dyDescent="0.35">
      <c r="A438" s="392"/>
      <c r="B438" s="403" t="s">
        <v>328</v>
      </c>
      <c r="C438" s="221" t="s">
        <v>68</v>
      </c>
      <c r="D438" s="222" t="s">
        <v>40</v>
      </c>
      <c r="E438" s="222" t="s">
        <v>38</v>
      </c>
      <c r="F438" s="223" t="s">
        <v>39</v>
      </c>
      <c r="G438" s="35"/>
      <c r="H438" s="236">
        <f>H439</f>
        <v>1331.3000000000002</v>
      </c>
    </row>
    <row r="439" spans="1:8" ht="36" x14ac:dyDescent="0.35">
      <c r="A439" s="392"/>
      <c r="B439" s="432" t="s">
        <v>254</v>
      </c>
      <c r="C439" s="221" t="s">
        <v>68</v>
      </c>
      <c r="D439" s="222" t="s">
        <v>40</v>
      </c>
      <c r="E439" s="222" t="s">
        <v>32</v>
      </c>
      <c r="F439" s="223" t="s">
        <v>39</v>
      </c>
      <c r="G439" s="35"/>
      <c r="H439" s="236">
        <f>H440</f>
        <v>1331.3000000000002</v>
      </c>
    </row>
    <row r="440" spans="1:8" ht="36" x14ac:dyDescent="0.35">
      <c r="A440" s="392"/>
      <c r="B440" s="432" t="s">
        <v>69</v>
      </c>
      <c r="C440" s="221" t="s">
        <v>68</v>
      </c>
      <c r="D440" s="222" t="s">
        <v>40</v>
      </c>
      <c r="E440" s="222" t="s">
        <v>32</v>
      </c>
      <c r="F440" s="223" t="s">
        <v>70</v>
      </c>
      <c r="G440" s="35"/>
      <c r="H440" s="236">
        <f>H441</f>
        <v>1331.3000000000002</v>
      </c>
    </row>
    <row r="441" spans="1:8" ht="40.5" customHeight="1" x14ac:dyDescent="0.35">
      <c r="A441" s="392"/>
      <c r="B441" s="409" t="s">
        <v>71</v>
      </c>
      <c r="C441" s="221" t="s">
        <v>68</v>
      </c>
      <c r="D441" s="222" t="s">
        <v>40</v>
      </c>
      <c r="E441" s="222" t="s">
        <v>32</v>
      </c>
      <c r="F441" s="223" t="s">
        <v>70</v>
      </c>
      <c r="G441" s="35" t="s">
        <v>72</v>
      </c>
      <c r="H441" s="236">
        <f>'прил9 (ведом 22)'!M65+'прил9 (ведом 22)'!M203</f>
        <v>1331.3000000000002</v>
      </c>
    </row>
    <row r="442" spans="1:8" ht="18" x14ac:dyDescent="0.35">
      <c r="A442" s="392"/>
      <c r="B442" s="409"/>
      <c r="C442" s="565"/>
      <c r="D442" s="565"/>
      <c r="E442" s="565"/>
      <c r="F442" s="566"/>
      <c r="G442" s="258"/>
      <c r="H442" s="236"/>
    </row>
    <row r="443" spans="1:8" s="402" customFormat="1" ht="52.2" x14ac:dyDescent="0.3">
      <c r="A443" s="412">
        <v>15</v>
      </c>
      <c r="B443" s="423" t="s">
        <v>35</v>
      </c>
      <c r="C443" s="413" t="s">
        <v>36</v>
      </c>
      <c r="D443" s="413" t="s">
        <v>37</v>
      </c>
      <c r="E443" s="413" t="s">
        <v>38</v>
      </c>
      <c r="F443" s="414" t="s">
        <v>39</v>
      </c>
      <c r="G443" s="401"/>
      <c r="H443" s="283">
        <f>H444</f>
        <v>123563.2</v>
      </c>
    </row>
    <row r="444" spans="1:8" s="402" customFormat="1" ht="30" customHeight="1" x14ac:dyDescent="0.35">
      <c r="A444" s="392"/>
      <c r="B444" s="403" t="s">
        <v>328</v>
      </c>
      <c r="C444" s="221" t="s">
        <v>36</v>
      </c>
      <c r="D444" s="222" t="s">
        <v>40</v>
      </c>
      <c r="E444" s="222" t="s">
        <v>38</v>
      </c>
      <c r="F444" s="223" t="s">
        <v>39</v>
      </c>
      <c r="G444" s="35"/>
      <c r="H444" s="236">
        <f>H445+H448+H469+H477+H482+H486+H489+H497+H500</f>
        <v>123563.2</v>
      </c>
    </row>
    <row r="445" spans="1:8" s="402" customFormat="1" ht="36" x14ac:dyDescent="0.35">
      <c r="A445" s="392"/>
      <c r="B445" s="403" t="s">
        <v>41</v>
      </c>
      <c r="C445" s="221" t="s">
        <v>36</v>
      </c>
      <c r="D445" s="222" t="s">
        <v>40</v>
      </c>
      <c r="E445" s="222" t="s">
        <v>32</v>
      </c>
      <c r="F445" s="223" t="s">
        <v>39</v>
      </c>
      <c r="G445" s="35"/>
      <c r="H445" s="236">
        <f>H446</f>
        <v>2439.1999999999998</v>
      </c>
    </row>
    <row r="446" spans="1:8" s="402" customFormat="1" ht="36" x14ac:dyDescent="0.35">
      <c r="A446" s="392"/>
      <c r="B446" s="403" t="s">
        <v>42</v>
      </c>
      <c r="C446" s="221" t="s">
        <v>36</v>
      </c>
      <c r="D446" s="222" t="s">
        <v>40</v>
      </c>
      <c r="E446" s="222" t="s">
        <v>32</v>
      </c>
      <c r="F446" s="223" t="s">
        <v>43</v>
      </c>
      <c r="G446" s="35"/>
      <c r="H446" s="236">
        <f>H447</f>
        <v>2439.1999999999998</v>
      </c>
    </row>
    <row r="447" spans="1:8" s="402" customFormat="1" ht="90" x14ac:dyDescent="0.35">
      <c r="A447" s="392"/>
      <c r="B447" s="403" t="s">
        <v>44</v>
      </c>
      <c r="C447" s="221" t="s">
        <v>36</v>
      </c>
      <c r="D447" s="222" t="s">
        <v>40</v>
      </c>
      <c r="E447" s="222" t="s">
        <v>32</v>
      </c>
      <c r="F447" s="223" t="s">
        <v>43</v>
      </c>
      <c r="G447" s="35" t="s">
        <v>45</v>
      </c>
      <c r="H447" s="236">
        <f>'прил9 (ведом 22)'!M23</f>
        <v>2439.1999999999998</v>
      </c>
    </row>
    <row r="448" spans="1:8" s="402" customFormat="1" ht="36" x14ac:dyDescent="0.35">
      <c r="A448" s="392"/>
      <c r="B448" s="403" t="s">
        <v>49</v>
      </c>
      <c r="C448" s="221" t="s">
        <v>36</v>
      </c>
      <c r="D448" s="222" t="s">
        <v>40</v>
      </c>
      <c r="E448" s="222" t="s">
        <v>34</v>
      </c>
      <c r="F448" s="223" t="s">
        <v>39</v>
      </c>
      <c r="G448" s="35"/>
      <c r="H448" s="236">
        <f>H449+H457+H459+H461+H464+H455+H454+H466</f>
        <v>84718.2</v>
      </c>
    </row>
    <row r="449" spans="1:8" s="402" customFormat="1" ht="36" x14ac:dyDescent="0.35">
      <c r="A449" s="392"/>
      <c r="B449" s="403" t="s">
        <v>42</v>
      </c>
      <c r="C449" s="221" t="s">
        <v>36</v>
      </c>
      <c r="D449" s="222" t="s">
        <v>40</v>
      </c>
      <c r="E449" s="222" t="s">
        <v>34</v>
      </c>
      <c r="F449" s="223" t="s">
        <v>43</v>
      </c>
      <c r="G449" s="35"/>
      <c r="H449" s="236">
        <f>SUM(H450:H452)</f>
        <v>78600.100000000006</v>
      </c>
    </row>
    <row r="450" spans="1:8" s="402" customFormat="1" ht="90" x14ac:dyDescent="0.35">
      <c r="A450" s="392"/>
      <c r="B450" s="403" t="s">
        <v>44</v>
      </c>
      <c r="C450" s="221" t="s">
        <v>36</v>
      </c>
      <c r="D450" s="222" t="s">
        <v>40</v>
      </c>
      <c r="E450" s="222" t="s">
        <v>34</v>
      </c>
      <c r="F450" s="223" t="s">
        <v>43</v>
      </c>
      <c r="G450" s="35" t="s">
        <v>45</v>
      </c>
      <c r="H450" s="236">
        <f>'прил9 (ведом 22)'!M29</f>
        <v>72772.700000000012</v>
      </c>
    </row>
    <row r="451" spans="1:8" ht="36" x14ac:dyDescent="0.35">
      <c r="A451" s="392"/>
      <c r="B451" s="403" t="s">
        <v>50</v>
      </c>
      <c r="C451" s="221" t="s">
        <v>36</v>
      </c>
      <c r="D451" s="222" t="s">
        <v>40</v>
      </c>
      <c r="E451" s="222" t="s">
        <v>34</v>
      </c>
      <c r="F451" s="223" t="s">
        <v>43</v>
      </c>
      <c r="G451" s="35" t="s">
        <v>51</v>
      </c>
      <c r="H451" s="236">
        <f>'прил9 (ведом 22)'!M30</f>
        <v>5726.5</v>
      </c>
    </row>
    <row r="452" spans="1:8" s="402" customFormat="1" ht="18" x14ac:dyDescent="0.35">
      <c r="A452" s="392"/>
      <c r="B452" s="403" t="s">
        <v>52</v>
      </c>
      <c r="C452" s="221" t="s">
        <v>36</v>
      </c>
      <c r="D452" s="222" t="s">
        <v>40</v>
      </c>
      <c r="E452" s="222" t="s">
        <v>34</v>
      </c>
      <c r="F452" s="223" t="s">
        <v>43</v>
      </c>
      <c r="G452" s="35" t="s">
        <v>53</v>
      </c>
      <c r="H452" s="236">
        <f>'прил9 (ведом 22)'!M31</f>
        <v>100.9</v>
      </c>
    </row>
    <row r="453" spans="1:8" s="402" customFormat="1" ht="18" x14ac:dyDescent="0.35">
      <c r="A453" s="392"/>
      <c r="B453" s="234" t="s">
        <v>438</v>
      </c>
      <c r="C453" s="221" t="s">
        <v>36</v>
      </c>
      <c r="D453" s="222" t="s">
        <v>40</v>
      </c>
      <c r="E453" s="222" t="s">
        <v>34</v>
      </c>
      <c r="F453" s="223" t="s">
        <v>376</v>
      </c>
      <c r="G453" s="35"/>
      <c r="H453" s="236">
        <f>H454</f>
        <v>1076.3</v>
      </c>
    </row>
    <row r="454" spans="1:8" s="402" customFormat="1" ht="36" x14ac:dyDescent="0.35">
      <c r="A454" s="392"/>
      <c r="B454" s="234" t="s">
        <v>50</v>
      </c>
      <c r="C454" s="221" t="s">
        <v>36</v>
      </c>
      <c r="D454" s="222" t="s">
        <v>40</v>
      </c>
      <c r="E454" s="222" t="s">
        <v>34</v>
      </c>
      <c r="F454" s="223" t="s">
        <v>376</v>
      </c>
      <c r="G454" s="35" t="s">
        <v>51</v>
      </c>
      <c r="H454" s="236">
        <f>'прил9 (ведом 22)'!M70+'прил9 (ведом 22)'!M33</f>
        <v>1076.3</v>
      </c>
    </row>
    <row r="455" spans="1:8" s="402" customFormat="1" ht="72" x14ac:dyDescent="0.35">
      <c r="A455" s="392"/>
      <c r="B455" s="234" t="s">
        <v>385</v>
      </c>
      <c r="C455" s="221" t="s">
        <v>36</v>
      </c>
      <c r="D455" s="222" t="s">
        <v>40</v>
      </c>
      <c r="E455" s="222" t="s">
        <v>34</v>
      </c>
      <c r="F455" s="223" t="s">
        <v>384</v>
      </c>
      <c r="G455" s="35"/>
      <c r="H455" s="236">
        <f>H456</f>
        <v>140</v>
      </c>
    </row>
    <row r="456" spans="1:8" s="402" customFormat="1" ht="36" x14ac:dyDescent="0.35">
      <c r="A456" s="392"/>
      <c r="B456" s="234" t="s">
        <v>50</v>
      </c>
      <c r="C456" s="221" t="s">
        <v>36</v>
      </c>
      <c r="D456" s="222" t="s">
        <v>40</v>
      </c>
      <c r="E456" s="222" t="s">
        <v>34</v>
      </c>
      <c r="F456" s="223" t="s">
        <v>384</v>
      </c>
      <c r="G456" s="35" t="s">
        <v>51</v>
      </c>
      <c r="H456" s="236">
        <f>'прил9 (ведом 22)'!M54</f>
        <v>140</v>
      </c>
    </row>
    <row r="457" spans="1:8" ht="90" x14ac:dyDescent="0.35">
      <c r="A457" s="392"/>
      <c r="B457" s="403" t="s">
        <v>421</v>
      </c>
      <c r="C457" s="221" t="s">
        <v>36</v>
      </c>
      <c r="D457" s="222" t="s">
        <v>40</v>
      </c>
      <c r="E457" s="222" t="s">
        <v>34</v>
      </c>
      <c r="F457" s="223" t="s">
        <v>253</v>
      </c>
      <c r="G457" s="35"/>
      <c r="H457" s="236">
        <f>H458</f>
        <v>63</v>
      </c>
    </row>
    <row r="458" spans="1:8" ht="36" x14ac:dyDescent="0.35">
      <c r="A458" s="392"/>
      <c r="B458" s="403" t="s">
        <v>50</v>
      </c>
      <c r="C458" s="221" t="s">
        <v>36</v>
      </c>
      <c r="D458" s="222" t="s">
        <v>40</v>
      </c>
      <c r="E458" s="222" t="s">
        <v>34</v>
      </c>
      <c r="F458" s="223" t="s">
        <v>253</v>
      </c>
      <c r="G458" s="35" t="s">
        <v>51</v>
      </c>
      <c r="H458" s="236">
        <f>'прил9 (ведом 22)'!M35</f>
        <v>63</v>
      </c>
    </row>
    <row r="459" spans="1:8" ht="162.75" customHeight="1" x14ac:dyDescent="0.35">
      <c r="A459" s="392"/>
      <c r="B459" s="484" t="s">
        <v>429</v>
      </c>
      <c r="C459" s="221" t="s">
        <v>36</v>
      </c>
      <c r="D459" s="222" t="s">
        <v>40</v>
      </c>
      <c r="E459" s="222" t="s">
        <v>34</v>
      </c>
      <c r="F459" s="223" t="s">
        <v>54</v>
      </c>
      <c r="G459" s="35"/>
      <c r="H459" s="236">
        <f>H460</f>
        <v>645.20000000000005</v>
      </c>
    </row>
    <row r="460" spans="1:8" ht="90" x14ac:dyDescent="0.35">
      <c r="A460" s="392"/>
      <c r="B460" s="234" t="s">
        <v>44</v>
      </c>
      <c r="C460" s="221" t="s">
        <v>36</v>
      </c>
      <c r="D460" s="222" t="s">
        <v>40</v>
      </c>
      <c r="E460" s="222" t="s">
        <v>34</v>
      </c>
      <c r="F460" s="223" t="s">
        <v>54</v>
      </c>
      <c r="G460" s="35" t="s">
        <v>45</v>
      </c>
      <c r="H460" s="236">
        <f>'прил9 (ведом 22)'!M37</f>
        <v>645.20000000000005</v>
      </c>
    </row>
    <row r="461" spans="1:8" ht="54" x14ac:dyDescent="0.35">
      <c r="A461" s="392"/>
      <c r="B461" s="234" t="s">
        <v>397</v>
      </c>
      <c r="C461" s="221" t="s">
        <v>36</v>
      </c>
      <c r="D461" s="222" t="s">
        <v>40</v>
      </c>
      <c r="E461" s="222" t="s">
        <v>34</v>
      </c>
      <c r="F461" s="223" t="s">
        <v>56</v>
      </c>
      <c r="G461" s="35"/>
      <c r="H461" s="236">
        <f>H462+H463</f>
        <v>645.4</v>
      </c>
    </row>
    <row r="462" spans="1:8" ht="90" x14ac:dyDescent="0.35">
      <c r="A462" s="392"/>
      <c r="B462" s="234" t="s">
        <v>44</v>
      </c>
      <c r="C462" s="221" t="s">
        <v>36</v>
      </c>
      <c r="D462" s="222" t="s">
        <v>40</v>
      </c>
      <c r="E462" s="222" t="s">
        <v>34</v>
      </c>
      <c r="F462" s="223" t="s">
        <v>56</v>
      </c>
      <c r="G462" s="35" t="s">
        <v>45</v>
      </c>
      <c r="H462" s="236">
        <f>'прил9 (ведом 22)'!M39</f>
        <v>641</v>
      </c>
    </row>
    <row r="463" spans="1:8" ht="36" x14ac:dyDescent="0.35">
      <c r="A463" s="392"/>
      <c r="B463" s="234" t="s">
        <v>50</v>
      </c>
      <c r="C463" s="221" t="s">
        <v>36</v>
      </c>
      <c r="D463" s="222" t="s">
        <v>40</v>
      </c>
      <c r="E463" s="222" t="s">
        <v>34</v>
      </c>
      <c r="F463" s="223" t="s">
        <v>56</v>
      </c>
      <c r="G463" s="35" t="s">
        <v>51</v>
      </c>
      <c r="H463" s="236">
        <f>'прил9 (ведом 22)'!M40</f>
        <v>4.4000000000000004</v>
      </c>
    </row>
    <row r="464" spans="1:8" ht="162" x14ac:dyDescent="0.35">
      <c r="A464" s="392"/>
      <c r="B464" s="234" t="s">
        <v>365</v>
      </c>
      <c r="C464" s="221" t="s">
        <v>36</v>
      </c>
      <c r="D464" s="222" t="s">
        <v>40</v>
      </c>
      <c r="E464" s="222" t="s">
        <v>34</v>
      </c>
      <c r="F464" s="223" t="s">
        <v>364</v>
      </c>
      <c r="G464" s="35"/>
      <c r="H464" s="236">
        <f>H465</f>
        <v>63</v>
      </c>
    </row>
    <row r="465" spans="1:8" ht="36" x14ac:dyDescent="0.35">
      <c r="A465" s="392"/>
      <c r="B465" s="234" t="s">
        <v>50</v>
      </c>
      <c r="C465" s="221" t="s">
        <v>36</v>
      </c>
      <c r="D465" s="222" t="s">
        <v>40</v>
      </c>
      <c r="E465" s="222" t="s">
        <v>34</v>
      </c>
      <c r="F465" s="223" t="s">
        <v>364</v>
      </c>
      <c r="G465" s="35" t="s">
        <v>51</v>
      </c>
      <c r="H465" s="236">
        <f>'прил9 (ведом 22)'!M42</f>
        <v>63</v>
      </c>
    </row>
    <row r="466" spans="1:8" ht="72" x14ac:dyDescent="0.35">
      <c r="A466" s="392"/>
      <c r="B466" s="403" t="s">
        <v>55</v>
      </c>
      <c r="C466" s="221" t="s">
        <v>36</v>
      </c>
      <c r="D466" s="222" t="s">
        <v>40</v>
      </c>
      <c r="E466" s="222" t="s">
        <v>34</v>
      </c>
      <c r="F466" s="223" t="s">
        <v>530</v>
      </c>
      <c r="G466" s="35"/>
      <c r="H466" s="236">
        <f>H467+H468</f>
        <v>3485.2</v>
      </c>
    </row>
    <row r="467" spans="1:8" ht="90" x14ac:dyDescent="0.35">
      <c r="A467" s="392"/>
      <c r="B467" s="403" t="s">
        <v>44</v>
      </c>
      <c r="C467" s="221" t="s">
        <v>36</v>
      </c>
      <c r="D467" s="222" t="s">
        <v>40</v>
      </c>
      <c r="E467" s="222" t="s">
        <v>34</v>
      </c>
      <c r="F467" s="223" t="s">
        <v>530</v>
      </c>
      <c r="G467" s="35" t="s">
        <v>45</v>
      </c>
      <c r="H467" s="236">
        <f>'прил9 (ведом 22)'!M44</f>
        <v>3293.6</v>
      </c>
    </row>
    <row r="468" spans="1:8" ht="36" x14ac:dyDescent="0.35">
      <c r="A468" s="392"/>
      <c r="B468" s="234" t="s">
        <v>50</v>
      </c>
      <c r="C468" s="221" t="s">
        <v>36</v>
      </c>
      <c r="D468" s="222" t="s">
        <v>40</v>
      </c>
      <c r="E468" s="222" t="s">
        <v>34</v>
      </c>
      <c r="F468" s="223" t="s">
        <v>530</v>
      </c>
      <c r="G468" s="35" t="s">
        <v>51</v>
      </c>
      <c r="H468" s="236">
        <f>'прил9 (ведом 22)'!M45</f>
        <v>191.6</v>
      </c>
    </row>
    <row r="469" spans="1:8" ht="18" x14ac:dyDescent="0.35">
      <c r="A469" s="392"/>
      <c r="B469" s="403" t="s">
        <v>57</v>
      </c>
      <c r="C469" s="221" t="s">
        <v>36</v>
      </c>
      <c r="D469" s="222" t="s">
        <v>40</v>
      </c>
      <c r="E469" s="222" t="s">
        <v>58</v>
      </c>
      <c r="F469" s="223" t="s">
        <v>39</v>
      </c>
      <c r="G469" s="35"/>
      <c r="H469" s="236">
        <f>H470+H472+H474</f>
        <v>1585.2</v>
      </c>
    </row>
    <row r="470" spans="1:8" ht="36" x14ac:dyDescent="0.35">
      <c r="A470" s="392"/>
      <c r="B470" s="403" t="s">
        <v>42</v>
      </c>
      <c r="C470" s="221" t="s">
        <v>36</v>
      </c>
      <c r="D470" s="222" t="s">
        <v>40</v>
      </c>
      <c r="E470" s="222" t="s">
        <v>58</v>
      </c>
      <c r="F470" s="223" t="s">
        <v>43</v>
      </c>
      <c r="G470" s="35"/>
      <c r="H470" s="236">
        <f>H471</f>
        <v>15</v>
      </c>
    </row>
    <row r="471" spans="1:8" ht="36" x14ac:dyDescent="0.35">
      <c r="A471" s="392"/>
      <c r="B471" s="403" t="s">
        <v>50</v>
      </c>
      <c r="C471" s="221" t="s">
        <v>36</v>
      </c>
      <c r="D471" s="222" t="s">
        <v>40</v>
      </c>
      <c r="E471" s="222" t="s">
        <v>58</v>
      </c>
      <c r="F471" s="223" t="s">
        <v>43</v>
      </c>
      <c r="G471" s="35" t="s">
        <v>51</v>
      </c>
      <c r="H471" s="236">
        <f>'прил9 (ведом 22)'!M48</f>
        <v>15</v>
      </c>
    </row>
    <row r="472" spans="1:8" ht="36" x14ac:dyDescent="0.35">
      <c r="A472" s="392"/>
      <c r="B472" s="24" t="s">
        <v>525</v>
      </c>
      <c r="C472" s="571" t="s">
        <v>36</v>
      </c>
      <c r="D472" s="572" t="s">
        <v>40</v>
      </c>
      <c r="E472" s="572" t="s">
        <v>58</v>
      </c>
      <c r="F472" s="573" t="s">
        <v>524</v>
      </c>
      <c r="G472" s="35"/>
      <c r="H472" s="236">
        <f>H473</f>
        <v>112.4</v>
      </c>
    </row>
    <row r="473" spans="1:8" ht="36" x14ac:dyDescent="0.35">
      <c r="A473" s="392"/>
      <c r="B473" s="24" t="s">
        <v>50</v>
      </c>
      <c r="C473" s="571" t="s">
        <v>36</v>
      </c>
      <c r="D473" s="572" t="s">
        <v>40</v>
      </c>
      <c r="E473" s="572" t="s">
        <v>58</v>
      </c>
      <c r="F473" s="573" t="s">
        <v>524</v>
      </c>
      <c r="G473" s="35" t="s">
        <v>51</v>
      </c>
      <c r="H473" s="236">
        <f>'прил9 (ведом 22)'!M190</f>
        <v>112.4</v>
      </c>
    </row>
    <row r="474" spans="1:8" ht="54" x14ac:dyDescent="0.35">
      <c r="A474" s="392"/>
      <c r="B474" s="234" t="s">
        <v>375</v>
      </c>
      <c r="C474" s="221" t="s">
        <v>36</v>
      </c>
      <c r="D474" s="222" t="s">
        <v>40</v>
      </c>
      <c r="E474" s="222" t="s">
        <v>58</v>
      </c>
      <c r="F474" s="223" t="s">
        <v>374</v>
      </c>
      <c r="G474" s="35"/>
      <c r="H474" s="236">
        <f>H475+H476</f>
        <v>1457.8</v>
      </c>
    </row>
    <row r="475" spans="1:8" ht="36" x14ac:dyDescent="0.35">
      <c r="A475" s="392"/>
      <c r="B475" s="234" t="s">
        <v>50</v>
      </c>
      <c r="C475" s="221" t="s">
        <v>36</v>
      </c>
      <c r="D475" s="222" t="s">
        <v>40</v>
      </c>
      <c r="E475" s="222" t="s">
        <v>58</v>
      </c>
      <c r="F475" s="223" t="s">
        <v>374</v>
      </c>
      <c r="G475" s="35" t="s">
        <v>51</v>
      </c>
      <c r="H475" s="236">
        <f>'прил9 (ведом 22)'!M73</f>
        <v>1229.5</v>
      </c>
    </row>
    <row r="476" spans="1:8" ht="18" x14ac:dyDescent="0.35">
      <c r="A476" s="392"/>
      <c r="B476" s="234" t="s">
        <v>52</v>
      </c>
      <c r="C476" s="221" t="s">
        <v>36</v>
      </c>
      <c r="D476" s="222" t="s">
        <v>40</v>
      </c>
      <c r="E476" s="222" t="s">
        <v>58</v>
      </c>
      <c r="F476" s="223" t="s">
        <v>374</v>
      </c>
      <c r="G476" s="35" t="s">
        <v>53</v>
      </c>
      <c r="H476" s="236">
        <f>'прил9 (ведом 22)'!M74</f>
        <v>228.3</v>
      </c>
    </row>
    <row r="477" spans="1:8" ht="18" x14ac:dyDescent="0.35">
      <c r="A477" s="392"/>
      <c r="B477" s="403" t="s">
        <v>59</v>
      </c>
      <c r="C477" s="221" t="s">
        <v>36</v>
      </c>
      <c r="D477" s="222" t="s">
        <v>40</v>
      </c>
      <c r="E477" s="222" t="s">
        <v>47</v>
      </c>
      <c r="F477" s="223" t="s">
        <v>39</v>
      </c>
      <c r="G477" s="35"/>
      <c r="H477" s="236">
        <f>H478+H480</f>
        <v>2943.1</v>
      </c>
    </row>
    <row r="478" spans="1:8" ht="54" x14ac:dyDescent="0.35">
      <c r="A478" s="392"/>
      <c r="B478" s="429" t="s">
        <v>341</v>
      </c>
      <c r="C478" s="221" t="s">
        <v>36</v>
      </c>
      <c r="D478" s="222" t="s">
        <v>40</v>
      </c>
      <c r="E478" s="222" t="s">
        <v>47</v>
      </c>
      <c r="F478" s="223" t="s">
        <v>100</v>
      </c>
      <c r="G478" s="35"/>
      <c r="H478" s="236">
        <f>H479</f>
        <v>948.3</v>
      </c>
    </row>
    <row r="479" spans="1:8" ht="36" x14ac:dyDescent="0.35">
      <c r="A479" s="392"/>
      <c r="B479" s="403" t="s">
        <v>50</v>
      </c>
      <c r="C479" s="221" t="s">
        <v>36</v>
      </c>
      <c r="D479" s="222" t="s">
        <v>40</v>
      </c>
      <c r="E479" s="222" t="s">
        <v>47</v>
      </c>
      <c r="F479" s="223" t="s">
        <v>100</v>
      </c>
      <c r="G479" s="35" t="s">
        <v>51</v>
      </c>
      <c r="H479" s="236">
        <f>'прил9 (ведом 22)'!M77</f>
        <v>948.3</v>
      </c>
    </row>
    <row r="480" spans="1:8" ht="54" x14ac:dyDescent="0.35">
      <c r="A480" s="392"/>
      <c r="B480" s="403" t="s">
        <v>343</v>
      </c>
      <c r="C480" s="221" t="s">
        <v>36</v>
      </c>
      <c r="D480" s="222" t="s">
        <v>40</v>
      </c>
      <c r="E480" s="222" t="s">
        <v>47</v>
      </c>
      <c r="F480" s="223" t="s">
        <v>342</v>
      </c>
      <c r="G480" s="35"/>
      <c r="H480" s="236">
        <f>H481</f>
        <v>1994.8</v>
      </c>
    </row>
    <row r="481" spans="1:8" ht="36" x14ac:dyDescent="0.35">
      <c r="A481" s="392"/>
      <c r="B481" s="403" t="s">
        <v>50</v>
      </c>
      <c r="C481" s="221" t="s">
        <v>36</v>
      </c>
      <c r="D481" s="222" t="s">
        <v>40</v>
      </c>
      <c r="E481" s="222" t="s">
        <v>47</v>
      </c>
      <c r="F481" s="223" t="s">
        <v>342</v>
      </c>
      <c r="G481" s="35" t="s">
        <v>51</v>
      </c>
      <c r="H481" s="236">
        <f>'прил9 (ведом 22)'!M79</f>
        <v>1994.8</v>
      </c>
    </row>
    <row r="482" spans="1:8" ht="51" customHeight="1" x14ac:dyDescent="0.35">
      <c r="A482" s="437"/>
      <c r="B482" s="450" t="s">
        <v>288</v>
      </c>
      <c r="C482" s="417" t="s">
        <v>36</v>
      </c>
      <c r="D482" s="438" t="s">
        <v>40</v>
      </c>
      <c r="E482" s="438" t="s">
        <v>76</v>
      </c>
      <c r="F482" s="451" t="s">
        <v>39</v>
      </c>
      <c r="G482" s="452"/>
      <c r="H482" s="236">
        <f>H483</f>
        <v>5965.0000000000009</v>
      </c>
    </row>
    <row r="483" spans="1:8" ht="36" x14ac:dyDescent="0.35">
      <c r="A483" s="437"/>
      <c r="B483" s="403" t="s">
        <v>437</v>
      </c>
      <c r="C483" s="417" t="s">
        <v>36</v>
      </c>
      <c r="D483" s="438" t="s">
        <v>40</v>
      </c>
      <c r="E483" s="438" t="s">
        <v>76</v>
      </c>
      <c r="F483" s="451" t="s">
        <v>86</v>
      </c>
      <c r="G483" s="452"/>
      <c r="H483" s="236">
        <f>SUM(H484:H485)</f>
        <v>5965.0000000000009</v>
      </c>
    </row>
    <row r="484" spans="1:8" ht="90" x14ac:dyDescent="0.35">
      <c r="A484" s="437"/>
      <c r="B484" s="450" t="s">
        <v>44</v>
      </c>
      <c r="C484" s="417" t="s">
        <v>36</v>
      </c>
      <c r="D484" s="438" t="s">
        <v>40</v>
      </c>
      <c r="E484" s="438" t="s">
        <v>76</v>
      </c>
      <c r="F484" s="451" t="s">
        <v>86</v>
      </c>
      <c r="G484" s="452" t="s">
        <v>45</v>
      </c>
      <c r="H484" s="236">
        <f>'прил9 (ведом 22)'!M301</f>
        <v>5494.4000000000005</v>
      </c>
    </row>
    <row r="485" spans="1:8" ht="36" x14ac:dyDescent="0.35">
      <c r="A485" s="437"/>
      <c r="B485" s="403" t="s">
        <v>50</v>
      </c>
      <c r="C485" s="417" t="s">
        <v>36</v>
      </c>
      <c r="D485" s="438" t="s">
        <v>40</v>
      </c>
      <c r="E485" s="438" t="s">
        <v>76</v>
      </c>
      <c r="F485" s="451" t="s">
        <v>86</v>
      </c>
      <c r="G485" s="452" t="s">
        <v>51</v>
      </c>
      <c r="H485" s="236">
        <f>'прил9 (ведом 22)'!M302</f>
        <v>470.6</v>
      </c>
    </row>
    <row r="486" spans="1:8" ht="38.25" customHeight="1" x14ac:dyDescent="0.35">
      <c r="A486" s="437"/>
      <c r="B486" s="416" t="s">
        <v>369</v>
      </c>
      <c r="C486" s="221" t="s">
        <v>36</v>
      </c>
      <c r="D486" s="222" t="s">
        <v>40</v>
      </c>
      <c r="E486" s="222" t="s">
        <v>74</v>
      </c>
      <c r="F486" s="223" t="s">
        <v>39</v>
      </c>
      <c r="G486" s="35"/>
      <c r="H486" s="236">
        <f>H487</f>
        <v>9.4</v>
      </c>
    </row>
    <row r="487" spans="1:8" ht="18" x14ac:dyDescent="0.35">
      <c r="A487" s="437"/>
      <c r="B487" s="416" t="s">
        <v>370</v>
      </c>
      <c r="C487" s="221" t="s">
        <v>36</v>
      </c>
      <c r="D487" s="222" t="s">
        <v>40</v>
      </c>
      <c r="E487" s="222" t="s">
        <v>74</v>
      </c>
      <c r="F487" s="223" t="s">
        <v>371</v>
      </c>
      <c r="G487" s="35"/>
      <c r="H487" s="236">
        <f>H488</f>
        <v>9.4</v>
      </c>
    </row>
    <row r="488" spans="1:8" ht="36" x14ac:dyDescent="0.35">
      <c r="A488" s="437"/>
      <c r="B488" s="416" t="s">
        <v>372</v>
      </c>
      <c r="C488" s="221" t="s">
        <v>36</v>
      </c>
      <c r="D488" s="222" t="s">
        <v>40</v>
      </c>
      <c r="E488" s="222" t="s">
        <v>74</v>
      </c>
      <c r="F488" s="223" t="s">
        <v>371</v>
      </c>
      <c r="G488" s="35" t="s">
        <v>373</v>
      </c>
      <c r="H488" s="236">
        <f>'прил9 (ведом 22)'!M210</f>
        <v>9.4</v>
      </c>
    </row>
    <row r="489" spans="1:8" ht="36" x14ac:dyDescent="0.35">
      <c r="A489" s="437"/>
      <c r="B489" s="234" t="s">
        <v>320</v>
      </c>
      <c r="C489" s="221" t="s">
        <v>36</v>
      </c>
      <c r="D489" s="222" t="s">
        <v>40</v>
      </c>
      <c r="E489" s="222" t="s">
        <v>83</v>
      </c>
      <c r="F489" s="223" t="s">
        <v>39</v>
      </c>
      <c r="G489" s="452"/>
      <c r="H489" s="236">
        <f>H490+H495+H493</f>
        <v>25723</v>
      </c>
    </row>
    <row r="490" spans="1:8" ht="36" x14ac:dyDescent="0.35">
      <c r="A490" s="437"/>
      <c r="B490" s="403" t="s">
        <v>437</v>
      </c>
      <c r="C490" s="221" t="s">
        <v>36</v>
      </c>
      <c r="D490" s="222" t="s">
        <v>40</v>
      </c>
      <c r="E490" s="222" t="s">
        <v>83</v>
      </c>
      <c r="F490" s="223" t="s">
        <v>86</v>
      </c>
      <c r="G490" s="35"/>
      <c r="H490" s="236">
        <f>SUM(H491:H492)</f>
        <v>5759.7</v>
      </c>
    </row>
    <row r="491" spans="1:8" ht="90" x14ac:dyDescent="0.35">
      <c r="A491" s="437"/>
      <c r="B491" s="234" t="s">
        <v>44</v>
      </c>
      <c r="C491" s="221" t="s">
        <v>36</v>
      </c>
      <c r="D491" s="222" t="s">
        <v>40</v>
      </c>
      <c r="E491" s="222" t="s">
        <v>83</v>
      </c>
      <c r="F491" s="223" t="s">
        <v>86</v>
      </c>
      <c r="G491" s="35" t="s">
        <v>45</v>
      </c>
      <c r="H491" s="236">
        <f>'прил9 (ведом 22)'!M157</f>
        <v>5614.4</v>
      </c>
    </row>
    <row r="492" spans="1:8" ht="36" x14ac:dyDescent="0.35">
      <c r="A492" s="437"/>
      <c r="B492" s="234" t="s">
        <v>50</v>
      </c>
      <c r="C492" s="221" t="s">
        <v>36</v>
      </c>
      <c r="D492" s="222" t="s">
        <v>40</v>
      </c>
      <c r="E492" s="222" t="s">
        <v>83</v>
      </c>
      <c r="F492" s="223" t="s">
        <v>86</v>
      </c>
      <c r="G492" s="35" t="s">
        <v>51</v>
      </c>
      <c r="H492" s="236">
        <f>'прил9 (ведом 22)'!M158</f>
        <v>145.30000000000001</v>
      </c>
    </row>
    <row r="493" spans="1:8" ht="36" x14ac:dyDescent="0.35">
      <c r="A493" s="437"/>
      <c r="B493" s="24" t="s">
        <v>557</v>
      </c>
      <c r="C493" s="571" t="s">
        <v>36</v>
      </c>
      <c r="D493" s="572" t="s">
        <v>40</v>
      </c>
      <c r="E493" s="572" t="s">
        <v>83</v>
      </c>
      <c r="F493" s="573" t="s">
        <v>558</v>
      </c>
      <c r="G493" s="10"/>
      <c r="H493" s="236">
        <f>H494</f>
        <v>6607.3</v>
      </c>
    </row>
    <row r="494" spans="1:8" ht="36" x14ac:dyDescent="0.35">
      <c r="A494" s="437"/>
      <c r="B494" s="24" t="s">
        <v>50</v>
      </c>
      <c r="C494" s="571" t="s">
        <v>36</v>
      </c>
      <c r="D494" s="572" t="s">
        <v>40</v>
      </c>
      <c r="E494" s="572" t="s">
        <v>83</v>
      </c>
      <c r="F494" s="573" t="s">
        <v>558</v>
      </c>
      <c r="G494" s="10" t="s">
        <v>51</v>
      </c>
      <c r="H494" s="236">
        <f>'прил9 (ведом 22)'!M160</f>
        <v>6607.3</v>
      </c>
    </row>
    <row r="495" spans="1:8" ht="36" x14ac:dyDescent="0.35">
      <c r="A495" s="437"/>
      <c r="B495" s="234" t="s">
        <v>529</v>
      </c>
      <c r="C495" s="221" t="s">
        <v>36</v>
      </c>
      <c r="D495" s="222" t="s">
        <v>40</v>
      </c>
      <c r="E495" s="222" t="s">
        <v>83</v>
      </c>
      <c r="F495" s="223" t="s">
        <v>528</v>
      </c>
      <c r="G495" s="35"/>
      <c r="H495" s="236">
        <f>H496</f>
        <v>13356</v>
      </c>
    </row>
    <row r="496" spans="1:8" ht="36" x14ac:dyDescent="0.35">
      <c r="A496" s="437"/>
      <c r="B496" s="234" t="s">
        <v>50</v>
      </c>
      <c r="C496" s="221" t="s">
        <v>36</v>
      </c>
      <c r="D496" s="222" t="s">
        <v>40</v>
      </c>
      <c r="E496" s="222" t="s">
        <v>83</v>
      </c>
      <c r="F496" s="223" t="s">
        <v>528</v>
      </c>
      <c r="G496" s="35" t="s">
        <v>51</v>
      </c>
      <c r="H496" s="236">
        <f>'прил9 (ведом 22)'!M162</f>
        <v>13356</v>
      </c>
    </row>
    <row r="497" spans="1:8" ht="36" x14ac:dyDescent="0.35">
      <c r="A497" s="437"/>
      <c r="B497" s="234" t="s">
        <v>445</v>
      </c>
      <c r="C497" s="221" t="s">
        <v>36</v>
      </c>
      <c r="D497" s="222" t="s">
        <v>40</v>
      </c>
      <c r="E497" s="222" t="s">
        <v>400</v>
      </c>
      <c r="F497" s="223" t="s">
        <v>39</v>
      </c>
      <c r="G497" s="35"/>
      <c r="H497" s="236">
        <f>H498</f>
        <v>120.1</v>
      </c>
    </row>
    <row r="498" spans="1:8" ht="36" x14ac:dyDescent="0.35">
      <c r="A498" s="437"/>
      <c r="B498" s="431" t="s">
        <v>122</v>
      </c>
      <c r="C498" s="221" t="s">
        <v>36</v>
      </c>
      <c r="D498" s="222" t="s">
        <v>40</v>
      </c>
      <c r="E498" s="222" t="s">
        <v>400</v>
      </c>
      <c r="F498" s="223" t="s">
        <v>85</v>
      </c>
      <c r="G498" s="35"/>
      <c r="H498" s="236">
        <f>H499</f>
        <v>120.1</v>
      </c>
    </row>
    <row r="499" spans="1:8" ht="36" x14ac:dyDescent="0.35">
      <c r="A499" s="437"/>
      <c r="B499" s="234" t="s">
        <v>50</v>
      </c>
      <c r="C499" s="221" t="s">
        <v>36</v>
      </c>
      <c r="D499" s="222" t="s">
        <v>40</v>
      </c>
      <c r="E499" s="222" t="s">
        <v>400</v>
      </c>
      <c r="F499" s="223" t="s">
        <v>85</v>
      </c>
      <c r="G499" s="35" t="s">
        <v>51</v>
      </c>
      <c r="H499" s="236">
        <f>'прил9 (ведом 22)'!M82</f>
        <v>120.1</v>
      </c>
    </row>
    <row r="500" spans="1:8" ht="36" x14ac:dyDescent="0.35">
      <c r="A500" s="437"/>
      <c r="B500" s="234" t="s">
        <v>441</v>
      </c>
      <c r="C500" s="221" t="s">
        <v>36</v>
      </c>
      <c r="D500" s="222" t="s">
        <v>40</v>
      </c>
      <c r="E500" s="222" t="s">
        <v>36</v>
      </c>
      <c r="F500" s="223" t="s">
        <v>39</v>
      </c>
      <c r="G500" s="35"/>
      <c r="H500" s="236">
        <f>H501</f>
        <v>60</v>
      </c>
    </row>
    <row r="501" spans="1:8" ht="18" x14ac:dyDescent="0.35">
      <c r="A501" s="437"/>
      <c r="B501" s="431" t="s">
        <v>439</v>
      </c>
      <c r="C501" s="221" t="s">
        <v>36</v>
      </c>
      <c r="D501" s="222" t="s">
        <v>40</v>
      </c>
      <c r="E501" s="222" t="s">
        <v>36</v>
      </c>
      <c r="F501" s="223" t="s">
        <v>440</v>
      </c>
      <c r="G501" s="35"/>
      <c r="H501" s="236">
        <f>H502</f>
        <v>60</v>
      </c>
    </row>
    <row r="502" spans="1:8" ht="39.6" customHeight="1" x14ac:dyDescent="0.35">
      <c r="A502" s="437"/>
      <c r="B502" s="234" t="s">
        <v>50</v>
      </c>
      <c r="C502" s="221" t="s">
        <v>36</v>
      </c>
      <c r="D502" s="222" t="s">
        <v>40</v>
      </c>
      <c r="E502" s="222" t="s">
        <v>36</v>
      </c>
      <c r="F502" s="223" t="s">
        <v>440</v>
      </c>
      <c r="G502" s="35" t="s">
        <v>51</v>
      </c>
      <c r="H502" s="236">
        <f>'прил9 (ведом 22)'!M85</f>
        <v>60</v>
      </c>
    </row>
    <row r="503" spans="1:8" ht="18" x14ac:dyDescent="0.35">
      <c r="A503" s="437"/>
      <c r="B503" s="403"/>
      <c r="C503" s="222"/>
      <c r="D503" s="222"/>
      <c r="E503" s="222"/>
      <c r="F503" s="223"/>
      <c r="G503" s="35"/>
      <c r="H503" s="236"/>
    </row>
    <row r="504" spans="1:8" ht="55.2" customHeight="1" x14ac:dyDescent="0.3">
      <c r="A504" s="412">
        <v>16</v>
      </c>
      <c r="B504" s="442" t="s">
        <v>228</v>
      </c>
      <c r="C504" s="413" t="s">
        <v>229</v>
      </c>
      <c r="D504" s="413" t="s">
        <v>37</v>
      </c>
      <c r="E504" s="413" t="s">
        <v>38</v>
      </c>
      <c r="F504" s="414" t="s">
        <v>39</v>
      </c>
      <c r="G504" s="401"/>
      <c r="H504" s="283">
        <f>H505</f>
        <v>53.4</v>
      </c>
    </row>
    <row r="505" spans="1:8" ht="20.399999999999999" customHeight="1" x14ac:dyDescent="0.35">
      <c r="A505" s="392"/>
      <c r="B505" s="403" t="s">
        <v>328</v>
      </c>
      <c r="C505" s="221" t="s">
        <v>229</v>
      </c>
      <c r="D505" s="222" t="s">
        <v>40</v>
      </c>
      <c r="E505" s="222" t="s">
        <v>38</v>
      </c>
      <c r="F505" s="223" t="s">
        <v>39</v>
      </c>
      <c r="G505" s="35"/>
      <c r="H505" s="236">
        <f>H506</f>
        <v>53.4</v>
      </c>
    </row>
    <row r="506" spans="1:8" ht="56.4" customHeight="1" x14ac:dyDescent="0.35">
      <c r="A506" s="392"/>
      <c r="B506" s="403" t="s">
        <v>274</v>
      </c>
      <c r="C506" s="221" t="s">
        <v>229</v>
      </c>
      <c r="D506" s="222" t="s">
        <v>40</v>
      </c>
      <c r="E506" s="222" t="s">
        <v>32</v>
      </c>
      <c r="F506" s="223" t="s">
        <v>39</v>
      </c>
      <c r="G506" s="35"/>
      <c r="H506" s="236">
        <f>H507</f>
        <v>53.4</v>
      </c>
    </row>
    <row r="507" spans="1:8" ht="36" x14ac:dyDescent="0.35">
      <c r="A507" s="392"/>
      <c r="B507" s="403" t="s">
        <v>230</v>
      </c>
      <c r="C507" s="221" t="s">
        <v>229</v>
      </c>
      <c r="D507" s="222" t="s">
        <v>40</v>
      </c>
      <c r="E507" s="222" t="s">
        <v>32</v>
      </c>
      <c r="F507" s="223" t="s">
        <v>268</v>
      </c>
      <c r="G507" s="35"/>
      <c r="H507" s="236">
        <f>H508</f>
        <v>53.4</v>
      </c>
    </row>
    <row r="508" spans="1:8" ht="39" customHeight="1" x14ac:dyDescent="0.35">
      <c r="A508" s="392"/>
      <c r="B508" s="403" t="s">
        <v>71</v>
      </c>
      <c r="C508" s="221" t="s">
        <v>229</v>
      </c>
      <c r="D508" s="222" t="s">
        <v>40</v>
      </c>
      <c r="E508" s="222" t="s">
        <v>32</v>
      </c>
      <c r="F508" s="223" t="s">
        <v>268</v>
      </c>
      <c r="G508" s="35" t="s">
        <v>72</v>
      </c>
      <c r="H508" s="236">
        <f>'прил9 (ведом 22)'!M397</f>
        <v>53.4</v>
      </c>
    </row>
    <row r="509" spans="1:8" ht="18" x14ac:dyDescent="0.35">
      <c r="A509" s="437"/>
      <c r="B509" s="403"/>
      <c r="C509" s="222"/>
      <c r="D509" s="222"/>
      <c r="E509" s="222"/>
      <c r="F509" s="222"/>
      <c r="G509" s="35"/>
      <c r="H509" s="236"/>
    </row>
    <row r="510" spans="1:8" ht="34.799999999999997" x14ac:dyDescent="0.3">
      <c r="A510" s="412">
        <v>17</v>
      </c>
      <c r="B510" s="489" t="s">
        <v>125</v>
      </c>
      <c r="C510" s="413" t="s">
        <v>126</v>
      </c>
      <c r="D510" s="413" t="s">
        <v>37</v>
      </c>
      <c r="E510" s="413" t="s">
        <v>38</v>
      </c>
      <c r="F510" s="413" t="s">
        <v>39</v>
      </c>
      <c r="G510" s="401"/>
      <c r="H510" s="283">
        <f>H511</f>
        <v>6007</v>
      </c>
    </row>
    <row r="511" spans="1:8" ht="39.6" customHeight="1" x14ac:dyDescent="0.35">
      <c r="A511" s="392"/>
      <c r="B511" s="430" t="s">
        <v>127</v>
      </c>
      <c r="C511" s="221" t="s">
        <v>126</v>
      </c>
      <c r="D511" s="222" t="s">
        <v>40</v>
      </c>
      <c r="E511" s="222" t="s">
        <v>38</v>
      </c>
      <c r="F511" s="223" t="s">
        <v>39</v>
      </c>
      <c r="G511" s="35"/>
      <c r="H511" s="236">
        <f>H512+H516</f>
        <v>6007</v>
      </c>
    </row>
    <row r="512" spans="1:8" ht="37.950000000000003" customHeight="1" x14ac:dyDescent="0.35">
      <c r="A512" s="392"/>
      <c r="B512" s="403" t="s">
        <v>42</v>
      </c>
      <c r="C512" s="221" t="s">
        <v>126</v>
      </c>
      <c r="D512" s="222" t="s">
        <v>40</v>
      </c>
      <c r="E512" s="222" t="s">
        <v>38</v>
      </c>
      <c r="F512" s="223" t="s">
        <v>43</v>
      </c>
      <c r="G512" s="35"/>
      <c r="H512" s="236">
        <f>H513+H514+H515</f>
        <v>4928.1000000000004</v>
      </c>
    </row>
    <row r="513" spans="1:8" ht="91.95" customHeight="1" x14ac:dyDescent="0.35">
      <c r="A513" s="392"/>
      <c r="B513" s="432" t="s">
        <v>44</v>
      </c>
      <c r="C513" s="221" t="s">
        <v>126</v>
      </c>
      <c r="D513" s="222" t="s">
        <v>40</v>
      </c>
      <c r="E513" s="222" t="s">
        <v>38</v>
      </c>
      <c r="F513" s="223" t="s">
        <v>43</v>
      </c>
      <c r="G513" s="35" t="s">
        <v>45</v>
      </c>
      <c r="H513" s="236">
        <f>'прил9 (ведом 22)'!M255</f>
        <v>4671.3</v>
      </c>
    </row>
    <row r="514" spans="1:8" ht="36" x14ac:dyDescent="0.35">
      <c r="A514" s="392"/>
      <c r="B514" s="403" t="s">
        <v>50</v>
      </c>
      <c r="C514" s="221" t="s">
        <v>126</v>
      </c>
      <c r="D514" s="222" t="s">
        <v>40</v>
      </c>
      <c r="E514" s="222" t="s">
        <v>38</v>
      </c>
      <c r="F514" s="223" t="s">
        <v>43</v>
      </c>
      <c r="G514" s="35" t="s">
        <v>51</v>
      </c>
      <c r="H514" s="236">
        <f>'прил9 (ведом 22)'!M256</f>
        <v>246.8</v>
      </c>
    </row>
    <row r="515" spans="1:8" ht="18" x14ac:dyDescent="0.35">
      <c r="A515" s="392"/>
      <c r="B515" s="403" t="s">
        <v>52</v>
      </c>
      <c r="C515" s="221" t="s">
        <v>126</v>
      </c>
      <c r="D515" s="222" t="s">
        <v>40</v>
      </c>
      <c r="E515" s="222" t="s">
        <v>38</v>
      </c>
      <c r="F515" s="223" t="s">
        <v>43</v>
      </c>
      <c r="G515" s="35" t="s">
        <v>53</v>
      </c>
      <c r="H515" s="236">
        <f>'прил9 (ведом 22)'!M257</f>
        <v>10</v>
      </c>
    </row>
    <row r="516" spans="1:8" ht="38.4" customHeight="1" x14ac:dyDescent="0.35">
      <c r="A516" s="392"/>
      <c r="B516" s="403" t="s">
        <v>231</v>
      </c>
      <c r="C516" s="221" t="s">
        <v>126</v>
      </c>
      <c r="D516" s="222" t="s">
        <v>40</v>
      </c>
      <c r="E516" s="222" t="s">
        <v>38</v>
      </c>
      <c r="F516" s="223" t="s">
        <v>128</v>
      </c>
      <c r="G516" s="35"/>
      <c r="H516" s="236">
        <f>SUM(H517:H517)</f>
        <v>1078.9000000000001</v>
      </c>
    </row>
    <row r="517" spans="1:8" ht="92.4" customHeight="1" x14ac:dyDescent="0.35">
      <c r="A517" s="392"/>
      <c r="B517" s="403" t="s">
        <v>44</v>
      </c>
      <c r="C517" s="221" t="s">
        <v>126</v>
      </c>
      <c r="D517" s="222" t="s">
        <v>40</v>
      </c>
      <c r="E517" s="222" t="s">
        <v>38</v>
      </c>
      <c r="F517" s="223" t="s">
        <v>128</v>
      </c>
      <c r="G517" s="35" t="s">
        <v>45</v>
      </c>
      <c r="H517" s="236">
        <f>'прил9 (ведом 22)'!M259</f>
        <v>1078.9000000000001</v>
      </c>
    </row>
    <row r="518" spans="1:8" ht="18" x14ac:dyDescent="0.35">
      <c r="A518" s="392"/>
      <c r="B518" s="234"/>
      <c r="C518" s="565"/>
      <c r="D518" s="565"/>
      <c r="E518" s="565"/>
      <c r="F518" s="565"/>
      <c r="G518" s="258"/>
      <c r="H518" s="236"/>
    </row>
    <row r="519" spans="1:8" s="402" customFormat="1" ht="44.25" customHeight="1" x14ac:dyDescent="0.3">
      <c r="A519" s="412">
        <v>18</v>
      </c>
      <c r="B519" s="536" t="s">
        <v>427</v>
      </c>
      <c r="C519" s="413" t="s">
        <v>63</v>
      </c>
      <c r="D519" s="413" t="s">
        <v>37</v>
      </c>
      <c r="E519" s="413" t="s">
        <v>38</v>
      </c>
      <c r="F519" s="413" t="s">
        <v>39</v>
      </c>
      <c r="G519" s="401"/>
      <c r="H519" s="283">
        <f>H520</f>
        <v>11000</v>
      </c>
    </row>
    <row r="520" spans="1:8" ht="18.600000000000001" customHeight="1" x14ac:dyDescent="0.35">
      <c r="A520" s="392"/>
      <c r="B520" s="432" t="s">
        <v>424</v>
      </c>
      <c r="C520" s="221" t="s">
        <v>63</v>
      </c>
      <c r="D520" s="222" t="s">
        <v>40</v>
      </c>
      <c r="E520" s="222" t="s">
        <v>38</v>
      </c>
      <c r="F520" s="223" t="s">
        <v>39</v>
      </c>
      <c r="G520" s="35"/>
      <c r="H520" s="236">
        <f>H521</f>
        <v>11000</v>
      </c>
    </row>
    <row r="521" spans="1:8" ht="36" x14ac:dyDescent="0.35">
      <c r="A521" s="392"/>
      <c r="B521" s="403" t="s">
        <v>422</v>
      </c>
      <c r="C521" s="221" t="s">
        <v>63</v>
      </c>
      <c r="D521" s="222" t="s">
        <v>40</v>
      </c>
      <c r="E521" s="222" t="s">
        <v>38</v>
      </c>
      <c r="F521" s="223" t="s">
        <v>64</v>
      </c>
      <c r="G521" s="35"/>
      <c r="H521" s="236">
        <f>H522</f>
        <v>11000</v>
      </c>
    </row>
    <row r="522" spans="1:8" ht="18" x14ac:dyDescent="0.35">
      <c r="A522" s="392"/>
      <c r="B522" s="403" t="s">
        <v>52</v>
      </c>
      <c r="C522" s="221" t="s">
        <v>63</v>
      </c>
      <c r="D522" s="222" t="s">
        <v>40</v>
      </c>
      <c r="E522" s="222" t="s">
        <v>38</v>
      </c>
      <c r="F522" s="223" t="s">
        <v>64</v>
      </c>
      <c r="G522" s="35" t="s">
        <v>53</v>
      </c>
      <c r="H522" s="236">
        <f>'прил9 (ведом 22)'!M59</f>
        <v>11000</v>
      </c>
    </row>
    <row r="523" spans="1:8" ht="18" x14ac:dyDescent="0.35">
      <c r="A523" s="537"/>
      <c r="B523" s="538"/>
      <c r="C523" s="67"/>
      <c r="D523" s="67"/>
      <c r="E523" s="67"/>
      <c r="F523" s="67"/>
      <c r="G523" s="67"/>
      <c r="H523" s="539"/>
    </row>
    <row r="524" spans="1:8" ht="17.399999999999999" x14ac:dyDescent="0.3">
      <c r="A524" s="388"/>
      <c r="B524" s="50"/>
      <c r="C524" s="51"/>
      <c r="D524" s="51"/>
      <c r="E524" s="51"/>
      <c r="F524" s="51"/>
      <c r="G524" s="52"/>
    </row>
    <row r="525" spans="1:8" ht="18" x14ac:dyDescent="0.35">
      <c r="A525" s="49" t="s">
        <v>366</v>
      </c>
      <c r="B525" s="50"/>
      <c r="C525" s="51"/>
      <c r="D525" s="51"/>
      <c r="E525" s="51"/>
      <c r="F525" s="51"/>
      <c r="G525" s="52"/>
    </row>
    <row r="526" spans="1:8" ht="18" x14ac:dyDescent="0.35">
      <c r="A526" s="49" t="s">
        <v>367</v>
      </c>
      <c r="B526" s="50"/>
      <c r="C526" s="51"/>
      <c r="D526" s="51"/>
      <c r="E526" s="51"/>
      <c r="F526" s="51"/>
      <c r="G526" s="52"/>
    </row>
    <row r="527" spans="1:8" ht="18" x14ac:dyDescent="0.35">
      <c r="A527" s="55" t="s">
        <v>368</v>
      </c>
      <c r="B527" s="50"/>
      <c r="C527" s="54"/>
      <c r="D527" s="51"/>
      <c r="E527" s="51"/>
      <c r="F527" s="51"/>
      <c r="G527" s="54"/>
      <c r="H527" s="56" t="s">
        <v>387</v>
      </c>
    </row>
    <row r="528" spans="1:8" x14ac:dyDescent="0.3">
      <c r="A528" s="388"/>
      <c r="B528" s="50"/>
      <c r="C528" s="51"/>
      <c r="D528" s="51"/>
      <c r="E528" s="51"/>
      <c r="F528" s="51"/>
    </row>
    <row r="529" spans="1:8" x14ac:dyDescent="0.3">
      <c r="A529" s="388"/>
      <c r="B529" s="50"/>
      <c r="C529" s="51"/>
      <c r="D529" s="51"/>
      <c r="E529" s="51"/>
      <c r="F529" s="51"/>
    </row>
    <row r="530" spans="1:8" x14ac:dyDescent="0.3">
      <c r="A530" s="388"/>
      <c r="B530" s="50"/>
      <c r="C530" s="51"/>
      <c r="D530" s="51"/>
      <c r="E530" s="51"/>
      <c r="F530" s="51"/>
    </row>
    <row r="531" spans="1:8" ht="17.399999999999999" hidden="1" x14ac:dyDescent="0.3">
      <c r="A531" s="388"/>
      <c r="B531" s="50"/>
      <c r="C531" s="51"/>
      <c r="D531" s="51"/>
      <c r="E531" s="51"/>
      <c r="F531" s="51"/>
      <c r="G531" s="52"/>
    </row>
    <row r="532" spans="1:8" hidden="1" x14ac:dyDescent="0.3">
      <c r="B532" s="496" t="s">
        <v>232</v>
      </c>
      <c r="H532" s="387">
        <f>H15+H134+H186+H227+H252+H286+H308+H346+H404+H413+H419+H429+H437+H443+H380+H504</f>
        <v>1848450.9</v>
      </c>
    </row>
    <row r="533" spans="1:8" hidden="1" x14ac:dyDescent="0.3"/>
    <row r="534" spans="1:8" hidden="1" x14ac:dyDescent="0.3">
      <c r="H534" s="387">
        <f>(H532/H14)*100</f>
        <v>99.08832035287422</v>
      </c>
    </row>
    <row r="535" spans="1:8" hidden="1" x14ac:dyDescent="0.3"/>
    <row r="536" spans="1:8" hidden="1" x14ac:dyDescent="0.3">
      <c r="B536" s="496" t="s">
        <v>233</v>
      </c>
      <c r="H536" s="387">
        <f>H510+H519</f>
        <v>17007</v>
      </c>
    </row>
    <row r="537" spans="1:8" hidden="1" x14ac:dyDescent="0.3">
      <c r="H537" s="387">
        <f>(H536/H538)*100</f>
        <v>0.91167964712578087</v>
      </c>
    </row>
    <row r="538" spans="1:8" hidden="1" x14ac:dyDescent="0.3">
      <c r="H538" s="387">
        <f>H532+H536</f>
        <v>1865457.9</v>
      </c>
    </row>
  </sheetData>
  <autoFilter ref="A4:H538"/>
  <mergeCells count="3">
    <mergeCell ref="A9:H9"/>
    <mergeCell ref="C12:F12"/>
    <mergeCell ref="C13:F13"/>
  </mergeCells>
  <printOptions horizontalCentered="1"/>
  <pageMargins left="1.1811023622047245" right="0.39370078740157483" top="0.78740157480314965" bottom="0.39370078740157483" header="0" footer="0"/>
  <pageSetup paperSize="9" scale="78" fitToHeight="0" orientation="portrait" blackAndWhite="1" r:id="rId1"/>
  <headerFooter differentFirst="1" alignWithMargins="0">
    <oddHeader>&amp;C&amp;"Times New Roman,обычный"&amp;12&amp;P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L457"/>
  <sheetViews>
    <sheetView zoomScale="80" zoomScaleNormal="80" zoomScaleSheetLayoutView="40" workbookViewId="0">
      <pane ySplit="6" topLeftCell="A7" activePane="bottomLeft" state="frozen"/>
      <selection activeCell="E22" sqref="E22"/>
      <selection pane="bottomLeft" activeCell="K1" sqref="K1:L1048576"/>
    </sheetView>
  </sheetViews>
  <sheetFormatPr defaultColWidth="9.109375" defaultRowHeight="15.6" x14ac:dyDescent="0.3"/>
  <cols>
    <col min="1" max="1" width="4.5546875" style="386" customWidth="1"/>
    <col min="2" max="2" width="62.44140625" style="496" customWidth="1"/>
    <col min="3" max="3" width="3.109375" style="497" customWidth="1"/>
    <col min="4" max="4" width="2.33203125" style="497" customWidth="1"/>
    <col min="5" max="5" width="3" style="497" customWidth="1"/>
    <col min="6" max="6" width="8" style="497" customWidth="1"/>
    <col min="7" max="7" width="5.5546875" style="495" customWidth="1"/>
    <col min="8" max="8" width="14.109375" style="53" customWidth="1"/>
    <col min="9" max="9" width="13.33203125" style="54" customWidth="1"/>
    <col min="10" max="10" width="17.6640625" style="54" customWidth="1"/>
    <col min="11" max="11" width="16.44140625" style="54" hidden="1" customWidth="1"/>
    <col min="12" max="12" width="14.77734375" style="54" hidden="1" customWidth="1"/>
    <col min="13" max="16384" width="9.109375" style="54"/>
  </cols>
  <sheetData>
    <row r="1" spans="1:12" ht="18" x14ac:dyDescent="0.35">
      <c r="I1" s="166" t="s">
        <v>499</v>
      </c>
    </row>
    <row r="2" spans="1:12" ht="18" x14ac:dyDescent="0.35">
      <c r="I2" s="166" t="s">
        <v>546</v>
      </c>
    </row>
    <row r="4" spans="1:12" s="43" customFormat="1" ht="18" x14ac:dyDescent="0.35">
      <c r="I4" s="47" t="s">
        <v>502</v>
      </c>
    </row>
    <row r="5" spans="1:12" s="43" customFormat="1" ht="18" x14ac:dyDescent="0.35">
      <c r="I5" s="47" t="s">
        <v>545</v>
      </c>
    </row>
    <row r="9" spans="1:12" ht="76.5" customHeight="1" x14ac:dyDescent="0.3">
      <c r="A9" s="591" t="s">
        <v>494</v>
      </c>
      <c r="B9" s="591"/>
      <c r="C9" s="591"/>
      <c r="D9" s="591"/>
      <c r="E9" s="591"/>
      <c r="F9" s="591"/>
      <c r="G9" s="591"/>
      <c r="H9" s="591"/>
      <c r="I9" s="591"/>
    </row>
    <row r="10" spans="1:12" x14ac:dyDescent="0.3">
      <c r="A10" s="54"/>
      <c r="B10" s="54"/>
      <c r="C10" s="386"/>
      <c r="D10" s="386"/>
      <c r="E10" s="386"/>
      <c r="F10" s="386"/>
      <c r="G10" s="387"/>
    </row>
    <row r="11" spans="1:12" ht="18" x14ac:dyDescent="0.35">
      <c r="A11" s="388"/>
      <c r="B11" s="50"/>
      <c r="C11" s="51"/>
      <c r="D11" s="51"/>
      <c r="E11" s="51"/>
      <c r="F11" s="51"/>
      <c r="G11" s="54"/>
      <c r="I11" s="389" t="s">
        <v>17</v>
      </c>
    </row>
    <row r="12" spans="1:12" ht="18" x14ac:dyDescent="0.35">
      <c r="A12" s="599" t="s">
        <v>18</v>
      </c>
      <c r="B12" s="600" t="s">
        <v>19</v>
      </c>
      <c r="C12" s="600" t="s">
        <v>23</v>
      </c>
      <c r="D12" s="600"/>
      <c r="E12" s="600"/>
      <c r="F12" s="600"/>
      <c r="G12" s="600" t="s">
        <v>24</v>
      </c>
      <c r="H12" s="598" t="s">
        <v>13</v>
      </c>
      <c r="I12" s="598"/>
    </row>
    <row r="13" spans="1:12" ht="40.950000000000003" customHeight="1" x14ac:dyDescent="0.3">
      <c r="A13" s="599"/>
      <c r="B13" s="600"/>
      <c r="C13" s="600"/>
      <c r="D13" s="600"/>
      <c r="E13" s="600"/>
      <c r="F13" s="600"/>
      <c r="G13" s="600"/>
      <c r="H13" s="390" t="s">
        <v>433</v>
      </c>
      <c r="I13" s="390" t="s">
        <v>491</v>
      </c>
    </row>
    <row r="14" spans="1:12" ht="18" x14ac:dyDescent="0.35">
      <c r="A14" s="244">
        <v>1</v>
      </c>
      <c r="B14" s="391">
        <v>2</v>
      </c>
      <c r="C14" s="595" t="s">
        <v>25</v>
      </c>
      <c r="D14" s="596"/>
      <c r="E14" s="596"/>
      <c r="F14" s="597"/>
      <c r="G14" s="258" t="s">
        <v>26</v>
      </c>
      <c r="H14" s="245">
        <v>5</v>
      </c>
      <c r="I14" s="245">
        <v>6</v>
      </c>
    </row>
    <row r="15" spans="1:12" ht="18" x14ac:dyDescent="0.35">
      <c r="A15" s="392"/>
      <c r="B15" s="393" t="s">
        <v>197</v>
      </c>
      <c r="C15" s="394"/>
      <c r="D15" s="394"/>
      <c r="E15" s="394"/>
      <c r="F15" s="394"/>
      <c r="G15" s="395"/>
      <c r="H15" s="396">
        <f>H16+H115+H157+H194+H217+H245+H262+H286+H320+H326+H335+H341+H351+H365+H423+H430+H435+H359+H417</f>
        <v>1566366.6999999993</v>
      </c>
      <c r="I15" s="396">
        <f>I16+I115+I157+I194+I217+I245+I262+I286+I320+I326+I335+I341+I351+I365+I423+I430+I435+I359+I417</f>
        <v>1597406.2999999996</v>
      </c>
      <c r="J15" s="397"/>
      <c r="K15" s="397">
        <f>H15-'прил10 (ведом 23-24)'!M16</f>
        <v>0</v>
      </c>
      <c r="L15" s="554">
        <f>I15-'прил10 (ведом 23-24)'!N16</f>
        <v>0</v>
      </c>
    </row>
    <row r="16" spans="1:12" s="402" customFormat="1" ht="52.2" x14ac:dyDescent="0.3">
      <c r="A16" s="398">
        <v>1</v>
      </c>
      <c r="B16" s="334" t="s">
        <v>200</v>
      </c>
      <c r="C16" s="399" t="s">
        <v>34</v>
      </c>
      <c r="D16" s="399" t="s">
        <v>37</v>
      </c>
      <c r="E16" s="399" t="s">
        <v>38</v>
      </c>
      <c r="F16" s="400" t="s">
        <v>39</v>
      </c>
      <c r="G16" s="401"/>
      <c r="H16" s="283">
        <f>H17+H71+H85</f>
        <v>1076095</v>
      </c>
      <c r="I16" s="283">
        <f>I17+I71+I85</f>
        <v>1098278.2</v>
      </c>
    </row>
    <row r="17" spans="1:9" ht="24" customHeight="1" x14ac:dyDescent="0.35">
      <c r="A17" s="392"/>
      <c r="B17" s="403" t="s">
        <v>201</v>
      </c>
      <c r="C17" s="565" t="s">
        <v>34</v>
      </c>
      <c r="D17" s="565" t="s">
        <v>40</v>
      </c>
      <c r="E17" s="565" t="s">
        <v>38</v>
      </c>
      <c r="F17" s="566" t="s">
        <v>39</v>
      </c>
      <c r="G17" s="258"/>
      <c r="H17" s="236">
        <f>H18+H32</f>
        <v>939279.60000000009</v>
      </c>
      <c r="I17" s="236">
        <f>I18+I32</f>
        <v>955979.39999999991</v>
      </c>
    </row>
    <row r="18" spans="1:9" ht="18" x14ac:dyDescent="0.35">
      <c r="A18" s="392"/>
      <c r="B18" s="403" t="s">
        <v>255</v>
      </c>
      <c r="C18" s="221" t="s">
        <v>34</v>
      </c>
      <c r="D18" s="222" t="s">
        <v>40</v>
      </c>
      <c r="E18" s="222" t="s">
        <v>32</v>
      </c>
      <c r="F18" s="223" t="s">
        <v>39</v>
      </c>
      <c r="G18" s="258"/>
      <c r="H18" s="236">
        <f>H25+H21+H28+H30+H19+H23</f>
        <v>336306.3</v>
      </c>
      <c r="I18" s="236">
        <f>I25+I21+I28+I30+I19+I23</f>
        <v>343717.4</v>
      </c>
    </row>
    <row r="19" spans="1:9" ht="36" x14ac:dyDescent="0.35">
      <c r="A19" s="392"/>
      <c r="B19" s="403" t="s">
        <v>437</v>
      </c>
      <c r="C19" s="221" t="s">
        <v>34</v>
      </c>
      <c r="D19" s="222" t="s">
        <v>40</v>
      </c>
      <c r="E19" s="222" t="s">
        <v>32</v>
      </c>
      <c r="F19" s="223" t="s">
        <v>86</v>
      </c>
      <c r="G19" s="35"/>
      <c r="H19" s="236">
        <f>H20</f>
        <v>88673.2</v>
      </c>
      <c r="I19" s="236">
        <f>I20</f>
        <v>97540.6</v>
      </c>
    </row>
    <row r="20" spans="1:9" ht="42" customHeight="1" x14ac:dyDescent="0.35">
      <c r="A20" s="392"/>
      <c r="B20" s="403" t="s">
        <v>71</v>
      </c>
      <c r="C20" s="221" t="s">
        <v>34</v>
      </c>
      <c r="D20" s="222" t="s">
        <v>40</v>
      </c>
      <c r="E20" s="222" t="s">
        <v>32</v>
      </c>
      <c r="F20" s="223" t="s">
        <v>86</v>
      </c>
      <c r="G20" s="35" t="s">
        <v>72</v>
      </c>
      <c r="H20" s="236">
        <f>'прил10 (ведом 23-24)'!M291</f>
        <v>88673.2</v>
      </c>
      <c r="I20" s="236">
        <f>'прил10 (ведом 23-24)'!N291</f>
        <v>97540.6</v>
      </c>
    </row>
    <row r="21" spans="1:9" ht="42" customHeight="1" x14ac:dyDescent="0.35">
      <c r="A21" s="392"/>
      <c r="B21" s="234" t="s">
        <v>202</v>
      </c>
      <c r="C21" s="221" t="s">
        <v>34</v>
      </c>
      <c r="D21" s="222" t="s">
        <v>40</v>
      </c>
      <c r="E21" s="222" t="s">
        <v>32</v>
      </c>
      <c r="F21" s="223" t="s">
        <v>261</v>
      </c>
      <c r="G21" s="35"/>
      <c r="H21" s="236">
        <f>H22</f>
        <v>25889.5</v>
      </c>
      <c r="I21" s="236">
        <f>I22</f>
        <v>25889.5</v>
      </c>
    </row>
    <row r="22" spans="1:9" ht="42" customHeight="1" x14ac:dyDescent="0.35">
      <c r="A22" s="392"/>
      <c r="B22" s="234" t="s">
        <v>71</v>
      </c>
      <c r="C22" s="221" t="s">
        <v>34</v>
      </c>
      <c r="D22" s="222" t="s">
        <v>40</v>
      </c>
      <c r="E22" s="222" t="s">
        <v>32</v>
      </c>
      <c r="F22" s="223" t="s">
        <v>261</v>
      </c>
      <c r="G22" s="35" t="s">
        <v>72</v>
      </c>
      <c r="H22" s="236">
        <f>'прил10 (ведом 23-24)'!M293</f>
        <v>25889.5</v>
      </c>
      <c r="I22" s="236">
        <f>'прил10 (ведом 23-24)'!N293</f>
        <v>25889.5</v>
      </c>
    </row>
    <row r="23" spans="1:9" ht="42" customHeight="1" x14ac:dyDescent="0.35">
      <c r="A23" s="392"/>
      <c r="B23" s="234" t="s">
        <v>203</v>
      </c>
      <c r="C23" s="404" t="s">
        <v>34</v>
      </c>
      <c r="D23" s="405" t="s">
        <v>40</v>
      </c>
      <c r="E23" s="405" t="s">
        <v>32</v>
      </c>
      <c r="F23" s="406" t="s">
        <v>262</v>
      </c>
      <c r="G23" s="407"/>
      <c r="H23" s="236">
        <f>H24</f>
        <v>1473.5</v>
      </c>
      <c r="I23" s="236">
        <f>I24</f>
        <v>0</v>
      </c>
    </row>
    <row r="24" spans="1:9" ht="42" customHeight="1" x14ac:dyDescent="0.35">
      <c r="A24" s="392"/>
      <c r="B24" s="408" t="s">
        <v>198</v>
      </c>
      <c r="C24" s="404" t="s">
        <v>34</v>
      </c>
      <c r="D24" s="405" t="s">
        <v>40</v>
      </c>
      <c r="E24" s="405" t="s">
        <v>32</v>
      </c>
      <c r="F24" s="406" t="s">
        <v>262</v>
      </c>
      <c r="G24" s="407" t="s">
        <v>199</v>
      </c>
      <c r="H24" s="236">
        <f>'прил10 (ведом 23-24)'!M247</f>
        <v>1473.5</v>
      </c>
      <c r="I24" s="236">
        <f>'прил10 (ведом 23-24)'!N247</f>
        <v>0</v>
      </c>
    </row>
    <row r="25" spans="1:9" ht="117.75" customHeight="1" x14ac:dyDescent="0.35">
      <c r="A25" s="392"/>
      <c r="B25" s="403" t="s">
        <v>271</v>
      </c>
      <c r="C25" s="221" t="s">
        <v>34</v>
      </c>
      <c r="D25" s="222" t="s">
        <v>40</v>
      </c>
      <c r="E25" s="222" t="s">
        <v>32</v>
      </c>
      <c r="F25" s="223" t="s">
        <v>272</v>
      </c>
      <c r="G25" s="35"/>
      <c r="H25" s="236">
        <f>SUM(H26:H27)</f>
        <v>5452.5</v>
      </c>
      <c r="I25" s="236">
        <f>SUM(I26:I27)</f>
        <v>5452.5</v>
      </c>
    </row>
    <row r="26" spans="1:9" ht="36" x14ac:dyDescent="0.35">
      <c r="A26" s="392"/>
      <c r="B26" s="403" t="s">
        <v>50</v>
      </c>
      <c r="C26" s="221" t="s">
        <v>34</v>
      </c>
      <c r="D26" s="222" t="s">
        <v>40</v>
      </c>
      <c r="E26" s="222" t="s">
        <v>32</v>
      </c>
      <c r="F26" s="223" t="s">
        <v>272</v>
      </c>
      <c r="G26" s="35" t="s">
        <v>51</v>
      </c>
      <c r="H26" s="236">
        <f>'прил10 (ведом 23-24)'!M403</f>
        <v>80.5</v>
      </c>
      <c r="I26" s="236">
        <f>'прил10 (ведом 23-24)'!N403</f>
        <v>80.5</v>
      </c>
    </row>
    <row r="27" spans="1:9" ht="24" customHeight="1" x14ac:dyDescent="0.35">
      <c r="A27" s="392"/>
      <c r="B27" s="409" t="s">
        <v>115</v>
      </c>
      <c r="C27" s="221" t="s">
        <v>34</v>
      </c>
      <c r="D27" s="222" t="s">
        <v>40</v>
      </c>
      <c r="E27" s="222" t="s">
        <v>32</v>
      </c>
      <c r="F27" s="223" t="s">
        <v>272</v>
      </c>
      <c r="G27" s="35" t="s">
        <v>116</v>
      </c>
      <c r="H27" s="236">
        <f>'прил10 (ведом 23-24)'!M404</f>
        <v>5372</v>
      </c>
      <c r="I27" s="236">
        <f>'прил10 (ведом 23-24)'!N404</f>
        <v>5372</v>
      </c>
    </row>
    <row r="28" spans="1:9" ht="162" x14ac:dyDescent="0.35">
      <c r="A28" s="392"/>
      <c r="B28" s="403" t="s">
        <v>256</v>
      </c>
      <c r="C28" s="221" t="s">
        <v>34</v>
      </c>
      <c r="D28" s="222" t="s">
        <v>40</v>
      </c>
      <c r="E28" s="222" t="s">
        <v>32</v>
      </c>
      <c r="F28" s="223" t="s">
        <v>257</v>
      </c>
      <c r="G28" s="35"/>
      <c r="H28" s="236">
        <f>H29</f>
        <v>571.29999999999995</v>
      </c>
      <c r="I28" s="236">
        <f>I29</f>
        <v>588.5</v>
      </c>
    </row>
    <row r="29" spans="1:9" ht="42.75" customHeight="1" x14ac:dyDescent="0.35">
      <c r="A29" s="392"/>
      <c r="B29" s="403" t="s">
        <v>71</v>
      </c>
      <c r="C29" s="221" t="s">
        <v>34</v>
      </c>
      <c r="D29" s="222" t="s">
        <v>40</v>
      </c>
      <c r="E29" s="222" t="s">
        <v>32</v>
      </c>
      <c r="F29" s="223" t="s">
        <v>257</v>
      </c>
      <c r="G29" s="35" t="s">
        <v>72</v>
      </c>
      <c r="H29" s="236">
        <f>'прил10 (ведом 23-24)'!M295</f>
        <v>571.29999999999995</v>
      </c>
      <c r="I29" s="236">
        <f>'прил10 (ведом 23-24)'!N295</f>
        <v>588.5</v>
      </c>
    </row>
    <row r="30" spans="1:9" ht="97.5" customHeight="1" x14ac:dyDescent="0.35">
      <c r="A30" s="392"/>
      <c r="B30" s="403" t="s">
        <v>334</v>
      </c>
      <c r="C30" s="221" t="s">
        <v>34</v>
      </c>
      <c r="D30" s="222" t="s">
        <v>40</v>
      </c>
      <c r="E30" s="222" t="s">
        <v>32</v>
      </c>
      <c r="F30" s="223" t="s">
        <v>258</v>
      </c>
      <c r="G30" s="35"/>
      <c r="H30" s="236">
        <f>H31</f>
        <v>214246.3</v>
      </c>
      <c r="I30" s="236">
        <f>I31</f>
        <v>214246.3</v>
      </c>
    </row>
    <row r="31" spans="1:9" ht="42.75" customHeight="1" x14ac:dyDescent="0.35">
      <c r="A31" s="392"/>
      <c r="B31" s="409" t="s">
        <v>71</v>
      </c>
      <c r="C31" s="221" t="s">
        <v>34</v>
      </c>
      <c r="D31" s="222" t="s">
        <v>40</v>
      </c>
      <c r="E31" s="222" t="s">
        <v>32</v>
      </c>
      <c r="F31" s="223" t="s">
        <v>258</v>
      </c>
      <c r="G31" s="35" t="s">
        <v>72</v>
      </c>
      <c r="H31" s="236">
        <f>'прил10 (ведом 23-24)'!M297</f>
        <v>214246.3</v>
      </c>
      <c r="I31" s="236">
        <f>'прил10 (ведом 23-24)'!N297</f>
        <v>214246.3</v>
      </c>
    </row>
    <row r="32" spans="1:9" ht="18" x14ac:dyDescent="0.35">
      <c r="A32" s="392"/>
      <c r="B32" s="403" t="s">
        <v>260</v>
      </c>
      <c r="C32" s="221" t="s">
        <v>34</v>
      </c>
      <c r="D32" s="222" t="s">
        <v>40</v>
      </c>
      <c r="E32" s="222" t="s">
        <v>34</v>
      </c>
      <c r="F32" s="223" t="s">
        <v>39</v>
      </c>
      <c r="G32" s="35"/>
      <c r="H32" s="236">
        <f>H48+H52+H56+H33+H41+H62+H45+H38+H59+H67</f>
        <v>602973.30000000005</v>
      </c>
      <c r="I32" s="236">
        <f>I48+I52+I56+I33+I41+I62+I45+I38+I59+I67+I65</f>
        <v>612261.99999999988</v>
      </c>
    </row>
    <row r="33" spans="1:9" ht="36" x14ac:dyDescent="0.35">
      <c r="A33" s="392"/>
      <c r="B33" s="403" t="s">
        <v>437</v>
      </c>
      <c r="C33" s="221" t="s">
        <v>34</v>
      </c>
      <c r="D33" s="222" t="s">
        <v>40</v>
      </c>
      <c r="E33" s="222" t="s">
        <v>34</v>
      </c>
      <c r="F33" s="223" t="s">
        <v>86</v>
      </c>
      <c r="G33" s="35"/>
      <c r="H33" s="236">
        <f>SUM(H34:H37)</f>
        <v>63512.2</v>
      </c>
      <c r="I33" s="236">
        <f>SUM(I34:I37)</f>
        <v>69863.400000000009</v>
      </c>
    </row>
    <row r="34" spans="1:9" ht="90" x14ac:dyDescent="0.35">
      <c r="A34" s="392"/>
      <c r="B34" s="234" t="s">
        <v>44</v>
      </c>
      <c r="C34" s="221" t="s">
        <v>34</v>
      </c>
      <c r="D34" s="222" t="s">
        <v>40</v>
      </c>
      <c r="E34" s="222" t="s">
        <v>34</v>
      </c>
      <c r="F34" s="223" t="s">
        <v>86</v>
      </c>
      <c r="G34" s="35" t="s">
        <v>45</v>
      </c>
      <c r="H34" s="236">
        <f>'прил10 (ведом 23-24)'!M313</f>
        <v>319.10000000000002</v>
      </c>
      <c r="I34" s="236">
        <f>'прил10 (ведом 23-24)'!N313</f>
        <v>319.10000000000002</v>
      </c>
    </row>
    <row r="35" spans="1:9" ht="36" x14ac:dyDescent="0.35">
      <c r="A35" s="392"/>
      <c r="B35" s="234" t="s">
        <v>50</v>
      </c>
      <c r="C35" s="221" t="s">
        <v>34</v>
      </c>
      <c r="D35" s="222" t="s">
        <v>40</v>
      </c>
      <c r="E35" s="222" t="s">
        <v>34</v>
      </c>
      <c r="F35" s="223" t="s">
        <v>86</v>
      </c>
      <c r="G35" s="35" t="s">
        <v>51</v>
      </c>
      <c r="H35" s="236">
        <f>'прил10 (ведом 23-24)'!M314</f>
        <v>4475.6000000000004</v>
      </c>
      <c r="I35" s="236">
        <f>'прил10 (ведом 23-24)'!N314</f>
        <v>5635.2</v>
      </c>
    </row>
    <row r="36" spans="1:9" ht="43.5" customHeight="1" x14ac:dyDescent="0.35">
      <c r="A36" s="392"/>
      <c r="B36" s="403" t="s">
        <v>71</v>
      </c>
      <c r="C36" s="221" t="s">
        <v>34</v>
      </c>
      <c r="D36" s="222" t="s">
        <v>40</v>
      </c>
      <c r="E36" s="222" t="s">
        <v>34</v>
      </c>
      <c r="F36" s="223" t="s">
        <v>86</v>
      </c>
      <c r="G36" s="35" t="s">
        <v>72</v>
      </c>
      <c r="H36" s="236">
        <f>'прил10 (ведом 23-24)'!M315</f>
        <v>58156.5</v>
      </c>
      <c r="I36" s="236">
        <f>'прил10 (ведом 23-24)'!N315</f>
        <v>63353.5</v>
      </c>
    </row>
    <row r="37" spans="1:9" ht="18" x14ac:dyDescent="0.35">
      <c r="A37" s="392"/>
      <c r="B37" s="403" t="s">
        <v>52</v>
      </c>
      <c r="C37" s="221" t="s">
        <v>34</v>
      </c>
      <c r="D37" s="222" t="s">
        <v>40</v>
      </c>
      <c r="E37" s="222" t="s">
        <v>34</v>
      </c>
      <c r="F37" s="223" t="s">
        <v>86</v>
      </c>
      <c r="G37" s="35" t="s">
        <v>53</v>
      </c>
      <c r="H37" s="236">
        <f>'прил10 (ведом 23-24)'!M316</f>
        <v>561</v>
      </c>
      <c r="I37" s="236">
        <f>'прил10 (ведом 23-24)'!N316</f>
        <v>555.6</v>
      </c>
    </row>
    <row r="38" spans="1:9" ht="36" x14ac:dyDescent="0.35">
      <c r="A38" s="392"/>
      <c r="B38" s="234" t="s">
        <v>202</v>
      </c>
      <c r="C38" s="221" t="s">
        <v>34</v>
      </c>
      <c r="D38" s="222" t="s">
        <v>40</v>
      </c>
      <c r="E38" s="222" t="s">
        <v>34</v>
      </c>
      <c r="F38" s="223" t="s">
        <v>261</v>
      </c>
      <c r="G38" s="35"/>
      <c r="H38" s="236">
        <f>H39+H40</f>
        <v>23460.699999999997</v>
      </c>
      <c r="I38" s="236">
        <f>I39+I40</f>
        <v>20406</v>
      </c>
    </row>
    <row r="39" spans="1:9" ht="36" x14ac:dyDescent="0.35">
      <c r="A39" s="392"/>
      <c r="B39" s="234" t="s">
        <v>50</v>
      </c>
      <c r="C39" s="221" t="s">
        <v>34</v>
      </c>
      <c r="D39" s="222" t="s">
        <v>40</v>
      </c>
      <c r="E39" s="222" t="s">
        <v>34</v>
      </c>
      <c r="F39" s="223" t="s">
        <v>261</v>
      </c>
      <c r="G39" s="35" t="s">
        <v>51</v>
      </c>
      <c r="H39" s="236">
        <f>'прил10 (ведом 23-24)'!M318</f>
        <v>3854.4</v>
      </c>
      <c r="I39" s="236">
        <f>'прил10 (ведом 23-24)'!N318</f>
        <v>3854.4</v>
      </c>
    </row>
    <row r="40" spans="1:9" ht="36" x14ac:dyDescent="0.35">
      <c r="A40" s="392"/>
      <c r="B40" s="234" t="s">
        <v>71</v>
      </c>
      <c r="C40" s="221" t="s">
        <v>34</v>
      </c>
      <c r="D40" s="222" t="s">
        <v>40</v>
      </c>
      <c r="E40" s="222" t="s">
        <v>34</v>
      </c>
      <c r="F40" s="223" t="s">
        <v>261</v>
      </c>
      <c r="G40" s="35" t="s">
        <v>72</v>
      </c>
      <c r="H40" s="236">
        <f>'прил10 (ведом 23-24)'!M319</f>
        <v>19606.299999999996</v>
      </c>
      <c r="I40" s="236">
        <f>'прил10 (ведом 23-24)'!N319</f>
        <v>16551.599999999999</v>
      </c>
    </row>
    <row r="41" spans="1:9" ht="36" x14ac:dyDescent="0.35">
      <c r="A41" s="392"/>
      <c r="B41" s="234" t="s">
        <v>203</v>
      </c>
      <c r="C41" s="221" t="s">
        <v>34</v>
      </c>
      <c r="D41" s="222" t="s">
        <v>40</v>
      </c>
      <c r="E41" s="222" t="s">
        <v>34</v>
      </c>
      <c r="F41" s="223" t="s">
        <v>262</v>
      </c>
      <c r="G41" s="35"/>
      <c r="H41" s="236">
        <f>H42+H44+H43</f>
        <v>5751</v>
      </c>
      <c r="I41" s="236">
        <f>I42+I44+I43</f>
        <v>4618.1000000000004</v>
      </c>
    </row>
    <row r="42" spans="1:9" ht="36" x14ac:dyDescent="0.35">
      <c r="A42" s="392"/>
      <c r="B42" s="234" t="s">
        <v>50</v>
      </c>
      <c r="C42" s="221" t="s">
        <v>34</v>
      </c>
      <c r="D42" s="222" t="s">
        <v>40</v>
      </c>
      <c r="E42" s="222" t="s">
        <v>34</v>
      </c>
      <c r="F42" s="223" t="s">
        <v>262</v>
      </c>
      <c r="G42" s="35" t="s">
        <v>51</v>
      </c>
      <c r="H42" s="236">
        <f>'прил10 (ведом 23-24)'!M321</f>
        <v>142</v>
      </c>
      <c r="I42" s="236">
        <f>'прил10 (ведом 23-24)'!N321</f>
        <v>142</v>
      </c>
    </row>
    <row r="43" spans="1:9" ht="36" x14ac:dyDescent="0.35">
      <c r="A43" s="392"/>
      <c r="B43" s="408" t="s">
        <v>198</v>
      </c>
      <c r="C43" s="221" t="s">
        <v>34</v>
      </c>
      <c r="D43" s="222" t="s">
        <v>40</v>
      </c>
      <c r="E43" s="222" t="s">
        <v>34</v>
      </c>
      <c r="F43" s="223" t="s">
        <v>262</v>
      </c>
      <c r="G43" s="35" t="s">
        <v>199</v>
      </c>
      <c r="H43" s="236">
        <f>'прил10 (ведом 23-24)'!M253</f>
        <v>1132.9000000000001</v>
      </c>
      <c r="I43" s="236">
        <f>'прил10 (ведом 23-24)'!N253</f>
        <v>0</v>
      </c>
    </row>
    <row r="44" spans="1:9" ht="37.5" customHeight="1" x14ac:dyDescent="0.35">
      <c r="A44" s="392"/>
      <c r="B44" s="234" t="s">
        <v>71</v>
      </c>
      <c r="C44" s="221" t="s">
        <v>34</v>
      </c>
      <c r="D44" s="222" t="s">
        <v>40</v>
      </c>
      <c r="E44" s="222" t="s">
        <v>34</v>
      </c>
      <c r="F44" s="223" t="s">
        <v>262</v>
      </c>
      <c r="G44" s="35" t="s">
        <v>72</v>
      </c>
      <c r="H44" s="236">
        <f>'прил10 (ведом 23-24)'!M322</f>
        <v>4476.1000000000004</v>
      </c>
      <c r="I44" s="236">
        <f>'прил10 (ведом 23-24)'!N322</f>
        <v>4476.1000000000004</v>
      </c>
    </row>
    <row r="45" spans="1:9" ht="144" x14ac:dyDescent="0.35">
      <c r="A45" s="392"/>
      <c r="B45" s="234" t="s">
        <v>511</v>
      </c>
      <c r="C45" s="221" t="s">
        <v>34</v>
      </c>
      <c r="D45" s="222" t="s">
        <v>40</v>
      </c>
      <c r="E45" s="222" t="s">
        <v>34</v>
      </c>
      <c r="F45" s="223" t="s">
        <v>510</v>
      </c>
      <c r="G45" s="35"/>
      <c r="H45" s="236">
        <f>H46+H47</f>
        <v>33409.299999999996</v>
      </c>
      <c r="I45" s="236">
        <f>I46+I47</f>
        <v>35284.199999999997</v>
      </c>
    </row>
    <row r="46" spans="1:9" ht="90.75" customHeight="1" x14ac:dyDescent="0.35">
      <c r="A46" s="392"/>
      <c r="B46" s="234" t="s">
        <v>44</v>
      </c>
      <c r="C46" s="221" t="s">
        <v>34</v>
      </c>
      <c r="D46" s="222" t="s">
        <v>40</v>
      </c>
      <c r="E46" s="222" t="s">
        <v>34</v>
      </c>
      <c r="F46" s="223" t="s">
        <v>510</v>
      </c>
      <c r="G46" s="35" t="s">
        <v>45</v>
      </c>
      <c r="H46" s="236">
        <f>'прил10 (ведом 23-24)'!M324</f>
        <v>2734.2</v>
      </c>
      <c r="I46" s="236">
        <f>'прил10 (ведом 23-24)'!N324</f>
        <v>2812.4</v>
      </c>
    </row>
    <row r="47" spans="1:9" ht="36" customHeight="1" x14ac:dyDescent="0.35">
      <c r="A47" s="392"/>
      <c r="B47" s="234" t="s">
        <v>71</v>
      </c>
      <c r="C47" s="221" t="s">
        <v>34</v>
      </c>
      <c r="D47" s="222" t="s">
        <v>40</v>
      </c>
      <c r="E47" s="222" t="s">
        <v>34</v>
      </c>
      <c r="F47" s="223" t="s">
        <v>510</v>
      </c>
      <c r="G47" s="35" t="s">
        <v>72</v>
      </c>
      <c r="H47" s="236">
        <f>'прил10 (ведом 23-24)'!M325</f>
        <v>30675.1</v>
      </c>
      <c r="I47" s="236">
        <f>'прил10 (ведом 23-24)'!N325</f>
        <v>32471.8</v>
      </c>
    </row>
    <row r="48" spans="1:9" ht="162" x14ac:dyDescent="0.35">
      <c r="A48" s="392"/>
      <c r="B48" s="403" t="s">
        <v>256</v>
      </c>
      <c r="C48" s="221" t="s">
        <v>34</v>
      </c>
      <c r="D48" s="222" t="s">
        <v>40</v>
      </c>
      <c r="E48" s="222" t="s">
        <v>34</v>
      </c>
      <c r="F48" s="223" t="s">
        <v>257</v>
      </c>
      <c r="G48" s="35"/>
      <c r="H48" s="236">
        <f>SUM(H49:H51)</f>
        <v>1659.2</v>
      </c>
      <c r="I48" s="236">
        <f>SUM(I49:I51)</f>
        <v>1709</v>
      </c>
    </row>
    <row r="49" spans="1:9" ht="90" x14ac:dyDescent="0.35">
      <c r="A49" s="392"/>
      <c r="B49" s="234" t="s">
        <v>44</v>
      </c>
      <c r="C49" s="221" t="s">
        <v>34</v>
      </c>
      <c r="D49" s="222" t="s">
        <v>40</v>
      </c>
      <c r="E49" s="222" t="s">
        <v>34</v>
      </c>
      <c r="F49" s="223" t="s">
        <v>257</v>
      </c>
      <c r="G49" s="35" t="s">
        <v>45</v>
      </c>
      <c r="H49" s="236">
        <f>'прил10 (ведом 23-24)'!M327</f>
        <v>99.7</v>
      </c>
      <c r="I49" s="236">
        <f>'прил10 (ведом 23-24)'!N327</f>
        <v>99.7</v>
      </c>
    </row>
    <row r="50" spans="1:9" ht="26.25" customHeight="1" x14ac:dyDescent="0.35">
      <c r="A50" s="392"/>
      <c r="B50" s="234" t="s">
        <v>115</v>
      </c>
      <c r="C50" s="221" t="s">
        <v>34</v>
      </c>
      <c r="D50" s="222" t="s">
        <v>40</v>
      </c>
      <c r="E50" s="222" t="s">
        <v>34</v>
      </c>
      <c r="F50" s="223" t="s">
        <v>257</v>
      </c>
      <c r="G50" s="35" t="s">
        <v>116</v>
      </c>
      <c r="H50" s="236">
        <f>'прил10 (ведом 23-24)'!M328</f>
        <v>6.6</v>
      </c>
      <c r="I50" s="236">
        <f>'прил10 (ведом 23-24)'!N328</f>
        <v>6.6</v>
      </c>
    </row>
    <row r="51" spans="1:9" ht="39" customHeight="1" x14ac:dyDescent="0.35">
      <c r="A51" s="392"/>
      <c r="B51" s="403" t="s">
        <v>71</v>
      </c>
      <c r="C51" s="221" t="s">
        <v>34</v>
      </c>
      <c r="D51" s="222" t="s">
        <v>40</v>
      </c>
      <c r="E51" s="222" t="s">
        <v>34</v>
      </c>
      <c r="F51" s="223" t="s">
        <v>257</v>
      </c>
      <c r="G51" s="35" t="s">
        <v>72</v>
      </c>
      <c r="H51" s="236">
        <f>'прил10 (ведом 23-24)'!M329</f>
        <v>1552.9</v>
      </c>
      <c r="I51" s="236">
        <f>'прил10 (ведом 23-24)'!N329</f>
        <v>1602.7</v>
      </c>
    </row>
    <row r="52" spans="1:9" ht="93" customHeight="1" x14ac:dyDescent="0.35">
      <c r="A52" s="392"/>
      <c r="B52" s="403" t="s">
        <v>334</v>
      </c>
      <c r="C52" s="221" t="s">
        <v>34</v>
      </c>
      <c r="D52" s="222" t="s">
        <v>40</v>
      </c>
      <c r="E52" s="222" t="s">
        <v>34</v>
      </c>
      <c r="F52" s="223" t="s">
        <v>258</v>
      </c>
      <c r="G52" s="35"/>
      <c r="H52" s="236">
        <f>SUM(H53:H55)</f>
        <v>402579.3</v>
      </c>
      <c r="I52" s="236">
        <f>SUM(I53:I55)</f>
        <v>402579.3</v>
      </c>
    </row>
    <row r="53" spans="1:9" ht="90" x14ac:dyDescent="0.35">
      <c r="A53" s="392"/>
      <c r="B53" s="403" t="s">
        <v>44</v>
      </c>
      <c r="C53" s="221" t="s">
        <v>34</v>
      </c>
      <c r="D53" s="222" t="s">
        <v>40</v>
      </c>
      <c r="E53" s="222" t="s">
        <v>34</v>
      </c>
      <c r="F53" s="223" t="s">
        <v>258</v>
      </c>
      <c r="G53" s="35" t="s">
        <v>45</v>
      </c>
      <c r="H53" s="236">
        <f>'прил10 (ведом 23-24)'!M331</f>
        <v>26623.599999999999</v>
      </c>
      <c r="I53" s="236">
        <f>'прил10 (ведом 23-24)'!N331</f>
        <v>26623.599999999999</v>
      </c>
    </row>
    <row r="54" spans="1:9" ht="36" x14ac:dyDescent="0.35">
      <c r="A54" s="392"/>
      <c r="B54" s="403" t="s">
        <v>50</v>
      </c>
      <c r="C54" s="221" t="s">
        <v>34</v>
      </c>
      <c r="D54" s="222" t="s">
        <v>40</v>
      </c>
      <c r="E54" s="222" t="s">
        <v>34</v>
      </c>
      <c r="F54" s="223" t="s">
        <v>258</v>
      </c>
      <c r="G54" s="35" t="s">
        <v>51</v>
      </c>
      <c r="H54" s="236">
        <f>'прил10 (ведом 23-24)'!M332</f>
        <v>3027.7</v>
      </c>
      <c r="I54" s="236">
        <f>'прил10 (ведом 23-24)'!N332</f>
        <v>3027.7</v>
      </c>
    </row>
    <row r="55" spans="1:9" ht="43.5" customHeight="1" x14ac:dyDescent="0.35">
      <c r="A55" s="392"/>
      <c r="B55" s="403" t="s">
        <v>71</v>
      </c>
      <c r="C55" s="221" t="s">
        <v>34</v>
      </c>
      <c r="D55" s="222" t="s">
        <v>40</v>
      </c>
      <c r="E55" s="222" t="s">
        <v>34</v>
      </c>
      <c r="F55" s="223" t="s">
        <v>258</v>
      </c>
      <c r="G55" s="35" t="s">
        <v>72</v>
      </c>
      <c r="H55" s="236">
        <f>'прил10 (ведом 23-24)'!M333</f>
        <v>372928</v>
      </c>
      <c r="I55" s="236">
        <f>'прил10 (ведом 23-24)'!N333</f>
        <v>372928</v>
      </c>
    </row>
    <row r="56" spans="1:9" ht="78" customHeight="1" x14ac:dyDescent="0.35">
      <c r="A56" s="392"/>
      <c r="B56" s="403" t="s">
        <v>204</v>
      </c>
      <c r="C56" s="565" t="s">
        <v>34</v>
      </c>
      <c r="D56" s="565" t="s">
        <v>40</v>
      </c>
      <c r="E56" s="565" t="s">
        <v>34</v>
      </c>
      <c r="F56" s="566" t="s">
        <v>263</v>
      </c>
      <c r="G56" s="258"/>
      <c r="H56" s="236">
        <f>SUM(H57:H58)</f>
        <v>2380.9</v>
      </c>
      <c r="I56" s="236">
        <f>SUM(I57:I58)</f>
        <v>2550.2999999999997</v>
      </c>
    </row>
    <row r="57" spans="1:9" ht="36" x14ac:dyDescent="0.35">
      <c r="A57" s="392"/>
      <c r="B57" s="234" t="s">
        <v>50</v>
      </c>
      <c r="C57" s="221" t="s">
        <v>34</v>
      </c>
      <c r="D57" s="222" t="s">
        <v>40</v>
      </c>
      <c r="E57" s="222" t="s">
        <v>34</v>
      </c>
      <c r="F57" s="223" t="s">
        <v>263</v>
      </c>
      <c r="G57" s="35" t="s">
        <v>51</v>
      </c>
      <c r="H57" s="236">
        <f>'прил10 (ведом 23-24)'!M335</f>
        <v>102.8</v>
      </c>
      <c r="I57" s="236">
        <f>'прил10 (ведом 23-24)'!N335</f>
        <v>111.2</v>
      </c>
    </row>
    <row r="58" spans="1:9" ht="45.75" customHeight="1" x14ac:dyDescent="0.35">
      <c r="A58" s="392"/>
      <c r="B58" s="403" t="s">
        <v>71</v>
      </c>
      <c r="C58" s="565" t="s">
        <v>34</v>
      </c>
      <c r="D58" s="565" t="s">
        <v>40</v>
      </c>
      <c r="E58" s="565" t="s">
        <v>34</v>
      </c>
      <c r="F58" s="566" t="s">
        <v>263</v>
      </c>
      <c r="G58" s="258" t="s">
        <v>72</v>
      </c>
      <c r="H58" s="236">
        <f>'прил10 (ведом 23-24)'!M336</f>
        <v>2278.1</v>
      </c>
      <c r="I58" s="236">
        <f>'прил10 (ведом 23-24)'!N336</f>
        <v>2439.1</v>
      </c>
    </row>
    <row r="59" spans="1:9" ht="143.4" customHeight="1" x14ac:dyDescent="0.35">
      <c r="A59" s="392"/>
      <c r="B59" s="24" t="s">
        <v>541</v>
      </c>
      <c r="C59" s="571" t="s">
        <v>34</v>
      </c>
      <c r="D59" s="572" t="s">
        <v>40</v>
      </c>
      <c r="E59" s="572" t="s">
        <v>34</v>
      </c>
      <c r="F59" s="573" t="s">
        <v>540</v>
      </c>
      <c r="G59" s="10"/>
      <c r="H59" s="236">
        <f>H60+H61</f>
        <v>1196.0999999999999</v>
      </c>
      <c r="I59" s="236">
        <f>I60+I61</f>
        <v>1196.0999999999999</v>
      </c>
    </row>
    <row r="60" spans="1:9" ht="45.75" customHeight="1" x14ac:dyDescent="0.35">
      <c r="A60" s="392"/>
      <c r="B60" s="24" t="s">
        <v>50</v>
      </c>
      <c r="C60" s="571" t="s">
        <v>34</v>
      </c>
      <c r="D60" s="572" t="s">
        <v>40</v>
      </c>
      <c r="E60" s="572" t="s">
        <v>34</v>
      </c>
      <c r="F60" s="573" t="s">
        <v>540</v>
      </c>
      <c r="G60" s="10" t="s">
        <v>51</v>
      </c>
      <c r="H60" s="236">
        <f>'прил10 (ведом 23-24)'!M338</f>
        <v>15</v>
      </c>
      <c r="I60" s="236">
        <f>'прил10 (ведом 23-24)'!N338</f>
        <v>15</v>
      </c>
    </row>
    <row r="61" spans="1:9" ht="45.75" customHeight="1" x14ac:dyDescent="0.35">
      <c r="A61" s="392"/>
      <c r="B61" s="24" t="s">
        <v>71</v>
      </c>
      <c r="C61" s="571" t="s">
        <v>34</v>
      </c>
      <c r="D61" s="572" t="s">
        <v>40</v>
      </c>
      <c r="E61" s="572" t="s">
        <v>34</v>
      </c>
      <c r="F61" s="573" t="s">
        <v>540</v>
      </c>
      <c r="G61" s="10" t="s">
        <v>72</v>
      </c>
      <c r="H61" s="236">
        <f>'прил10 (ведом 23-24)'!M339</f>
        <v>1181.0999999999999</v>
      </c>
      <c r="I61" s="236">
        <f>'прил10 (ведом 23-24)'!N339</f>
        <v>1181.0999999999999</v>
      </c>
    </row>
    <row r="62" spans="1:9" ht="72.75" customHeight="1" x14ac:dyDescent="0.35">
      <c r="A62" s="392"/>
      <c r="B62" s="234" t="s">
        <v>431</v>
      </c>
      <c r="C62" s="221" t="s">
        <v>34</v>
      </c>
      <c r="D62" s="222" t="s">
        <v>40</v>
      </c>
      <c r="E62" s="222" t="s">
        <v>34</v>
      </c>
      <c r="F62" s="223" t="s">
        <v>430</v>
      </c>
      <c r="G62" s="35"/>
      <c r="H62" s="236">
        <f>H63+H64</f>
        <v>56500.700000000004</v>
      </c>
      <c r="I62" s="236">
        <f>I63+I64</f>
        <v>57707.200000000004</v>
      </c>
    </row>
    <row r="63" spans="1:9" ht="33.75" customHeight="1" x14ac:dyDescent="0.35">
      <c r="A63" s="392"/>
      <c r="B63" s="234" t="s">
        <v>50</v>
      </c>
      <c r="C63" s="221" t="s">
        <v>34</v>
      </c>
      <c r="D63" s="222" t="s">
        <v>40</v>
      </c>
      <c r="E63" s="222" t="s">
        <v>34</v>
      </c>
      <c r="F63" s="223" t="s">
        <v>430</v>
      </c>
      <c r="G63" s="35" t="s">
        <v>51</v>
      </c>
      <c r="H63" s="236">
        <f>'прил10 (ведом 23-24)'!M341</f>
        <v>1755.4</v>
      </c>
      <c r="I63" s="236">
        <f>'прил10 (ведом 23-24)'!N341</f>
        <v>1801.9</v>
      </c>
    </row>
    <row r="64" spans="1:9" ht="35.25" customHeight="1" x14ac:dyDescent="0.35">
      <c r="A64" s="392"/>
      <c r="B64" s="234" t="s">
        <v>71</v>
      </c>
      <c r="C64" s="221" t="s">
        <v>34</v>
      </c>
      <c r="D64" s="222" t="s">
        <v>40</v>
      </c>
      <c r="E64" s="222" t="s">
        <v>34</v>
      </c>
      <c r="F64" s="223" t="s">
        <v>430</v>
      </c>
      <c r="G64" s="35" t="s">
        <v>72</v>
      </c>
      <c r="H64" s="236">
        <f>'прил10 (ведом 23-24)'!M342</f>
        <v>54745.3</v>
      </c>
      <c r="I64" s="236">
        <f>'прил10 (ведом 23-24)'!N342</f>
        <v>55905.3</v>
      </c>
    </row>
    <row r="65" spans="1:9" ht="158.4" customHeight="1" x14ac:dyDescent="0.35">
      <c r="A65" s="392"/>
      <c r="B65" s="24" t="s">
        <v>542</v>
      </c>
      <c r="C65" s="571" t="s">
        <v>34</v>
      </c>
      <c r="D65" s="572" t="s">
        <v>40</v>
      </c>
      <c r="E65" s="572" t="s">
        <v>34</v>
      </c>
      <c r="F65" s="573" t="s">
        <v>543</v>
      </c>
      <c r="G65" s="10"/>
      <c r="H65" s="236">
        <f>H66</f>
        <v>0</v>
      </c>
      <c r="I65" s="236">
        <f>I66</f>
        <v>3900.6</v>
      </c>
    </row>
    <row r="66" spans="1:9" ht="46.8" customHeight="1" x14ac:dyDescent="0.35">
      <c r="A66" s="392"/>
      <c r="B66" s="24" t="s">
        <v>71</v>
      </c>
      <c r="C66" s="571" t="s">
        <v>34</v>
      </c>
      <c r="D66" s="572" t="s">
        <v>40</v>
      </c>
      <c r="E66" s="572" t="s">
        <v>34</v>
      </c>
      <c r="F66" s="573" t="s">
        <v>543</v>
      </c>
      <c r="G66" s="10" t="s">
        <v>72</v>
      </c>
      <c r="H66" s="236">
        <v>0</v>
      </c>
      <c r="I66" s="236">
        <f>'прил10 (ведом 23-24)'!N344</f>
        <v>3900.6</v>
      </c>
    </row>
    <row r="67" spans="1:9" ht="77.400000000000006" customHeight="1" x14ac:dyDescent="0.35">
      <c r="A67" s="392"/>
      <c r="B67" s="24" t="s">
        <v>539</v>
      </c>
      <c r="C67" s="571" t="s">
        <v>34</v>
      </c>
      <c r="D67" s="572" t="s">
        <v>40</v>
      </c>
      <c r="E67" s="572" t="s">
        <v>34</v>
      </c>
      <c r="F67" s="573" t="s">
        <v>538</v>
      </c>
      <c r="G67" s="35"/>
      <c r="H67" s="236">
        <f>H68+H69+H70</f>
        <v>12523.9</v>
      </c>
      <c r="I67" s="236">
        <f>I68+I69+I70</f>
        <v>12447.800000000001</v>
      </c>
    </row>
    <row r="68" spans="1:9" ht="35.25" customHeight="1" x14ac:dyDescent="0.35">
      <c r="A68" s="392"/>
      <c r="B68" s="24" t="s">
        <v>50</v>
      </c>
      <c r="C68" s="571" t="s">
        <v>34</v>
      </c>
      <c r="D68" s="572" t="s">
        <v>40</v>
      </c>
      <c r="E68" s="572" t="s">
        <v>34</v>
      </c>
      <c r="F68" s="573" t="s">
        <v>538</v>
      </c>
      <c r="G68" s="10" t="s">
        <v>51</v>
      </c>
      <c r="H68" s="236">
        <f>'прил10 (ведом 23-24)'!M346</f>
        <v>80</v>
      </c>
      <c r="I68" s="236">
        <f>'прил10 (ведом 23-24)'!N346</f>
        <v>79.5</v>
      </c>
    </row>
    <row r="69" spans="1:9" ht="35.25" customHeight="1" x14ac:dyDescent="0.35">
      <c r="A69" s="392"/>
      <c r="B69" s="24" t="s">
        <v>115</v>
      </c>
      <c r="C69" s="571" t="s">
        <v>34</v>
      </c>
      <c r="D69" s="572" t="s">
        <v>40</v>
      </c>
      <c r="E69" s="572" t="s">
        <v>34</v>
      </c>
      <c r="F69" s="573" t="s">
        <v>538</v>
      </c>
      <c r="G69" s="10" t="s">
        <v>116</v>
      </c>
      <c r="H69" s="236">
        <f>'прил10 (ведом 23-24)'!M347</f>
        <v>64</v>
      </c>
      <c r="I69" s="236">
        <f>'прил10 (ведом 23-24)'!N347</f>
        <v>63.6</v>
      </c>
    </row>
    <row r="70" spans="1:9" ht="35.25" customHeight="1" x14ac:dyDescent="0.35">
      <c r="A70" s="392"/>
      <c r="B70" s="24" t="s">
        <v>71</v>
      </c>
      <c r="C70" s="571" t="s">
        <v>34</v>
      </c>
      <c r="D70" s="572" t="s">
        <v>40</v>
      </c>
      <c r="E70" s="572" t="s">
        <v>34</v>
      </c>
      <c r="F70" s="573" t="s">
        <v>538</v>
      </c>
      <c r="G70" s="10" t="s">
        <v>72</v>
      </c>
      <c r="H70" s="236">
        <f>'прил10 (ведом 23-24)'!M348</f>
        <v>12379.9</v>
      </c>
      <c r="I70" s="236">
        <f>'прил10 (ведом 23-24)'!N348</f>
        <v>12304.7</v>
      </c>
    </row>
    <row r="71" spans="1:9" ht="18" x14ac:dyDescent="0.35">
      <c r="A71" s="392"/>
      <c r="B71" s="403" t="s">
        <v>205</v>
      </c>
      <c r="C71" s="221" t="s">
        <v>34</v>
      </c>
      <c r="D71" s="222" t="s">
        <v>84</v>
      </c>
      <c r="E71" s="222" t="s">
        <v>38</v>
      </c>
      <c r="F71" s="223" t="s">
        <v>39</v>
      </c>
      <c r="G71" s="258"/>
      <c r="H71" s="236">
        <f>H72</f>
        <v>61998.399999999994</v>
      </c>
      <c r="I71" s="236">
        <f>I72</f>
        <v>67055.8</v>
      </c>
    </row>
    <row r="72" spans="1:9" ht="36" x14ac:dyDescent="0.35">
      <c r="A72" s="392"/>
      <c r="B72" s="403" t="s">
        <v>264</v>
      </c>
      <c r="C72" s="221" t="s">
        <v>34</v>
      </c>
      <c r="D72" s="222" t="s">
        <v>84</v>
      </c>
      <c r="E72" s="222" t="s">
        <v>32</v>
      </c>
      <c r="F72" s="223" t="s">
        <v>39</v>
      </c>
      <c r="G72" s="258"/>
      <c r="H72" s="236">
        <f>H73+H81+H83+H78</f>
        <v>61998.399999999994</v>
      </c>
      <c r="I72" s="236">
        <f>I73+I81+I83+I78</f>
        <v>67055.8</v>
      </c>
    </row>
    <row r="73" spans="1:9" ht="36" x14ac:dyDescent="0.35">
      <c r="A73" s="392"/>
      <c r="B73" s="403" t="s">
        <v>437</v>
      </c>
      <c r="C73" s="221" t="s">
        <v>34</v>
      </c>
      <c r="D73" s="222" t="s">
        <v>84</v>
      </c>
      <c r="E73" s="222" t="s">
        <v>32</v>
      </c>
      <c r="F73" s="223" t="s">
        <v>86</v>
      </c>
      <c r="G73" s="35"/>
      <c r="H73" s="236">
        <f>SUM(H74:H77)</f>
        <v>50541.2</v>
      </c>
      <c r="I73" s="236">
        <f>SUM(I74:I77)</f>
        <v>55595.3</v>
      </c>
    </row>
    <row r="74" spans="1:9" ht="90" x14ac:dyDescent="0.35">
      <c r="A74" s="392"/>
      <c r="B74" s="234" t="s">
        <v>44</v>
      </c>
      <c r="C74" s="221" t="s">
        <v>34</v>
      </c>
      <c r="D74" s="222" t="s">
        <v>84</v>
      </c>
      <c r="E74" s="222" t="s">
        <v>32</v>
      </c>
      <c r="F74" s="223" t="s">
        <v>86</v>
      </c>
      <c r="G74" s="35" t="s">
        <v>45</v>
      </c>
      <c r="H74" s="236">
        <f>'прил10 (ведом 23-24)'!M358</f>
        <v>20212.7</v>
      </c>
      <c r="I74" s="236">
        <f>'прил10 (ведом 23-24)'!N358</f>
        <v>20212.7</v>
      </c>
    </row>
    <row r="75" spans="1:9" ht="36" x14ac:dyDescent="0.35">
      <c r="A75" s="392"/>
      <c r="B75" s="234" t="s">
        <v>50</v>
      </c>
      <c r="C75" s="221" t="s">
        <v>34</v>
      </c>
      <c r="D75" s="222" t="s">
        <v>84</v>
      </c>
      <c r="E75" s="222" t="s">
        <v>32</v>
      </c>
      <c r="F75" s="223" t="s">
        <v>86</v>
      </c>
      <c r="G75" s="35" t="s">
        <v>51</v>
      </c>
      <c r="H75" s="236">
        <f>'прил10 (ведом 23-24)'!M359</f>
        <v>1988.9</v>
      </c>
      <c r="I75" s="236">
        <f>'прил10 (ведом 23-24)'!N359</f>
        <v>4230.6000000000004</v>
      </c>
    </row>
    <row r="76" spans="1:9" ht="46.5" customHeight="1" x14ac:dyDescent="0.35">
      <c r="A76" s="392"/>
      <c r="B76" s="403" t="s">
        <v>71</v>
      </c>
      <c r="C76" s="221" t="s">
        <v>34</v>
      </c>
      <c r="D76" s="222" t="s">
        <v>84</v>
      </c>
      <c r="E76" s="222" t="s">
        <v>32</v>
      </c>
      <c r="F76" s="223" t="s">
        <v>86</v>
      </c>
      <c r="G76" s="35" t="s">
        <v>72</v>
      </c>
      <c r="H76" s="236">
        <f>'прил10 (ведом 23-24)'!M360</f>
        <v>28226.400000000001</v>
      </c>
      <c r="I76" s="236">
        <f>'прил10 (ведом 23-24)'!N360</f>
        <v>31039</v>
      </c>
    </row>
    <row r="77" spans="1:9" ht="18" x14ac:dyDescent="0.35">
      <c r="A77" s="392"/>
      <c r="B77" s="234" t="s">
        <v>52</v>
      </c>
      <c r="C77" s="221" t="s">
        <v>34</v>
      </c>
      <c r="D77" s="222" t="s">
        <v>84</v>
      </c>
      <c r="E77" s="222" t="s">
        <v>32</v>
      </c>
      <c r="F77" s="223" t="s">
        <v>86</v>
      </c>
      <c r="G77" s="35" t="s">
        <v>53</v>
      </c>
      <c r="H77" s="236">
        <f>'прил10 (ведом 23-24)'!M361</f>
        <v>113.2</v>
      </c>
      <c r="I77" s="236">
        <f>'прил10 (ведом 23-24)'!N361</f>
        <v>113</v>
      </c>
    </row>
    <row r="78" spans="1:9" ht="36" x14ac:dyDescent="0.35">
      <c r="A78" s="392"/>
      <c r="B78" s="234" t="s">
        <v>202</v>
      </c>
      <c r="C78" s="221" t="s">
        <v>34</v>
      </c>
      <c r="D78" s="222" t="s">
        <v>84</v>
      </c>
      <c r="E78" s="222" t="s">
        <v>32</v>
      </c>
      <c r="F78" s="223" t="s">
        <v>261</v>
      </c>
      <c r="G78" s="35"/>
      <c r="H78" s="236">
        <f>H79+H80</f>
        <v>1260</v>
      </c>
      <c r="I78" s="236">
        <f>I79+I80</f>
        <v>1260</v>
      </c>
    </row>
    <row r="79" spans="1:9" ht="36" x14ac:dyDescent="0.35">
      <c r="A79" s="392"/>
      <c r="B79" s="234" t="s">
        <v>50</v>
      </c>
      <c r="C79" s="221" t="s">
        <v>34</v>
      </c>
      <c r="D79" s="222" t="s">
        <v>84</v>
      </c>
      <c r="E79" s="222" t="s">
        <v>32</v>
      </c>
      <c r="F79" s="223" t="s">
        <v>261</v>
      </c>
      <c r="G79" s="35" t="s">
        <v>51</v>
      </c>
      <c r="H79" s="236">
        <f>'прил10 (ведом 23-24)'!M363</f>
        <v>506.3</v>
      </c>
      <c r="I79" s="236">
        <f>'прил10 (ведом 23-24)'!N363</f>
        <v>506.3</v>
      </c>
    </row>
    <row r="80" spans="1:9" ht="36" x14ac:dyDescent="0.35">
      <c r="A80" s="392"/>
      <c r="B80" s="410" t="s">
        <v>71</v>
      </c>
      <c r="C80" s="221" t="s">
        <v>34</v>
      </c>
      <c r="D80" s="222" t="s">
        <v>84</v>
      </c>
      <c r="E80" s="222" t="s">
        <v>32</v>
      </c>
      <c r="F80" s="223" t="s">
        <v>261</v>
      </c>
      <c r="G80" s="35" t="s">
        <v>72</v>
      </c>
      <c r="H80" s="236">
        <f>'прил10 (ведом 23-24)'!M364</f>
        <v>753.7</v>
      </c>
      <c r="I80" s="236">
        <f>'прил10 (ведом 23-24)'!N364</f>
        <v>753.7</v>
      </c>
    </row>
    <row r="81" spans="1:9" ht="162" customHeight="1" x14ac:dyDescent="0.35">
      <c r="A81" s="392"/>
      <c r="B81" s="403" t="s">
        <v>256</v>
      </c>
      <c r="C81" s="221" t="s">
        <v>34</v>
      </c>
      <c r="D81" s="222" t="s">
        <v>84</v>
      </c>
      <c r="E81" s="222" t="s">
        <v>32</v>
      </c>
      <c r="F81" s="223" t="s">
        <v>257</v>
      </c>
      <c r="G81" s="35"/>
      <c r="H81" s="236">
        <f>H82</f>
        <v>110.4</v>
      </c>
      <c r="I81" s="236">
        <f>I82</f>
        <v>113.7</v>
      </c>
    </row>
    <row r="82" spans="1:9" ht="36" x14ac:dyDescent="0.35">
      <c r="A82" s="392"/>
      <c r="B82" s="234" t="s">
        <v>71</v>
      </c>
      <c r="C82" s="221" t="s">
        <v>34</v>
      </c>
      <c r="D82" s="222" t="s">
        <v>84</v>
      </c>
      <c r="E82" s="222" t="s">
        <v>32</v>
      </c>
      <c r="F82" s="223" t="s">
        <v>257</v>
      </c>
      <c r="G82" s="35" t="s">
        <v>72</v>
      </c>
      <c r="H82" s="236">
        <f>'прил10 (ведом 23-24)'!M366</f>
        <v>110.4</v>
      </c>
      <c r="I82" s="236">
        <f>'прил10 (ведом 23-24)'!N366</f>
        <v>113.7</v>
      </c>
    </row>
    <row r="83" spans="1:9" ht="96.75" customHeight="1" x14ac:dyDescent="0.35">
      <c r="A83" s="392"/>
      <c r="B83" s="234" t="s">
        <v>334</v>
      </c>
      <c r="C83" s="221" t="s">
        <v>34</v>
      </c>
      <c r="D83" s="222" t="s">
        <v>84</v>
      </c>
      <c r="E83" s="222" t="s">
        <v>32</v>
      </c>
      <c r="F83" s="223" t="s">
        <v>258</v>
      </c>
      <c r="G83" s="35"/>
      <c r="H83" s="236">
        <f>H84</f>
        <v>10086.799999999999</v>
      </c>
      <c r="I83" s="236">
        <f>I84</f>
        <v>10086.799999999999</v>
      </c>
    </row>
    <row r="84" spans="1:9" ht="45" customHeight="1" x14ac:dyDescent="0.35">
      <c r="A84" s="392"/>
      <c r="B84" s="234" t="s">
        <v>71</v>
      </c>
      <c r="C84" s="221" t="s">
        <v>34</v>
      </c>
      <c r="D84" s="222" t="s">
        <v>84</v>
      </c>
      <c r="E84" s="222" t="s">
        <v>32</v>
      </c>
      <c r="F84" s="223" t="s">
        <v>258</v>
      </c>
      <c r="G84" s="35" t="s">
        <v>72</v>
      </c>
      <c r="H84" s="236">
        <f>'прил10 (ведом 23-24)'!M368</f>
        <v>10086.799999999999</v>
      </c>
      <c r="I84" s="236">
        <f>'прил10 (ведом 23-24)'!N368</f>
        <v>10086.799999999999</v>
      </c>
    </row>
    <row r="85" spans="1:9" ht="42" customHeight="1" x14ac:dyDescent="0.35">
      <c r="A85" s="392"/>
      <c r="B85" s="403" t="s">
        <v>207</v>
      </c>
      <c r="C85" s="221" t="s">
        <v>34</v>
      </c>
      <c r="D85" s="222" t="s">
        <v>25</v>
      </c>
      <c r="E85" s="222" t="s">
        <v>38</v>
      </c>
      <c r="F85" s="223" t="s">
        <v>39</v>
      </c>
      <c r="G85" s="258"/>
      <c r="H85" s="236">
        <f>H86+H100+H105+H108+H111</f>
        <v>74817</v>
      </c>
      <c r="I85" s="236">
        <f>I86+I100+I105+I108+I111</f>
        <v>75243</v>
      </c>
    </row>
    <row r="86" spans="1:9" ht="36" x14ac:dyDescent="0.35">
      <c r="A86" s="392"/>
      <c r="B86" s="403" t="s">
        <v>270</v>
      </c>
      <c r="C86" s="221" t="s">
        <v>34</v>
      </c>
      <c r="D86" s="222" t="s">
        <v>25</v>
      </c>
      <c r="E86" s="222" t="s">
        <v>32</v>
      </c>
      <c r="F86" s="223" t="s">
        <v>39</v>
      </c>
      <c r="G86" s="258"/>
      <c r="H86" s="236">
        <f>H87+H91+H98+H96</f>
        <v>66621.5</v>
      </c>
      <c r="I86" s="236">
        <f>I87+I91+I98+I96</f>
        <v>67047.5</v>
      </c>
    </row>
    <row r="87" spans="1:9" ht="36" x14ac:dyDescent="0.35">
      <c r="A87" s="392"/>
      <c r="B87" s="403" t="s">
        <v>42</v>
      </c>
      <c r="C87" s="221" t="s">
        <v>34</v>
      </c>
      <c r="D87" s="222" t="s">
        <v>25</v>
      </c>
      <c r="E87" s="222" t="s">
        <v>32</v>
      </c>
      <c r="F87" s="223" t="s">
        <v>43</v>
      </c>
      <c r="G87" s="35"/>
      <c r="H87" s="236">
        <f>SUM(H88:H90)</f>
        <v>10576.099999999999</v>
      </c>
      <c r="I87" s="236">
        <f>SUM(I88:I90)</f>
        <v>10582.3</v>
      </c>
    </row>
    <row r="88" spans="1:9" ht="90" x14ac:dyDescent="0.35">
      <c r="A88" s="392"/>
      <c r="B88" s="403" t="s">
        <v>44</v>
      </c>
      <c r="C88" s="221" t="s">
        <v>34</v>
      </c>
      <c r="D88" s="222" t="s">
        <v>25</v>
      </c>
      <c r="E88" s="222" t="s">
        <v>32</v>
      </c>
      <c r="F88" s="223" t="s">
        <v>43</v>
      </c>
      <c r="G88" s="35" t="s">
        <v>45</v>
      </c>
      <c r="H88" s="236">
        <f>'прил10 (ведом 23-24)'!M387</f>
        <v>9648.2999999999993</v>
      </c>
      <c r="I88" s="236">
        <f>'прил10 (ведом 23-24)'!N387</f>
        <v>9648.2999999999993</v>
      </c>
    </row>
    <row r="89" spans="1:9" ht="36" x14ac:dyDescent="0.35">
      <c r="A89" s="392"/>
      <c r="B89" s="403" t="s">
        <v>50</v>
      </c>
      <c r="C89" s="221" t="s">
        <v>34</v>
      </c>
      <c r="D89" s="222" t="s">
        <v>25</v>
      </c>
      <c r="E89" s="222" t="s">
        <v>32</v>
      </c>
      <c r="F89" s="223" t="s">
        <v>43</v>
      </c>
      <c r="G89" s="35" t="s">
        <v>51</v>
      </c>
      <c r="H89" s="236">
        <f>'прил10 (ведом 23-24)'!M388</f>
        <v>910.9</v>
      </c>
      <c r="I89" s="236">
        <f>'прил10 (ведом 23-24)'!N388</f>
        <v>917.2</v>
      </c>
    </row>
    <row r="90" spans="1:9" ht="18" x14ac:dyDescent="0.35">
      <c r="A90" s="392"/>
      <c r="B90" s="403" t="s">
        <v>52</v>
      </c>
      <c r="C90" s="221" t="s">
        <v>34</v>
      </c>
      <c r="D90" s="222" t="s">
        <v>25</v>
      </c>
      <c r="E90" s="222" t="s">
        <v>32</v>
      </c>
      <c r="F90" s="223" t="s">
        <v>43</v>
      </c>
      <c r="G90" s="35" t="s">
        <v>53</v>
      </c>
      <c r="H90" s="236">
        <f>'прил10 (ведом 23-24)'!M389</f>
        <v>16.899999999999999</v>
      </c>
      <c r="I90" s="236">
        <f>'прил10 (ведом 23-24)'!N389</f>
        <v>16.8</v>
      </c>
    </row>
    <row r="91" spans="1:9" ht="36" x14ac:dyDescent="0.35">
      <c r="A91" s="392"/>
      <c r="B91" s="403" t="s">
        <v>437</v>
      </c>
      <c r="C91" s="221" t="s">
        <v>34</v>
      </c>
      <c r="D91" s="222" t="s">
        <v>25</v>
      </c>
      <c r="E91" s="222" t="s">
        <v>32</v>
      </c>
      <c r="F91" s="223" t="s">
        <v>86</v>
      </c>
      <c r="G91" s="35"/>
      <c r="H91" s="236">
        <f>SUM(H92:H95)</f>
        <v>47560.700000000004</v>
      </c>
      <c r="I91" s="236">
        <f>SUM(I92:I95)</f>
        <v>47980.5</v>
      </c>
    </row>
    <row r="92" spans="1:9" ht="90" x14ac:dyDescent="0.35">
      <c r="A92" s="392"/>
      <c r="B92" s="403" t="s">
        <v>44</v>
      </c>
      <c r="C92" s="221" t="s">
        <v>34</v>
      </c>
      <c r="D92" s="222" t="s">
        <v>25</v>
      </c>
      <c r="E92" s="222" t="s">
        <v>32</v>
      </c>
      <c r="F92" s="223" t="s">
        <v>86</v>
      </c>
      <c r="G92" s="35" t="s">
        <v>45</v>
      </c>
      <c r="H92" s="236">
        <f>'прил10 (ведом 23-24)'!M391</f>
        <v>28006.9</v>
      </c>
      <c r="I92" s="236">
        <f>'прил10 (ведом 23-24)'!N391</f>
        <v>28006.9</v>
      </c>
    </row>
    <row r="93" spans="1:9" ht="36" x14ac:dyDescent="0.35">
      <c r="A93" s="392"/>
      <c r="B93" s="403" t="s">
        <v>50</v>
      </c>
      <c r="C93" s="221" t="s">
        <v>34</v>
      </c>
      <c r="D93" s="222" t="s">
        <v>25</v>
      </c>
      <c r="E93" s="222" t="s">
        <v>32</v>
      </c>
      <c r="F93" s="223" t="s">
        <v>86</v>
      </c>
      <c r="G93" s="35" t="s">
        <v>51</v>
      </c>
      <c r="H93" s="236">
        <f>'прил10 (ведом 23-24)'!M392</f>
        <v>2651.3</v>
      </c>
      <c r="I93" s="236">
        <f>'прил10 (ведом 23-24)'!N392</f>
        <v>3071.4</v>
      </c>
    </row>
    <row r="94" spans="1:9" ht="45.75" customHeight="1" x14ac:dyDescent="0.35">
      <c r="A94" s="392"/>
      <c r="B94" s="234" t="s">
        <v>71</v>
      </c>
      <c r="C94" s="221" t="s">
        <v>34</v>
      </c>
      <c r="D94" s="222" t="s">
        <v>25</v>
      </c>
      <c r="E94" s="222" t="s">
        <v>32</v>
      </c>
      <c r="F94" s="223" t="s">
        <v>86</v>
      </c>
      <c r="G94" s="35" t="s">
        <v>72</v>
      </c>
      <c r="H94" s="236">
        <f>'прил10 (ведом 23-24)'!M393</f>
        <v>16896.7</v>
      </c>
      <c r="I94" s="236">
        <f>'прил10 (ведом 23-24)'!N393</f>
        <v>16896.7</v>
      </c>
    </row>
    <row r="95" spans="1:9" ht="18" x14ac:dyDescent="0.35">
      <c r="A95" s="392"/>
      <c r="B95" s="234" t="s">
        <v>52</v>
      </c>
      <c r="C95" s="221" t="s">
        <v>34</v>
      </c>
      <c r="D95" s="222" t="s">
        <v>25</v>
      </c>
      <c r="E95" s="222" t="s">
        <v>32</v>
      </c>
      <c r="F95" s="223" t="s">
        <v>86</v>
      </c>
      <c r="G95" s="35" t="s">
        <v>53</v>
      </c>
      <c r="H95" s="236">
        <f>'прил10 (ведом 23-24)'!M394</f>
        <v>5.8</v>
      </c>
      <c r="I95" s="236">
        <f>'прил10 (ведом 23-24)'!N394</f>
        <v>5.5</v>
      </c>
    </row>
    <row r="96" spans="1:9" ht="97.5" customHeight="1" x14ac:dyDescent="0.35">
      <c r="A96" s="392"/>
      <c r="B96" s="234" t="s">
        <v>334</v>
      </c>
      <c r="C96" s="221" t="s">
        <v>34</v>
      </c>
      <c r="D96" s="222" t="s">
        <v>25</v>
      </c>
      <c r="E96" s="222" t="s">
        <v>32</v>
      </c>
      <c r="F96" s="223" t="s">
        <v>258</v>
      </c>
      <c r="G96" s="35"/>
      <c r="H96" s="236">
        <f>SUM(H97:H97)</f>
        <v>6189.9</v>
      </c>
      <c r="I96" s="236">
        <f>SUM(I97:I97)</f>
        <v>6189.9</v>
      </c>
    </row>
    <row r="97" spans="1:9" ht="90" x14ac:dyDescent="0.35">
      <c r="A97" s="392"/>
      <c r="B97" s="234" t="s">
        <v>44</v>
      </c>
      <c r="C97" s="221" t="s">
        <v>34</v>
      </c>
      <c r="D97" s="222" t="s">
        <v>25</v>
      </c>
      <c r="E97" s="222" t="s">
        <v>32</v>
      </c>
      <c r="F97" s="223" t="s">
        <v>258</v>
      </c>
      <c r="G97" s="35" t="s">
        <v>45</v>
      </c>
      <c r="H97" s="236">
        <f>'прил10 (ведом 23-24)'!M396</f>
        <v>6189.9</v>
      </c>
      <c r="I97" s="236">
        <f>'прил10 (ведом 23-24)'!N396</f>
        <v>6189.9</v>
      </c>
    </row>
    <row r="98" spans="1:9" ht="214.5" customHeight="1" x14ac:dyDescent="0.35">
      <c r="A98" s="392"/>
      <c r="B98" s="234" t="s">
        <v>413</v>
      </c>
      <c r="C98" s="221" t="s">
        <v>34</v>
      </c>
      <c r="D98" s="222" t="s">
        <v>25</v>
      </c>
      <c r="E98" s="222" t="s">
        <v>32</v>
      </c>
      <c r="F98" s="223" t="s">
        <v>335</v>
      </c>
      <c r="G98" s="35"/>
      <c r="H98" s="236">
        <f>SUM(H99:H99)</f>
        <v>2294.8000000000002</v>
      </c>
      <c r="I98" s="236">
        <f>SUM(I99:I99)</f>
        <v>2294.8000000000002</v>
      </c>
    </row>
    <row r="99" spans="1:9" ht="45" customHeight="1" x14ac:dyDescent="0.35">
      <c r="A99" s="392"/>
      <c r="B99" s="234" t="s">
        <v>71</v>
      </c>
      <c r="C99" s="221" t="s">
        <v>34</v>
      </c>
      <c r="D99" s="222" t="s">
        <v>25</v>
      </c>
      <c r="E99" s="222" t="s">
        <v>32</v>
      </c>
      <c r="F99" s="223" t="s">
        <v>335</v>
      </c>
      <c r="G99" s="35" t="s">
        <v>72</v>
      </c>
      <c r="H99" s="236">
        <f>'прил10 (ведом 23-24)'!M352</f>
        <v>2294.8000000000002</v>
      </c>
      <c r="I99" s="236">
        <f>'прил10 (ведом 23-24)'!N352</f>
        <v>2294.8000000000002</v>
      </c>
    </row>
    <row r="100" spans="1:9" ht="45" customHeight="1" x14ac:dyDescent="0.35">
      <c r="A100" s="392"/>
      <c r="B100" s="234" t="s">
        <v>269</v>
      </c>
      <c r="C100" s="221" t="s">
        <v>34</v>
      </c>
      <c r="D100" s="222" t="s">
        <v>25</v>
      </c>
      <c r="E100" s="222" t="s">
        <v>34</v>
      </c>
      <c r="F100" s="223" t="s">
        <v>39</v>
      </c>
      <c r="G100" s="35"/>
      <c r="H100" s="236">
        <f>H101+H103</f>
        <v>7938.2999999999993</v>
      </c>
      <c r="I100" s="236">
        <f>I101+I103</f>
        <v>7938.2999999999993</v>
      </c>
    </row>
    <row r="101" spans="1:9" ht="45" customHeight="1" x14ac:dyDescent="0.35">
      <c r="A101" s="392"/>
      <c r="B101" s="234" t="s">
        <v>444</v>
      </c>
      <c r="C101" s="221" t="s">
        <v>34</v>
      </c>
      <c r="D101" s="222" t="s">
        <v>25</v>
      </c>
      <c r="E101" s="222" t="s">
        <v>34</v>
      </c>
      <c r="F101" s="223" t="s">
        <v>443</v>
      </c>
      <c r="G101" s="35"/>
      <c r="H101" s="236">
        <f>H102</f>
        <v>1188.3999999999999</v>
      </c>
      <c r="I101" s="236">
        <f>I102</f>
        <v>1188.3999999999999</v>
      </c>
    </row>
    <row r="102" spans="1:9" ht="45" customHeight="1" x14ac:dyDescent="0.35">
      <c r="A102" s="392"/>
      <c r="B102" s="234" t="s">
        <v>71</v>
      </c>
      <c r="C102" s="221" t="s">
        <v>34</v>
      </c>
      <c r="D102" s="222" t="s">
        <v>25</v>
      </c>
      <c r="E102" s="222" t="s">
        <v>34</v>
      </c>
      <c r="F102" s="223" t="s">
        <v>443</v>
      </c>
      <c r="G102" s="35" t="s">
        <v>72</v>
      </c>
      <c r="H102" s="236">
        <f>'прил10 (ведом 23-24)'!M379</f>
        <v>1188.3999999999999</v>
      </c>
      <c r="I102" s="236">
        <f>'прил10 (ведом 23-24)'!N379</f>
        <v>1188.3999999999999</v>
      </c>
    </row>
    <row r="103" spans="1:9" ht="109.5" customHeight="1" x14ac:dyDescent="0.35">
      <c r="A103" s="392"/>
      <c r="B103" s="234" t="s">
        <v>418</v>
      </c>
      <c r="C103" s="221" t="s">
        <v>34</v>
      </c>
      <c r="D103" s="222" t="s">
        <v>25</v>
      </c>
      <c r="E103" s="222" t="s">
        <v>34</v>
      </c>
      <c r="F103" s="223" t="s">
        <v>417</v>
      </c>
      <c r="G103" s="35"/>
      <c r="H103" s="236">
        <f>H104</f>
        <v>6749.9</v>
      </c>
      <c r="I103" s="236">
        <f>I104</f>
        <v>6749.9</v>
      </c>
    </row>
    <row r="104" spans="1:9" ht="39" customHeight="1" x14ac:dyDescent="0.35">
      <c r="A104" s="392"/>
      <c r="B104" s="234" t="s">
        <v>71</v>
      </c>
      <c r="C104" s="221" t="s">
        <v>34</v>
      </c>
      <c r="D104" s="222" t="s">
        <v>25</v>
      </c>
      <c r="E104" s="222" t="s">
        <v>34</v>
      </c>
      <c r="F104" s="223" t="s">
        <v>417</v>
      </c>
      <c r="G104" s="35" t="s">
        <v>72</v>
      </c>
      <c r="H104" s="236">
        <f>'прил10 (ведом 23-24)'!M381</f>
        <v>6749.9</v>
      </c>
      <c r="I104" s="236">
        <f>'прил10 (ведом 23-24)'!N381</f>
        <v>6749.9</v>
      </c>
    </row>
    <row r="105" spans="1:9" ht="36" customHeight="1" x14ac:dyDescent="0.35">
      <c r="A105" s="392"/>
      <c r="B105" s="257" t="s">
        <v>340</v>
      </c>
      <c r="C105" s="564" t="s">
        <v>34</v>
      </c>
      <c r="D105" s="565" t="s">
        <v>25</v>
      </c>
      <c r="E105" s="565" t="s">
        <v>58</v>
      </c>
      <c r="F105" s="566" t="s">
        <v>39</v>
      </c>
      <c r="G105" s="258"/>
      <c r="H105" s="236">
        <f>H106</f>
        <v>127.4</v>
      </c>
      <c r="I105" s="236">
        <f>I106</f>
        <v>127.4</v>
      </c>
    </row>
    <row r="106" spans="1:9" ht="51.75" customHeight="1" x14ac:dyDescent="0.35">
      <c r="A106" s="392"/>
      <c r="B106" s="257" t="s">
        <v>446</v>
      </c>
      <c r="C106" s="564" t="s">
        <v>34</v>
      </c>
      <c r="D106" s="565" t="s">
        <v>25</v>
      </c>
      <c r="E106" s="565" t="s">
        <v>58</v>
      </c>
      <c r="F106" s="566" t="s">
        <v>100</v>
      </c>
      <c r="G106" s="258"/>
      <c r="H106" s="236">
        <f>H107</f>
        <v>127.4</v>
      </c>
      <c r="I106" s="236">
        <f>I107</f>
        <v>127.4</v>
      </c>
    </row>
    <row r="107" spans="1:9" ht="36" x14ac:dyDescent="0.35">
      <c r="A107" s="392"/>
      <c r="B107" s="257" t="s">
        <v>50</v>
      </c>
      <c r="C107" s="564" t="s">
        <v>34</v>
      </c>
      <c r="D107" s="565" t="s">
        <v>25</v>
      </c>
      <c r="E107" s="565" t="s">
        <v>58</v>
      </c>
      <c r="F107" s="566" t="s">
        <v>100</v>
      </c>
      <c r="G107" s="258" t="s">
        <v>51</v>
      </c>
      <c r="H107" s="236">
        <f>'прил10 (ведом 23-24)'!M278</f>
        <v>127.4</v>
      </c>
      <c r="I107" s="236">
        <f>'прил10 (ведом 23-24)'!N278</f>
        <v>127.4</v>
      </c>
    </row>
    <row r="108" spans="1:9" ht="34.5" customHeight="1" x14ac:dyDescent="0.35">
      <c r="A108" s="392"/>
      <c r="B108" s="257" t="s">
        <v>441</v>
      </c>
      <c r="C108" s="564" t="s">
        <v>34</v>
      </c>
      <c r="D108" s="565" t="s">
        <v>25</v>
      </c>
      <c r="E108" s="565" t="s">
        <v>47</v>
      </c>
      <c r="F108" s="566" t="s">
        <v>39</v>
      </c>
      <c r="G108" s="258"/>
      <c r="H108" s="236">
        <f>H109</f>
        <v>24</v>
      </c>
      <c r="I108" s="236">
        <f>I109</f>
        <v>24</v>
      </c>
    </row>
    <row r="109" spans="1:9" ht="24" customHeight="1" x14ac:dyDescent="0.35">
      <c r="A109" s="392"/>
      <c r="B109" s="257" t="s">
        <v>447</v>
      </c>
      <c r="C109" s="564" t="s">
        <v>34</v>
      </c>
      <c r="D109" s="565" t="s">
        <v>25</v>
      </c>
      <c r="E109" s="565" t="s">
        <v>47</v>
      </c>
      <c r="F109" s="566" t="s">
        <v>440</v>
      </c>
      <c r="G109" s="258"/>
      <c r="H109" s="236">
        <f>H110</f>
        <v>24</v>
      </c>
      <c r="I109" s="236">
        <f>I110</f>
        <v>24</v>
      </c>
    </row>
    <row r="110" spans="1:9" ht="33.75" customHeight="1" x14ac:dyDescent="0.35">
      <c r="A110" s="392"/>
      <c r="B110" s="257" t="s">
        <v>50</v>
      </c>
      <c r="C110" s="564" t="s">
        <v>34</v>
      </c>
      <c r="D110" s="565" t="s">
        <v>25</v>
      </c>
      <c r="E110" s="565" t="s">
        <v>47</v>
      </c>
      <c r="F110" s="566" t="s">
        <v>440</v>
      </c>
      <c r="G110" s="258" t="s">
        <v>51</v>
      </c>
      <c r="H110" s="236">
        <f>'прил10 (ведом 23-24)'!M281</f>
        <v>24</v>
      </c>
      <c r="I110" s="236">
        <f>'прил10 (ведом 23-24)'!N281</f>
        <v>24</v>
      </c>
    </row>
    <row r="111" spans="1:9" ht="33.6" customHeight="1" x14ac:dyDescent="0.35">
      <c r="A111" s="392"/>
      <c r="B111" s="257" t="s">
        <v>445</v>
      </c>
      <c r="C111" s="564" t="s">
        <v>34</v>
      </c>
      <c r="D111" s="565" t="s">
        <v>25</v>
      </c>
      <c r="E111" s="565" t="s">
        <v>60</v>
      </c>
      <c r="F111" s="566" t="s">
        <v>39</v>
      </c>
      <c r="G111" s="258"/>
      <c r="H111" s="236">
        <f>H112</f>
        <v>105.8</v>
      </c>
      <c r="I111" s="236">
        <f>I112</f>
        <v>105.8</v>
      </c>
    </row>
    <row r="112" spans="1:9" ht="36.75" customHeight="1" x14ac:dyDescent="0.35">
      <c r="A112" s="392"/>
      <c r="B112" s="257" t="s">
        <v>122</v>
      </c>
      <c r="C112" s="564" t="s">
        <v>34</v>
      </c>
      <c r="D112" s="565" t="s">
        <v>25</v>
      </c>
      <c r="E112" s="565" t="s">
        <v>60</v>
      </c>
      <c r="F112" s="566" t="s">
        <v>85</v>
      </c>
      <c r="G112" s="258"/>
      <c r="H112" s="236">
        <f>H113</f>
        <v>105.8</v>
      </c>
      <c r="I112" s="236">
        <f>I113</f>
        <v>105.8</v>
      </c>
    </row>
    <row r="113" spans="1:9" ht="34.5" customHeight="1" x14ac:dyDescent="0.35">
      <c r="A113" s="392"/>
      <c r="B113" s="257" t="s">
        <v>50</v>
      </c>
      <c r="C113" s="564" t="s">
        <v>34</v>
      </c>
      <c r="D113" s="565" t="s">
        <v>25</v>
      </c>
      <c r="E113" s="565" t="s">
        <v>60</v>
      </c>
      <c r="F113" s="566" t="s">
        <v>85</v>
      </c>
      <c r="G113" s="258" t="s">
        <v>51</v>
      </c>
      <c r="H113" s="236">
        <f>'прил10 (ведом 23-24)'!M284</f>
        <v>105.8</v>
      </c>
      <c r="I113" s="236">
        <f>'прил10 (ведом 23-24)'!N284</f>
        <v>105.8</v>
      </c>
    </row>
    <row r="114" spans="1:9" ht="18" x14ac:dyDescent="0.35">
      <c r="A114" s="392"/>
      <c r="B114" s="411"/>
      <c r="C114" s="564"/>
      <c r="D114" s="565"/>
      <c r="E114" s="565"/>
      <c r="F114" s="566"/>
      <c r="G114" s="258"/>
      <c r="H114" s="236"/>
      <c r="I114" s="236"/>
    </row>
    <row r="115" spans="1:9" s="402" customFormat="1" ht="52.2" x14ac:dyDescent="0.3">
      <c r="A115" s="412">
        <v>2</v>
      </c>
      <c r="B115" s="334" t="s">
        <v>208</v>
      </c>
      <c r="C115" s="413" t="s">
        <v>58</v>
      </c>
      <c r="D115" s="413" t="s">
        <v>37</v>
      </c>
      <c r="E115" s="413" t="s">
        <v>38</v>
      </c>
      <c r="F115" s="414" t="s">
        <v>39</v>
      </c>
      <c r="G115" s="401"/>
      <c r="H115" s="283">
        <f>H116+H143+H136</f>
        <v>93411</v>
      </c>
      <c r="I115" s="283">
        <f>I116+I143+I136</f>
        <v>102079.3</v>
      </c>
    </row>
    <row r="116" spans="1:9" s="402" customFormat="1" ht="54" x14ac:dyDescent="0.35">
      <c r="A116" s="392"/>
      <c r="B116" s="415" t="s">
        <v>209</v>
      </c>
      <c r="C116" s="221" t="s">
        <v>58</v>
      </c>
      <c r="D116" s="222" t="s">
        <v>40</v>
      </c>
      <c r="E116" s="222" t="s">
        <v>38</v>
      </c>
      <c r="F116" s="223" t="s">
        <v>39</v>
      </c>
      <c r="G116" s="258"/>
      <c r="H116" s="236">
        <f>H117+H122+H125+H128+H133</f>
        <v>83755.100000000006</v>
      </c>
      <c r="I116" s="236">
        <f>I117+I122+I125+I128+I133</f>
        <v>91766.5</v>
      </c>
    </row>
    <row r="117" spans="1:9" s="402" customFormat="1" ht="36" x14ac:dyDescent="0.35">
      <c r="A117" s="392"/>
      <c r="B117" s="415" t="s">
        <v>264</v>
      </c>
      <c r="C117" s="221" t="s">
        <v>58</v>
      </c>
      <c r="D117" s="222" t="s">
        <v>40</v>
      </c>
      <c r="E117" s="222" t="s">
        <v>32</v>
      </c>
      <c r="F117" s="223" t="s">
        <v>39</v>
      </c>
      <c r="G117" s="258"/>
      <c r="H117" s="236">
        <f>H118+H120</f>
        <v>58973.3</v>
      </c>
      <c r="I117" s="236">
        <f>I118+I120</f>
        <v>64613.9</v>
      </c>
    </row>
    <row r="118" spans="1:9" s="402" customFormat="1" ht="36" x14ac:dyDescent="0.35">
      <c r="A118" s="392"/>
      <c r="B118" s="403" t="s">
        <v>437</v>
      </c>
      <c r="C118" s="221" t="s">
        <v>58</v>
      </c>
      <c r="D118" s="222" t="s">
        <v>40</v>
      </c>
      <c r="E118" s="222" t="s">
        <v>32</v>
      </c>
      <c r="F118" s="223" t="s">
        <v>86</v>
      </c>
      <c r="G118" s="35"/>
      <c r="H118" s="236">
        <f>H119</f>
        <v>56990</v>
      </c>
      <c r="I118" s="236">
        <f>I119</f>
        <v>62630.6</v>
      </c>
    </row>
    <row r="119" spans="1:9" s="402" customFormat="1" ht="42.75" customHeight="1" x14ac:dyDescent="0.35">
      <c r="A119" s="392"/>
      <c r="B119" s="409" t="s">
        <v>71</v>
      </c>
      <c r="C119" s="221" t="s">
        <v>58</v>
      </c>
      <c r="D119" s="222" t="s">
        <v>40</v>
      </c>
      <c r="E119" s="222" t="s">
        <v>32</v>
      </c>
      <c r="F119" s="223" t="s">
        <v>86</v>
      </c>
      <c r="G119" s="35" t="s">
        <v>72</v>
      </c>
      <c r="H119" s="236">
        <f>'прил10 (ведом 23-24)'!M420</f>
        <v>56990</v>
      </c>
      <c r="I119" s="236">
        <f>'прил10 (ведом 23-24)'!N420</f>
        <v>62630.6</v>
      </c>
    </row>
    <row r="120" spans="1:9" s="402" customFormat="1" ht="42.75" customHeight="1" x14ac:dyDescent="0.35">
      <c r="A120" s="392"/>
      <c r="B120" s="416" t="s">
        <v>302</v>
      </c>
      <c r="C120" s="221" t="s">
        <v>58</v>
      </c>
      <c r="D120" s="222" t="s">
        <v>40</v>
      </c>
      <c r="E120" s="222" t="s">
        <v>32</v>
      </c>
      <c r="F120" s="223" t="s">
        <v>303</v>
      </c>
      <c r="G120" s="35"/>
      <c r="H120" s="236">
        <f>'прил10 (ведом 23-24)'!M421</f>
        <v>1983.3</v>
      </c>
      <c r="I120" s="236">
        <f>'прил10 (ведом 23-24)'!N421</f>
        <v>1983.3</v>
      </c>
    </row>
    <row r="121" spans="1:9" s="402" customFormat="1" ht="42.75" customHeight="1" x14ac:dyDescent="0.35">
      <c r="A121" s="392"/>
      <c r="B121" s="416" t="s">
        <v>71</v>
      </c>
      <c r="C121" s="221" t="s">
        <v>58</v>
      </c>
      <c r="D121" s="222" t="s">
        <v>40</v>
      </c>
      <c r="E121" s="222" t="s">
        <v>32</v>
      </c>
      <c r="F121" s="223" t="s">
        <v>303</v>
      </c>
      <c r="G121" s="35" t="s">
        <v>72</v>
      </c>
      <c r="H121" s="236">
        <f>'прил10 (ведом 23-24)'!M422</f>
        <v>1983.3</v>
      </c>
      <c r="I121" s="236">
        <f>'прил10 (ведом 23-24)'!N422</f>
        <v>1983.3</v>
      </c>
    </row>
    <row r="122" spans="1:9" s="402" customFormat="1" ht="18" x14ac:dyDescent="0.35">
      <c r="A122" s="392"/>
      <c r="B122" s="416" t="s">
        <v>265</v>
      </c>
      <c r="C122" s="221" t="s">
        <v>58</v>
      </c>
      <c r="D122" s="222" t="s">
        <v>40</v>
      </c>
      <c r="E122" s="222" t="s">
        <v>34</v>
      </c>
      <c r="F122" s="223" t="s">
        <v>39</v>
      </c>
      <c r="G122" s="35"/>
      <c r="H122" s="236">
        <f>H123</f>
        <v>225</v>
      </c>
      <c r="I122" s="236">
        <f>I123</f>
        <v>225</v>
      </c>
    </row>
    <row r="123" spans="1:9" s="402" customFormat="1" ht="42.75" customHeight="1" x14ac:dyDescent="0.35">
      <c r="A123" s="392"/>
      <c r="B123" s="416" t="s">
        <v>206</v>
      </c>
      <c r="C123" s="221" t="s">
        <v>58</v>
      </c>
      <c r="D123" s="222" t="s">
        <v>40</v>
      </c>
      <c r="E123" s="222" t="s">
        <v>34</v>
      </c>
      <c r="F123" s="223" t="s">
        <v>267</v>
      </c>
      <c r="G123" s="35"/>
      <c r="H123" s="236">
        <f>H124</f>
        <v>225</v>
      </c>
      <c r="I123" s="236">
        <f>I124</f>
        <v>225</v>
      </c>
    </row>
    <row r="124" spans="1:9" s="402" customFormat="1" ht="18" x14ac:dyDescent="0.35">
      <c r="A124" s="392"/>
      <c r="B124" s="416" t="s">
        <v>115</v>
      </c>
      <c r="C124" s="221" t="s">
        <v>58</v>
      </c>
      <c r="D124" s="222" t="s">
        <v>40</v>
      </c>
      <c r="E124" s="222" t="s">
        <v>34</v>
      </c>
      <c r="F124" s="223" t="s">
        <v>267</v>
      </c>
      <c r="G124" s="35" t="s">
        <v>116</v>
      </c>
      <c r="H124" s="236">
        <f>'прил10 (ведом 23-24)'!M434</f>
        <v>225</v>
      </c>
      <c r="I124" s="236">
        <f>'прил10 (ведом 23-24)'!N434</f>
        <v>225</v>
      </c>
    </row>
    <row r="125" spans="1:9" s="402" customFormat="1" ht="18" x14ac:dyDescent="0.35">
      <c r="A125" s="392"/>
      <c r="B125" s="403" t="s">
        <v>304</v>
      </c>
      <c r="C125" s="417" t="s">
        <v>58</v>
      </c>
      <c r="D125" s="418" t="s">
        <v>40</v>
      </c>
      <c r="E125" s="418" t="s">
        <v>58</v>
      </c>
      <c r="F125" s="419" t="s">
        <v>39</v>
      </c>
      <c r="G125" s="420"/>
      <c r="H125" s="236">
        <f>H126</f>
        <v>11243.5</v>
      </c>
      <c r="I125" s="236">
        <f>I126</f>
        <v>12367.9</v>
      </c>
    </row>
    <row r="126" spans="1:9" s="402" customFormat="1" ht="36" x14ac:dyDescent="0.35">
      <c r="A126" s="392"/>
      <c r="B126" s="403" t="s">
        <v>437</v>
      </c>
      <c r="C126" s="417" t="s">
        <v>58</v>
      </c>
      <c r="D126" s="418" t="s">
        <v>40</v>
      </c>
      <c r="E126" s="418" t="s">
        <v>58</v>
      </c>
      <c r="F126" s="419" t="s">
        <v>86</v>
      </c>
      <c r="G126" s="420"/>
      <c r="H126" s="236">
        <f>H127</f>
        <v>11243.5</v>
      </c>
      <c r="I126" s="236">
        <f>I127</f>
        <v>12367.9</v>
      </c>
    </row>
    <row r="127" spans="1:9" s="402" customFormat="1" ht="45" customHeight="1" x14ac:dyDescent="0.35">
      <c r="A127" s="392"/>
      <c r="B127" s="409" t="s">
        <v>71</v>
      </c>
      <c r="C127" s="221" t="s">
        <v>58</v>
      </c>
      <c r="D127" s="222" t="s">
        <v>40</v>
      </c>
      <c r="E127" s="222" t="s">
        <v>58</v>
      </c>
      <c r="F127" s="223" t="s">
        <v>86</v>
      </c>
      <c r="G127" s="35" t="s">
        <v>72</v>
      </c>
      <c r="H127" s="236">
        <f>'прил10 (ведом 23-24)'!M441</f>
        <v>11243.5</v>
      </c>
      <c r="I127" s="236">
        <f>'прил10 (ведом 23-24)'!N441</f>
        <v>12367.9</v>
      </c>
    </row>
    <row r="128" spans="1:9" s="402" customFormat="1" ht="36" x14ac:dyDescent="0.35">
      <c r="A128" s="392"/>
      <c r="B128" s="409" t="s">
        <v>306</v>
      </c>
      <c r="C128" s="417" t="s">
        <v>58</v>
      </c>
      <c r="D128" s="418" t="s">
        <v>40</v>
      </c>
      <c r="E128" s="418" t="s">
        <v>47</v>
      </c>
      <c r="F128" s="223" t="s">
        <v>39</v>
      </c>
      <c r="G128" s="35"/>
      <c r="H128" s="236">
        <f>H129</f>
        <v>13024.300000000001</v>
      </c>
      <c r="I128" s="236">
        <f>I129</f>
        <v>14270.7</v>
      </c>
    </row>
    <row r="129" spans="1:9" s="402" customFormat="1" ht="36" x14ac:dyDescent="0.35">
      <c r="A129" s="392"/>
      <c r="B129" s="403" t="s">
        <v>437</v>
      </c>
      <c r="C129" s="417" t="s">
        <v>58</v>
      </c>
      <c r="D129" s="418" t="s">
        <v>40</v>
      </c>
      <c r="E129" s="418" t="s">
        <v>47</v>
      </c>
      <c r="F129" s="419" t="s">
        <v>86</v>
      </c>
      <c r="G129" s="420"/>
      <c r="H129" s="236">
        <f>SUM(H130:H132)</f>
        <v>13024.300000000001</v>
      </c>
      <c r="I129" s="236">
        <f>SUM(I130:I132)</f>
        <v>14270.7</v>
      </c>
    </row>
    <row r="130" spans="1:9" s="402" customFormat="1" ht="90" x14ac:dyDescent="0.35">
      <c r="A130" s="392"/>
      <c r="B130" s="234" t="s">
        <v>44</v>
      </c>
      <c r="C130" s="221" t="s">
        <v>58</v>
      </c>
      <c r="D130" s="222" t="s">
        <v>40</v>
      </c>
      <c r="E130" s="222" t="s">
        <v>47</v>
      </c>
      <c r="F130" s="223" t="s">
        <v>86</v>
      </c>
      <c r="G130" s="35" t="s">
        <v>45</v>
      </c>
      <c r="H130" s="236">
        <f>'прил10 (ведом 23-24)'!M444</f>
        <v>11895.6</v>
      </c>
      <c r="I130" s="236">
        <f>'прил10 (ведом 23-24)'!N444</f>
        <v>11895.6</v>
      </c>
    </row>
    <row r="131" spans="1:9" s="402" customFormat="1" ht="36" x14ac:dyDescent="0.35">
      <c r="A131" s="392"/>
      <c r="B131" s="234" t="s">
        <v>50</v>
      </c>
      <c r="C131" s="221" t="s">
        <v>58</v>
      </c>
      <c r="D131" s="222" t="s">
        <v>40</v>
      </c>
      <c r="E131" s="222" t="s">
        <v>47</v>
      </c>
      <c r="F131" s="223" t="s">
        <v>86</v>
      </c>
      <c r="G131" s="35" t="s">
        <v>51</v>
      </c>
      <c r="H131" s="236">
        <f>'прил10 (ведом 23-24)'!M445</f>
        <v>1081.7</v>
      </c>
      <c r="I131" s="236">
        <f>'прил10 (ведом 23-24)'!N445</f>
        <v>2328.1</v>
      </c>
    </row>
    <row r="132" spans="1:9" s="402" customFormat="1" ht="18" x14ac:dyDescent="0.35">
      <c r="A132" s="392"/>
      <c r="B132" s="234" t="s">
        <v>52</v>
      </c>
      <c r="C132" s="221" t="s">
        <v>58</v>
      </c>
      <c r="D132" s="222" t="s">
        <v>40</v>
      </c>
      <c r="E132" s="222" t="s">
        <v>47</v>
      </c>
      <c r="F132" s="223" t="s">
        <v>86</v>
      </c>
      <c r="G132" s="35" t="s">
        <v>53</v>
      </c>
      <c r="H132" s="236">
        <f>'прил10 (ведом 23-24)'!M446</f>
        <v>47</v>
      </c>
      <c r="I132" s="236">
        <f>'прил10 (ведом 23-24)'!N446</f>
        <v>47</v>
      </c>
    </row>
    <row r="133" spans="1:9" s="402" customFormat="1" ht="39.75" customHeight="1" x14ac:dyDescent="0.35">
      <c r="A133" s="392"/>
      <c r="B133" s="416" t="s">
        <v>269</v>
      </c>
      <c r="C133" s="221" t="s">
        <v>58</v>
      </c>
      <c r="D133" s="222" t="s">
        <v>40</v>
      </c>
      <c r="E133" s="222" t="s">
        <v>60</v>
      </c>
      <c r="F133" s="223" t="s">
        <v>39</v>
      </c>
      <c r="G133" s="35"/>
      <c r="H133" s="236">
        <f>'прил10 (ведом 23-24)'!M426</f>
        <v>289</v>
      </c>
      <c r="I133" s="236">
        <f>'прил10 (ведом 23-24)'!N426</f>
        <v>289</v>
      </c>
    </row>
    <row r="134" spans="1:9" s="402" customFormat="1" ht="36" x14ac:dyDescent="0.35">
      <c r="A134" s="392"/>
      <c r="B134" s="416" t="s">
        <v>444</v>
      </c>
      <c r="C134" s="221" t="s">
        <v>58</v>
      </c>
      <c r="D134" s="222" t="s">
        <v>40</v>
      </c>
      <c r="E134" s="222" t="s">
        <v>60</v>
      </c>
      <c r="F134" s="223" t="s">
        <v>443</v>
      </c>
      <c r="G134" s="35"/>
      <c r="H134" s="236">
        <f>'прил10 (ведом 23-24)'!M427</f>
        <v>289</v>
      </c>
      <c r="I134" s="236">
        <f>'прил10 (ведом 23-24)'!N427</f>
        <v>289</v>
      </c>
    </row>
    <row r="135" spans="1:9" s="402" customFormat="1" ht="34.5" customHeight="1" x14ac:dyDescent="0.35">
      <c r="A135" s="392"/>
      <c r="B135" s="416" t="s">
        <v>71</v>
      </c>
      <c r="C135" s="221" t="s">
        <v>58</v>
      </c>
      <c r="D135" s="222" t="s">
        <v>40</v>
      </c>
      <c r="E135" s="222" t="s">
        <v>60</v>
      </c>
      <c r="F135" s="223" t="s">
        <v>443</v>
      </c>
      <c r="G135" s="35" t="s">
        <v>72</v>
      </c>
      <c r="H135" s="236">
        <f>'прил10 (ведом 23-24)'!M428</f>
        <v>289</v>
      </c>
      <c r="I135" s="236">
        <f>'прил10 (ведом 23-24)'!N428</f>
        <v>289</v>
      </c>
    </row>
    <row r="136" spans="1:9" s="402" customFormat="1" ht="36" x14ac:dyDescent="0.35">
      <c r="A136" s="392"/>
      <c r="B136" s="234" t="s">
        <v>315</v>
      </c>
      <c r="C136" s="417" t="s">
        <v>58</v>
      </c>
      <c r="D136" s="418" t="s">
        <v>84</v>
      </c>
      <c r="E136" s="418" t="s">
        <v>38</v>
      </c>
      <c r="F136" s="223" t="s">
        <v>39</v>
      </c>
      <c r="G136" s="35"/>
      <c r="H136" s="236">
        <f t="shared" ref="H136:I141" si="0">H137</f>
        <v>349.5</v>
      </c>
      <c r="I136" s="236">
        <f t="shared" si="0"/>
        <v>349.5</v>
      </c>
    </row>
    <row r="137" spans="1:9" s="402" customFormat="1" ht="90" x14ac:dyDescent="0.35">
      <c r="A137" s="392"/>
      <c r="B137" s="416" t="s">
        <v>307</v>
      </c>
      <c r="C137" s="417" t="s">
        <v>58</v>
      </c>
      <c r="D137" s="418" t="s">
        <v>84</v>
      </c>
      <c r="E137" s="418" t="s">
        <v>58</v>
      </c>
      <c r="F137" s="223" t="s">
        <v>39</v>
      </c>
      <c r="G137" s="35"/>
      <c r="H137" s="236">
        <f>H141+H138</f>
        <v>349.5</v>
      </c>
      <c r="I137" s="236">
        <f>I141+I138</f>
        <v>349.5</v>
      </c>
    </row>
    <row r="138" spans="1:9" s="402" customFormat="1" ht="36" x14ac:dyDescent="0.35">
      <c r="A138" s="392"/>
      <c r="B138" s="416" t="s">
        <v>302</v>
      </c>
      <c r="C138" s="417" t="s">
        <v>58</v>
      </c>
      <c r="D138" s="418" t="s">
        <v>84</v>
      </c>
      <c r="E138" s="418" t="s">
        <v>58</v>
      </c>
      <c r="F138" s="223" t="s">
        <v>303</v>
      </c>
      <c r="G138" s="35"/>
      <c r="H138" s="236">
        <f>H139+H140</f>
        <v>307.39999999999998</v>
      </c>
      <c r="I138" s="236">
        <f>I139+I140</f>
        <v>307.39999999999998</v>
      </c>
    </row>
    <row r="139" spans="1:9" s="402" customFormat="1" ht="36" x14ac:dyDescent="0.35">
      <c r="A139" s="392"/>
      <c r="B139" s="234" t="s">
        <v>50</v>
      </c>
      <c r="C139" s="417" t="s">
        <v>58</v>
      </c>
      <c r="D139" s="418" t="s">
        <v>84</v>
      </c>
      <c r="E139" s="418" t="s">
        <v>58</v>
      </c>
      <c r="F139" s="223" t="s">
        <v>303</v>
      </c>
      <c r="G139" s="35" t="s">
        <v>51</v>
      </c>
      <c r="H139" s="236">
        <f>'прил10 (ведом 23-24)'!M450</f>
        <v>289.5</v>
      </c>
      <c r="I139" s="236">
        <f>'прил10 (ведом 23-24)'!N450</f>
        <v>289.5</v>
      </c>
    </row>
    <row r="140" spans="1:9" s="402" customFormat="1" ht="38.25" customHeight="1" x14ac:dyDescent="0.35">
      <c r="A140" s="392"/>
      <c r="B140" s="416" t="s">
        <v>71</v>
      </c>
      <c r="C140" s="417" t="s">
        <v>58</v>
      </c>
      <c r="D140" s="418" t="s">
        <v>84</v>
      </c>
      <c r="E140" s="418" t="s">
        <v>58</v>
      </c>
      <c r="F140" s="223" t="s">
        <v>303</v>
      </c>
      <c r="G140" s="35" t="s">
        <v>72</v>
      </c>
      <c r="H140" s="236">
        <f>'прил10 (ведом 23-24)'!M451</f>
        <v>17.899999999999999</v>
      </c>
      <c r="I140" s="236">
        <f>'прил10 (ведом 23-24)'!N451</f>
        <v>17.899999999999999</v>
      </c>
    </row>
    <row r="141" spans="1:9" s="402" customFormat="1" ht="36" x14ac:dyDescent="0.35">
      <c r="A141" s="392"/>
      <c r="B141" s="416" t="s">
        <v>401</v>
      </c>
      <c r="C141" s="221" t="s">
        <v>58</v>
      </c>
      <c r="D141" s="222" t="s">
        <v>84</v>
      </c>
      <c r="E141" s="222" t="s">
        <v>58</v>
      </c>
      <c r="F141" s="223" t="s">
        <v>402</v>
      </c>
      <c r="G141" s="35"/>
      <c r="H141" s="236">
        <f t="shared" si="0"/>
        <v>42.1</v>
      </c>
      <c r="I141" s="236">
        <f t="shared" si="0"/>
        <v>42.1</v>
      </c>
    </row>
    <row r="142" spans="1:9" s="402" customFormat="1" ht="42" customHeight="1" x14ac:dyDescent="0.35">
      <c r="A142" s="392"/>
      <c r="B142" s="416" t="s">
        <v>71</v>
      </c>
      <c r="C142" s="221" t="s">
        <v>58</v>
      </c>
      <c r="D142" s="222" t="s">
        <v>84</v>
      </c>
      <c r="E142" s="222" t="s">
        <v>58</v>
      </c>
      <c r="F142" s="223" t="s">
        <v>402</v>
      </c>
      <c r="G142" s="35" t="s">
        <v>72</v>
      </c>
      <c r="H142" s="236">
        <f>'прил10 (ведом 23-24)'!M453</f>
        <v>42.1</v>
      </c>
      <c r="I142" s="236">
        <f>'прил10 (ведом 23-24)'!N453</f>
        <v>42.1</v>
      </c>
    </row>
    <row r="143" spans="1:9" s="402" customFormat="1" ht="39" customHeight="1" x14ac:dyDescent="0.35">
      <c r="A143" s="392"/>
      <c r="B143" s="403" t="s">
        <v>211</v>
      </c>
      <c r="C143" s="221" t="s">
        <v>58</v>
      </c>
      <c r="D143" s="222" t="s">
        <v>25</v>
      </c>
      <c r="E143" s="222" t="s">
        <v>38</v>
      </c>
      <c r="F143" s="223" t="s">
        <v>39</v>
      </c>
      <c r="G143" s="258"/>
      <c r="H143" s="236">
        <f>H144+H153</f>
        <v>9306.4</v>
      </c>
      <c r="I143" s="236">
        <f>I144+I153</f>
        <v>9963.2999999999993</v>
      </c>
    </row>
    <row r="144" spans="1:9" s="402" customFormat="1" ht="36" x14ac:dyDescent="0.35">
      <c r="A144" s="392"/>
      <c r="B144" s="403" t="s">
        <v>270</v>
      </c>
      <c r="C144" s="221" t="s">
        <v>58</v>
      </c>
      <c r="D144" s="222" t="s">
        <v>25</v>
      </c>
      <c r="E144" s="222" t="s">
        <v>32</v>
      </c>
      <c r="F144" s="223" t="s">
        <v>39</v>
      </c>
      <c r="G144" s="35"/>
      <c r="H144" s="236">
        <f>H145+H149</f>
        <v>9253.1</v>
      </c>
      <c r="I144" s="236">
        <f>I145+I149</f>
        <v>9910</v>
      </c>
    </row>
    <row r="145" spans="1:9" ht="36" x14ac:dyDescent="0.35">
      <c r="A145" s="392"/>
      <c r="B145" s="403" t="s">
        <v>42</v>
      </c>
      <c r="C145" s="221" t="s">
        <v>58</v>
      </c>
      <c r="D145" s="222" t="s">
        <v>25</v>
      </c>
      <c r="E145" s="222" t="s">
        <v>32</v>
      </c>
      <c r="F145" s="223" t="s">
        <v>43</v>
      </c>
      <c r="G145" s="420"/>
      <c r="H145" s="236">
        <f>SUM(H146:H148)</f>
        <v>2982.2000000000003</v>
      </c>
      <c r="I145" s="236">
        <f>SUM(I146:I148)</f>
        <v>2983.1</v>
      </c>
    </row>
    <row r="146" spans="1:9" ht="90" x14ac:dyDescent="0.35">
      <c r="A146" s="392"/>
      <c r="B146" s="403" t="s">
        <v>44</v>
      </c>
      <c r="C146" s="221" t="s">
        <v>58</v>
      </c>
      <c r="D146" s="222" t="s">
        <v>25</v>
      </c>
      <c r="E146" s="222" t="s">
        <v>32</v>
      </c>
      <c r="F146" s="223" t="s">
        <v>43</v>
      </c>
      <c r="G146" s="420" t="s">
        <v>45</v>
      </c>
      <c r="H146" s="236">
        <f>'прил10 (ведом 23-24)'!M459</f>
        <v>2712.1</v>
      </c>
      <c r="I146" s="236">
        <f>'прил10 (ведом 23-24)'!N459</f>
        <v>2712.1</v>
      </c>
    </row>
    <row r="147" spans="1:9" ht="36" x14ac:dyDescent="0.35">
      <c r="A147" s="392"/>
      <c r="B147" s="403" t="s">
        <v>50</v>
      </c>
      <c r="C147" s="221" t="s">
        <v>58</v>
      </c>
      <c r="D147" s="222" t="s">
        <v>25</v>
      </c>
      <c r="E147" s="222" t="s">
        <v>32</v>
      </c>
      <c r="F147" s="223" t="s">
        <v>43</v>
      </c>
      <c r="G147" s="420" t="s">
        <v>51</v>
      </c>
      <c r="H147" s="236">
        <f>'прил10 (ведом 23-24)'!M460</f>
        <v>265.8</v>
      </c>
      <c r="I147" s="236">
        <f>'прил10 (ведом 23-24)'!N460</f>
        <v>266.7</v>
      </c>
    </row>
    <row r="148" spans="1:9" ht="18" x14ac:dyDescent="0.35">
      <c r="A148" s="392"/>
      <c r="B148" s="234" t="s">
        <v>52</v>
      </c>
      <c r="C148" s="221" t="s">
        <v>58</v>
      </c>
      <c r="D148" s="222" t="s">
        <v>25</v>
      </c>
      <c r="E148" s="222" t="s">
        <v>32</v>
      </c>
      <c r="F148" s="223" t="s">
        <v>43</v>
      </c>
      <c r="G148" s="35" t="s">
        <v>53</v>
      </c>
      <c r="H148" s="236">
        <f>'прил10 (ведом 23-24)'!M461</f>
        <v>4.3</v>
      </c>
      <c r="I148" s="236">
        <f>'прил10 (ведом 23-24)'!N461</f>
        <v>4.3</v>
      </c>
    </row>
    <row r="149" spans="1:9" ht="36" x14ac:dyDescent="0.35">
      <c r="A149" s="392"/>
      <c r="B149" s="403" t="s">
        <v>437</v>
      </c>
      <c r="C149" s="221" t="s">
        <v>58</v>
      </c>
      <c r="D149" s="222" t="s">
        <v>25</v>
      </c>
      <c r="E149" s="222" t="s">
        <v>32</v>
      </c>
      <c r="F149" s="223" t="s">
        <v>86</v>
      </c>
      <c r="G149" s="35"/>
      <c r="H149" s="236">
        <f>SUM(H150:H152)</f>
        <v>6270.9000000000005</v>
      </c>
      <c r="I149" s="236">
        <f>SUM(I150:I152)</f>
        <v>6926.9000000000005</v>
      </c>
    </row>
    <row r="150" spans="1:9" ht="90" x14ac:dyDescent="0.35">
      <c r="A150" s="392"/>
      <c r="B150" s="403" t="s">
        <v>44</v>
      </c>
      <c r="C150" s="221" t="s">
        <v>58</v>
      </c>
      <c r="D150" s="222" t="s">
        <v>25</v>
      </c>
      <c r="E150" s="222" t="s">
        <v>32</v>
      </c>
      <c r="F150" s="223" t="s">
        <v>86</v>
      </c>
      <c r="G150" s="420" t="s">
        <v>45</v>
      </c>
      <c r="H150" s="236">
        <f>'прил10 (ведом 23-24)'!M463</f>
        <v>6121.1</v>
      </c>
      <c r="I150" s="236">
        <f>'прил10 (ведом 23-24)'!N463</f>
        <v>6121.1</v>
      </c>
    </row>
    <row r="151" spans="1:9" ht="36" x14ac:dyDescent="0.35">
      <c r="A151" s="392"/>
      <c r="B151" s="234" t="s">
        <v>50</v>
      </c>
      <c r="C151" s="221" t="s">
        <v>58</v>
      </c>
      <c r="D151" s="222" t="s">
        <v>25</v>
      </c>
      <c r="E151" s="222" t="s">
        <v>32</v>
      </c>
      <c r="F151" s="223" t="s">
        <v>86</v>
      </c>
      <c r="G151" s="420" t="s">
        <v>51</v>
      </c>
      <c r="H151" s="236">
        <f>'прил10 (ведом 23-24)'!M464</f>
        <v>148.19999999999999</v>
      </c>
      <c r="I151" s="236">
        <f>'прил10 (ведом 23-24)'!N464</f>
        <v>804.2</v>
      </c>
    </row>
    <row r="152" spans="1:9" ht="18" x14ac:dyDescent="0.35">
      <c r="A152" s="392"/>
      <c r="B152" s="234" t="s">
        <v>52</v>
      </c>
      <c r="C152" s="221" t="s">
        <v>58</v>
      </c>
      <c r="D152" s="222" t="s">
        <v>25</v>
      </c>
      <c r="E152" s="222" t="s">
        <v>32</v>
      </c>
      <c r="F152" s="223" t="s">
        <v>86</v>
      </c>
      <c r="G152" s="35" t="s">
        <v>53</v>
      </c>
      <c r="H152" s="236">
        <f>'прил10 (ведом 23-24)'!M465</f>
        <v>1.6</v>
      </c>
      <c r="I152" s="236">
        <f>'прил10 (ведом 23-24)'!N465</f>
        <v>1.6</v>
      </c>
    </row>
    <row r="153" spans="1:9" ht="36" x14ac:dyDescent="0.35">
      <c r="A153" s="392"/>
      <c r="B153" s="234" t="s">
        <v>340</v>
      </c>
      <c r="C153" s="221" t="s">
        <v>58</v>
      </c>
      <c r="D153" s="222" t="s">
        <v>25</v>
      </c>
      <c r="E153" s="222" t="s">
        <v>34</v>
      </c>
      <c r="F153" s="223" t="s">
        <v>39</v>
      </c>
      <c r="G153" s="160"/>
      <c r="H153" s="236">
        <f>H154</f>
        <v>53.3</v>
      </c>
      <c r="I153" s="236">
        <f>I154</f>
        <v>53.3</v>
      </c>
    </row>
    <row r="154" spans="1:9" ht="54" x14ac:dyDescent="0.35">
      <c r="A154" s="392"/>
      <c r="B154" s="234" t="s">
        <v>341</v>
      </c>
      <c r="C154" s="221" t="s">
        <v>58</v>
      </c>
      <c r="D154" s="222" t="s">
        <v>25</v>
      </c>
      <c r="E154" s="222" t="s">
        <v>34</v>
      </c>
      <c r="F154" s="223" t="s">
        <v>100</v>
      </c>
      <c r="G154" s="160"/>
      <c r="H154" s="236">
        <f>H155</f>
        <v>53.3</v>
      </c>
      <c r="I154" s="236">
        <f>I155</f>
        <v>53.3</v>
      </c>
    </row>
    <row r="155" spans="1:9" ht="36" x14ac:dyDescent="0.35">
      <c r="A155" s="392"/>
      <c r="B155" s="234" t="s">
        <v>50</v>
      </c>
      <c r="C155" s="221" t="s">
        <v>58</v>
      </c>
      <c r="D155" s="222" t="s">
        <v>25</v>
      </c>
      <c r="E155" s="222" t="s">
        <v>34</v>
      </c>
      <c r="F155" s="223" t="s">
        <v>100</v>
      </c>
      <c r="G155" s="35" t="s">
        <v>51</v>
      </c>
      <c r="H155" s="236">
        <f>'прил10 (ведом 23-24)'!M413</f>
        <v>53.3</v>
      </c>
      <c r="I155" s="236">
        <f>'прил10 (ведом 23-24)'!N413</f>
        <v>53.3</v>
      </c>
    </row>
    <row r="156" spans="1:9" ht="18" x14ac:dyDescent="0.35">
      <c r="A156" s="392"/>
      <c r="B156" s="411"/>
      <c r="C156" s="565"/>
      <c r="D156" s="421"/>
      <c r="E156" s="340"/>
      <c r="F156" s="422"/>
      <c r="G156" s="258"/>
      <c r="H156" s="236"/>
      <c r="I156" s="236"/>
    </row>
    <row r="157" spans="1:9" s="402" customFormat="1" ht="52.2" x14ac:dyDescent="0.3">
      <c r="A157" s="412">
        <v>3</v>
      </c>
      <c r="B157" s="423" t="s">
        <v>212</v>
      </c>
      <c r="C157" s="413" t="s">
        <v>47</v>
      </c>
      <c r="D157" s="413" t="s">
        <v>37</v>
      </c>
      <c r="E157" s="413" t="s">
        <v>38</v>
      </c>
      <c r="F157" s="414" t="s">
        <v>39</v>
      </c>
      <c r="G157" s="401"/>
      <c r="H157" s="283">
        <f>H158+H169+H189</f>
        <v>34414.199999999997</v>
      </c>
      <c r="I157" s="283">
        <f>I158+I169+I189</f>
        <v>30605.3</v>
      </c>
    </row>
    <row r="158" spans="1:9" s="402" customFormat="1" ht="25.5" customHeight="1" x14ac:dyDescent="0.35">
      <c r="A158" s="412"/>
      <c r="B158" s="237" t="s">
        <v>213</v>
      </c>
      <c r="C158" s="221" t="s">
        <v>47</v>
      </c>
      <c r="D158" s="222" t="s">
        <v>40</v>
      </c>
      <c r="E158" s="222" t="s">
        <v>38</v>
      </c>
      <c r="F158" s="223" t="s">
        <v>39</v>
      </c>
      <c r="G158" s="401"/>
      <c r="H158" s="236">
        <f>H159+H162+H166</f>
        <v>4544.5</v>
      </c>
      <c r="I158" s="236">
        <f>I159+I162+I166</f>
        <v>854.7</v>
      </c>
    </row>
    <row r="159" spans="1:9" s="402" customFormat="1" ht="18" x14ac:dyDescent="0.35">
      <c r="A159" s="412"/>
      <c r="B159" s="234" t="s">
        <v>265</v>
      </c>
      <c r="C159" s="221" t="s">
        <v>47</v>
      </c>
      <c r="D159" s="222" t="s">
        <v>40</v>
      </c>
      <c r="E159" s="222" t="s">
        <v>32</v>
      </c>
      <c r="F159" s="223" t="s">
        <v>39</v>
      </c>
      <c r="G159" s="35"/>
      <c r="H159" s="236">
        <f t="shared" ref="H159:I160" si="1">H160</f>
        <v>225</v>
      </c>
      <c r="I159" s="236">
        <f t="shared" si="1"/>
        <v>225</v>
      </c>
    </row>
    <row r="160" spans="1:9" s="402" customFormat="1" ht="36" x14ac:dyDescent="0.35">
      <c r="A160" s="412"/>
      <c r="B160" s="234" t="s">
        <v>266</v>
      </c>
      <c r="C160" s="221" t="s">
        <v>47</v>
      </c>
      <c r="D160" s="222" t="s">
        <v>40</v>
      </c>
      <c r="E160" s="222" t="s">
        <v>32</v>
      </c>
      <c r="F160" s="223" t="s">
        <v>267</v>
      </c>
      <c r="G160" s="35"/>
      <c r="H160" s="236">
        <f t="shared" si="1"/>
        <v>225</v>
      </c>
      <c r="I160" s="236">
        <f t="shared" si="1"/>
        <v>225</v>
      </c>
    </row>
    <row r="161" spans="1:9" s="402" customFormat="1" ht="27" customHeight="1" x14ac:dyDescent="0.35">
      <c r="A161" s="412"/>
      <c r="B161" s="234" t="s">
        <v>115</v>
      </c>
      <c r="C161" s="221" t="s">
        <v>47</v>
      </c>
      <c r="D161" s="222" t="s">
        <v>40</v>
      </c>
      <c r="E161" s="222" t="s">
        <v>32</v>
      </c>
      <c r="F161" s="223" t="s">
        <v>267</v>
      </c>
      <c r="G161" s="35" t="s">
        <v>116</v>
      </c>
      <c r="H161" s="236">
        <f>'прил10 (ведом 23-24)'!M481</f>
        <v>225</v>
      </c>
      <c r="I161" s="236">
        <f>'прил10 (ведом 23-24)'!N481</f>
        <v>225</v>
      </c>
    </row>
    <row r="162" spans="1:9" ht="54" x14ac:dyDescent="0.35">
      <c r="A162" s="392"/>
      <c r="B162" s="234" t="s">
        <v>280</v>
      </c>
      <c r="C162" s="221" t="s">
        <v>47</v>
      </c>
      <c r="D162" s="222" t="s">
        <v>40</v>
      </c>
      <c r="E162" s="222" t="s">
        <v>34</v>
      </c>
      <c r="F162" s="223" t="s">
        <v>39</v>
      </c>
      <c r="G162" s="35"/>
      <c r="H162" s="236">
        <f>H163</f>
        <v>629.70000000000005</v>
      </c>
      <c r="I162" s="236">
        <f>I163</f>
        <v>629.70000000000005</v>
      </c>
    </row>
    <row r="163" spans="1:9" ht="36" x14ac:dyDescent="0.35">
      <c r="A163" s="392"/>
      <c r="B163" s="234" t="s">
        <v>214</v>
      </c>
      <c r="C163" s="221" t="s">
        <v>47</v>
      </c>
      <c r="D163" s="222" t="s">
        <v>40</v>
      </c>
      <c r="E163" s="222" t="s">
        <v>34</v>
      </c>
      <c r="F163" s="223" t="s">
        <v>281</v>
      </c>
      <c r="G163" s="35"/>
      <c r="H163" s="236">
        <f>H164+H165</f>
        <v>629.70000000000005</v>
      </c>
      <c r="I163" s="236">
        <f>I164+I165</f>
        <v>629.70000000000005</v>
      </c>
    </row>
    <row r="164" spans="1:9" ht="90" x14ac:dyDescent="0.35">
      <c r="A164" s="392"/>
      <c r="B164" s="234" t="s">
        <v>44</v>
      </c>
      <c r="C164" s="221" t="s">
        <v>47</v>
      </c>
      <c r="D164" s="222" t="s">
        <v>40</v>
      </c>
      <c r="E164" s="222" t="s">
        <v>34</v>
      </c>
      <c r="F164" s="223" t="s">
        <v>281</v>
      </c>
      <c r="G164" s="35" t="s">
        <v>45</v>
      </c>
      <c r="H164" s="236">
        <f>'прил10 (ведом 23-24)'!M499</f>
        <v>561.70000000000005</v>
      </c>
      <c r="I164" s="236">
        <f>'прил10 (ведом 23-24)'!N499</f>
        <v>561.70000000000005</v>
      </c>
    </row>
    <row r="165" spans="1:9" ht="36" x14ac:dyDescent="0.35">
      <c r="A165" s="392"/>
      <c r="B165" s="234" t="s">
        <v>50</v>
      </c>
      <c r="C165" s="221" t="s">
        <v>47</v>
      </c>
      <c r="D165" s="222" t="s">
        <v>40</v>
      </c>
      <c r="E165" s="222" t="s">
        <v>34</v>
      </c>
      <c r="F165" s="223" t="s">
        <v>281</v>
      </c>
      <c r="G165" s="35" t="s">
        <v>51</v>
      </c>
      <c r="H165" s="236">
        <f>'прил10 (ведом 23-24)'!M500</f>
        <v>68</v>
      </c>
      <c r="I165" s="236">
        <f>'прил10 (ведом 23-24)'!N500</f>
        <v>68</v>
      </c>
    </row>
    <row r="166" spans="1:9" s="402" customFormat="1" ht="27" customHeight="1" x14ac:dyDescent="0.35">
      <c r="A166" s="412"/>
      <c r="B166" s="234" t="s">
        <v>463</v>
      </c>
      <c r="C166" s="221" t="s">
        <v>47</v>
      </c>
      <c r="D166" s="222" t="s">
        <v>40</v>
      </c>
      <c r="E166" s="222" t="s">
        <v>462</v>
      </c>
      <c r="F166" s="223" t="s">
        <v>39</v>
      </c>
      <c r="G166" s="35"/>
      <c r="H166" s="236">
        <f>H167</f>
        <v>3689.8</v>
      </c>
      <c r="I166" s="236">
        <f>I167</f>
        <v>0</v>
      </c>
    </row>
    <row r="167" spans="1:9" s="402" customFormat="1" ht="40.5" customHeight="1" x14ac:dyDescent="0.35">
      <c r="A167" s="412"/>
      <c r="B167" s="234" t="s">
        <v>464</v>
      </c>
      <c r="C167" s="221" t="s">
        <v>47</v>
      </c>
      <c r="D167" s="222" t="s">
        <v>40</v>
      </c>
      <c r="E167" s="222" t="s">
        <v>462</v>
      </c>
      <c r="F167" s="223" t="s">
        <v>474</v>
      </c>
      <c r="G167" s="35"/>
      <c r="H167" s="236">
        <f>H168</f>
        <v>3689.8</v>
      </c>
      <c r="I167" s="236">
        <f>I168</f>
        <v>0</v>
      </c>
    </row>
    <row r="168" spans="1:9" s="402" customFormat="1" ht="37.5" customHeight="1" x14ac:dyDescent="0.35">
      <c r="A168" s="412"/>
      <c r="B168" s="234" t="s">
        <v>50</v>
      </c>
      <c r="C168" s="221" t="s">
        <v>47</v>
      </c>
      <c r="D168" s="222" t="s">
        <v>40</v>
      </c>
      <c r="E168" s="222" t="s">
        <v>462</v>
      </c>
      <c r="F168" s="223" t="s">
        <v>474</v>
      </c>
      <c r="G168" s="35" t="s">
        <v>51</v>
      </c>
      <c r="H168" s="236">
        <f>'прил10 (ведом 23-24)'!M503</f>
        <v>3689.8</v>
      </c>
      <c r="I168" s="236">
        <f>'прил10 (ведом 23-24)'!N503</f>
        <v>0</v>
      </c>
    </row>
    <row r="169" spans="1:9" ht="23.25" customHeight="1" x14ac:dyDescent="0.35">
      <c r="A169" s="392"/>
      <c r="B169" s="403" t="s">
        <v>215</v>
      </c>
      <c r="C169" s="221" t="s">
        <v>47</v>
      </c>
      <c r="D169" s="222" t="s">
        <v>84</v>
      </c>
      <c r="E169" s="222" t="s">
        <v>38</v>
      </c>
      <c r="F169" s="223" t="s">
        <v>39</v>
      </c>
      <c r="G169" s="258"/>
      <c r="H169" s="236">
        <f>H170+H175+H186</f>
        <v>29739.999999999996</v>
      </c>
      <c r="I169" s="236">
        <f>I170+I175+I186</f>
        <v>29750.6</v>
      </c>
    </row>
    <row r="170" spans="1:9" ht="36" x14ac:dyDescent="0.35">
      <c r="A170" s="392"/>
      <c r="B170" s="403" t="s">
        <v>270</v>
      </c>
      <c r="C170" s="221" t="s">
        <v>47</v>
      </c>
      <c r="D170" s="222" t="s">
        <v>84</v>
      </c>
      <c r="E170" s="222" t="s">
        <v>32</v>
      </c>
      <c r="F170" s="223" t="s">
        <v>39</v>
      </c>
      <c r="G170" s="35"/>
      <c r="H170" s="236">
        <f>H171</f>
        <v>2486.9</v>
      </c>
      <c r="I170" s="236">
        <f>I171</f>
        <v>2487.9</v>
      </c>
    </row>
    <row r="171" spans="1:9" ht="36" x14ac:dyDescent="0.35">
      <c r="A171" s="392"/>
      <c r="B171" s="403" t="s">
        <v>42</v>
      </c>
      <c r="C171" s="221" t="s">
        <v>47</v>
      </c>
      <c r="D171" s="222" t="s">
        <v>84</v>
      </c>
      <c r="E171" s="222" t="s">
        <v>32</v>
      </c>
      <c r="F171" s="223" t="s">
        <v>43</v>
      </c>
      <c r="G171" s="35"/>
      <c r="H171" s="236">
        <f>SUM(H172:H174)</f>
        <v>2486.9</v>
      </c>
      <c r="I171" s="236">
        <f>SUM(I172:I174)</f>
        <v>2487.9</v>
      </c>
    </row>
    <row r="172" spans="1:9" ht="90" x14ac:dyDescent="0.35">
      <c r="A172" s="392"/>
      <c r="B172" s="403" t="s">
        <v>44</v>
      </c>
      <c r="C172" s="221" t="s">
        <v>47</v>
      </c>
      <c r="D172" s="222" t="s">
        <v>84</v>
      </c>
      <c r="E172" s="222" t="s">
        <v>32</v>
      </c>
      <c r="F172" s="223" t="s">
        <v>43</v>
      </c>
      <c r="G172" s="35" t="s">
        <v>45</v>
      </c>
      <c r="H172" s="236">
        <f>'прил10 (ведом 23-24)'!M509</f>
        <v>2442.4</v>
      </c>
      <c r="I172" s="236">
        <f>'прил10 (ведом 23-24)'!N509</f>
        <v>2442.4</v>
      </c>
    </row>
    <row r="173" spans="1:9" ht="36" x14ac:dyDescent="0.35">
      <c r="A173" s="392"/>
      <c r="B173" s="234" t="s">
        <v>50</v>
      </c>
      <c r="C173" s="221" t="s">
        <v>47</v>
      </c>
      <c r="D173" s="222" t="s">
        <v>84</v>
      </c>
      <c r="E173" s="222" t="s">
        <v>32</v>
      </c>
      <c r="F173" s="223" t="s">
        <v>43</v>
      </c>
      <c r="G173" s="35" t="s">
        <v>51</v>
      </c>
      <c r="H173" s="236">
        <f>'прил10 (ведом 23-24)'!M510</f>
        <v>42.6</v>
      </c>
      <c r="I173" s="236">
        <f>'прил10 (ведом 23-24)'!N510</f>
        <v>43.7</v>
      </c>
    </row>
    <row r="174" spans="1:9" ht="18" x14ac:dyDescent="0.35">
      <c r="A174" s="392"/>
      <c r="B174" s="234" t="s">
        <v>52</v>
      </c>
      <c r="C174" s="221" t="s">
        <v>47</v>
      </c>
      <c r="D174" s="222" t="s">
        <v>84</v>
      </c>
      <c r="E174" s="222" t="s">
        <v>32</v>
      </c>
      <c r="F174" s="223" t="s">
        <v>43</v>
      </c>
      <c r="G174" s="35" t="s">
        <v>53</v>
      </c>
      <c r="H174" s="236">
        <f>'прил10 (ведом 23-24)'!M511</f>
        <v>1.9</v>
      </c>
      <c r="I174" s="236">
        <f>'прил10 (ведом 23-24)'!N511</f>
        <v>1.8</v>
      </c>
    </row>
    <row r="175" spans="1:9" ht="18" x14ac:dyDescent="0.35">
      <c r="A175" s="392"/>
      <c r="B175" s="403" t="s">
        <v>350</v>
      </c>
      <c r="C175" s="221" t="s">
        <v>47</v>
      </c>
      <c r="D175" s="222" t="s">
        <v>84</v>
      </c>
      <c r="E175" s="222" t="s">
        <v>34</v>
      </c>
      <c r="F175" s="223" t="s">
        <v>39</v>
      </c>
      <c r="G175" s="35"/>
      <c r="H175" s="236">
        <f>H176+H180+H182+H184</f>
        <v>27217.499999999996</v>
      </c>
      <c r="I175" s="236">
        <f>I176+I180+I182+I184</f>
        <v>27227.1</v>
      </c>
    </row>
    <row r="176" spans="1:9" ht="36" x14ac:dyDescent="0.35">
      <c r="A176" s="392"/>
      <c r="B176" s="403" t="s">
        <v>437</v>
      </c>
      <c r="C176" s="221" t="s">
        <v>47</v>
      </c>
      <c r="D176" s="222" t="s">
        <v>84</v>
      </c>
      <c r="E176" s="222" t="s">
        <v>34</v>
      </c>
      <c r="F176" s="223" t="s">
        <v>86</v>
      </c>
      <c r="G176" s="35"/>
      <c r="H176" s="236">
        <f>SUM(H177:H179)</f>
        <v>21191.899999999998</v>
      </c>
      <c r="I176" s="236">
        <f>SUM(I177:I179)</f>
        <v>21201.5</v>
      </c>
    </row>
    <row r="177" spans="1:9" ht="90" x14ac:dyDescent="0.35">
      <c r="A177" s="392"/>
      <c r="B177" s="403" t="s">
        <v>44</v>
      </c>
      <c r="C177" s="221" t="s">
        <v>47</v>
      </c>
      <c r="D177" s="222" t="s">
        <v>84</v>
      </c>
      <c r="E177" s="222" t="s">
        <v>34</v>
      </c>
      <c r="F177" s="223" t="s">
        <v>86</v>
      </c>
      <c r="G177" s="35" t="s">
        <v>45</v>
      </c>
      <c r="H177" s="236">
        <f>'прил10 (ведом 23-24)'!M485</f>
        <v>17974.3</v>
      </c>
      <c r="I177" s="236">
        <f>'прил10 (ведом 23-24)'!N485</f>
        <v>17974.3</v>
      </c>
    </row>
    <row r="178" spans="1:9" ht="36" x14ac:dyDescent="0.35">
      <c r="A178" s="392"/>
      <c r="B178" s="403" t="s">
        <v>50</v>
      </c>
      <c r="C178" s="221" t="s">
        <v>47</v>
      </c>
      <c r="D178" s="222" t="s">
        <v>84</v>
      </c>
      <c r="E178" s="222" t="s">
        <v>34</v>
      </c>
      <c r="F178" s="223" t="s">
        <v>86</v>
      </c>
      <c r="G178" s="35" t="s">
        <v>51</v>
      </c>
      <c r="H178" s="236">
        <f>'прил10 (ведом 23-24)'!M486</f>
        <v>3160.8</v>
      </c>
      <c r="I178" s="236">
        <f>'прил10 (ведом 23-24)'!N486</f>
        <v>3172.4</v>
      </c>
    </row>
    <row r="179" spans="1:9" ht="18" x14ac:dyDescent="0.35">
      <c r="A179" s="392"/>
      <c r="B179" s="403" t="s">
        <v>52</v>
      </c>
      <c r="C179" s="221" t="s">
        <v>47</v>
      </c>
      <c r="D179" s="222" t="s">
        <v>84</v>
      </c>
      <c r="E179" s="222" t="s">
        <v>34</v>
      </c>
      <c r="F179" s="223" t="s">
        <v>86</v>
      </c>
      <c r="G179" s="35" t="s">
        <v>53</v>
      </c>
      <c r="H179" s="236">
        <f>'прил10 (ведом 23-24)'!M487</f>
        <v>56.8</v>
      </c>
      <c r="I179" s="236">
        <f>'прил10 (ведом 23-24)'!N487</f>
        <v>54.8</v>
      </c>
    </row>
    <row r="180" spans="1:9" ht="36" x14ac:dyDescent="0.35">
      <c r="A180" s="392"/>
      <c r="B180" s="234" t="s">
        <v>214</v>
      </c>
      <c r="C180" s="221" t="s">
        <v>47</v>
      </c>
      <c r="D180" s="222" t="s">
        <v>84</v>
      </c>
      <c r="E180" s="222" t="s">
        <v>34</v>
      </c>
      <c r="F180" s="223" t="s">
        <v>281</v>
      </c>
      <c r="G180" s="35"/>
      <c r="H180" s="236">
        <f>H181</f>
        <v>4110</v>
      </c>
      <c r="I180" s="236">
        <f>I181</f>
        <v>4110</v>
      </c>
    </row>
    <row r="181" spans="1:9" ht="36" x14ac:dyDescent="0.35">
      <c r="A181" s="392"/>
      <c r="B181" s="234" t="s">
        <v>50</v>
      </c>
      <c r="C181" s="221" t="s">
        <v>47</v>
      </c>
      <c r="D181" s="222" t="s">
        <v>84</v>
      </c>
      <c r="E181" s="222" t="s">
        <v>34</v>
      </c>
      <c r="F181" s="223" t="s">
        <v>281</v>
      </c>
      <c r="G181" s="35" t="s">
        <v>51</v>
      </c>
      <c r="H181" s="236">
        <f>'прил10 (ведом 23-24)'!M489</f>
        <v>4110</v>
      </c>
      <c r="I181" s="236">
        <f>'прил10 (ведом 23-24)'!N489</f>
        <v>4110</v>
      </c>
    </row>
    <row r="182" spans="1:9" ht="183.6" customHeight="1" x14ac:dyDescent="0.35">
      <c r="A182" s="392"/>
      <c r="B182" s="234" t="s">
        <v>414</v>
      </c>
      <c r="C182" s="221" t="s">
        <v>47</v>
      </c>
      <c r="D182" s="222" t="s">
        <v>84</v>
      </c>
      <c r="E182" s="222" t="s">
        <v>34</v>
      </c>
      <c r="F182" s="223" t="s">
        <v>389</v>
      </c>
      <c r="G182" s="35"/>
      <c r="H182" s="236">
        <f>H183</f>
        <v>250</v>
      </c>
      <c r="I182" s="236">
        <f>I183</f>
        <v>250</v>
      </c>
    </row>
    <row r="183" spans="1:9" ht="90" x14ac:dyDescent="0.35">
      <c r="A183" s="392"/>
      <c r="B183" s="234" t="s">
        <v>44</v>
      </c>
      <c r="C183" s="221" t="s">
        <v>47</v>
      </c>
      <c r="D183" s="222" t="s">
        <v>84</v>
      </c>
      <c r="E183" s="222" t="s">
        <v>34</v>
      </c>
      <c r="F183" s="223" t="s">
        <v>389</v>
      </c>
      <c r="G183" s="35" t="s">
        <v>45</v>
      </c>
      <c r="H183" s="236">
        <f>'прил10 (ведом 23-24)'!M491</f>
        <v>250</v>
      </c>
      <c r="I183" s="236">
        <f>'прил10 (ведом 23-24)'!N491</f>
        <v>250</v>
      </c>
    </row>
    <row r="184" spans="1:9" ht="54" x14ac:dyDescent="0.35">
      <c r="A184" s="392"/>
      <c r="B184" s="234" t="s">
        <v>416</v>
      </c>
      <c r="C184" s="221" t="s">
        <v>47</v>
      </c>
      <c r="D184" s="222" t="s">
        <v>84</v>
      </c>
      <c r="E184" s="222" t="s">
        <v>34</v>
      </c>
      <c r="F184" s="223" t="s">
        <v>398</v>
      </c>
      <c r="G184" s="35"/>
      <c r="H184" s="236">
        <f>H185</f>
        <v>1665.6</v>
      </c>
      <c r="I184" s="236">
        <f>I185</f>
        <v>1665.6</v>
      </c>
    </row>
    <row r="185" spans="1:9" ht="90" x14ac:dyDescent="0.35">
      <c r="A185" s="392"/>
      <c r="B185" s="234" t="s">
        <v>44</v>
      </c>
      <c r="C185" s="221" t="s">
        <v>47</v>
      </c>
      <c r="D185" s="222" t="s">
        <v>84</v>
      </c>
      <c r="E185" s="222" t="s">
        <v>34</v>
      </c>
      <c r="F185" s="223" t="s">
        <v>398</v>
      </c>
      <c r="G185" s="35" t="s">
        <v>45</v>
      </c>
      <c r="H185" s="236">
        <f>'прил10 (ведом 23-24)'!M493</f>
        <v>1665.6</v>
      </c>
      <c r="I185" s="236">
        <f>'прил10 (ведом 23-24)'!N493</f>
        <v>1665.6</v>
      </c>
    </row>
    <row r="186" spans="1:9" ht="36" x14ac:dyDescent="0.35">
      <c r="A186" s="392"/>
      <c r="B186" s="234" t="s">
        <v>340</v>
      </c>
      <c r="C186" s="221" t="s">
        <v>47</v>
      </c>
      <c r="D186" s="222" t="s">
        <v>84</v>
      </c>
      <c r="E186" s="222" t="s">
        <v>58</v>
      </c>
      <c r="F186" s="223" t="s">
        <v>39</v>
      </c>
      <c r="G186" s="35"/>
      <c r="H186" s="236">
        <f>H187</f>
        <v>35.6</v>
      </c>
      <c r="I186" s="236">
        <f>I187</f>
        <v>35.6</v>
      </c>
    </row>
    <row r="187" spans="1:9" ht="54" x14ac:dyDescent="0.35">
      <c r="A187" s="392"/>
      <c r="B187" s="234" t="s">
        <v>341</v>
      </c>
      <c r="C187" s="221" t="s">
        <v>47</v>
      </c>
      <c r="D187" s="222" t="s">
        <v>84</v>
      </c>
      <c r="E187" s="222" t="s">
        <v>58</v>
      </c>
      <c r="F187" s="223" t="s">
        <v>100</v>
      </c>
      <c r="G187" s="35"/>
      <c r="H187" s="236">
        <f>H188</f>
        <v>35.6</v>
      </c>
      <c r="I187" s="236">
        <f>I188</f>
        <v>35.6</v>
      </c>
    </row>
    <row r="188" spans="1:9" ht="36" x14ac:dyDescent="0.35">
      <c r="A188" s="392"/>
      <c r="B188" s="237" t="s">
        <v>50</v>
      </c>
      <c r="C188" s="221" t="s">
        <v>47</v>
      </c>
      <c r="D188" s="222" t="s">
        <v>84</v>
      </c>
      <c r="E188" s="222" t="s">
        <v>58</v>
      </c>
      <c r="F188" s="223" t="s">
        <v>100</v>
      </c>
      <c r="G188" s="35" t="s">
        <v>51</v>
      </c>
      <c r="H188" s="236">
        <f>'прил10 (ведом 23-24)'!M474</f>
        <v>35.6</v>
      </c>
      <c r="I188" s="236">
        <f>'прил10 (ведом 23-24)'!N474</f>
        <v>35.6</v>
      </c>
    </row>
    <row r="189" spans="1:9" ht="18" x14ac:dyDescent="0.35">
      <c r="A189" s="392"/>
      <c r="B189" s="424" t="s">
        <v>328</v>
      </c>
      <c r="C189" s="404" t="s">
        <v>47</v>
      </c>
      <c r="D189" s="405" t="s">
        <v>26</v>
      </c>
      <c r="E189" s="405" t="s">
        <v>38</v>
      </c>
      <c r="F189" s="406" t="s">
        <v>39</v>
      </c>
      <c r="G189" s="407"/>
      <c r="H189" s="236">
        <f t="shared" ref="H189:I191" si="2">H190</f>
        <v>129.69999999999999</v>
      </c>
      <c r="I189" s="236">
        <f t="shared" si="2"/>
        <v>0</v>
      </c>
    </row>
    <row r="190" spans="1:9" ht="54" x14ac:dyDescent="0.35">
      <c r="A190" s="392"/>
      <c r="B190" s="424" t="s">
        <v>399</v>
      </c>
      <c r="C190" s="404" t="s">
        <v>47</v>
      </c>
      <c r="D190" s="405" t="s">
        <v>26</v>
      </c>
      <c r="E190" s="405" t="s">
        <v>58</v>
      </c>
      <c r="F190" s="406" t="s">
        <v>39</v>
      </c>
      <c r="G190" s="407"/>
      <c r="H190" s="236">
        <f t="shared" si="2"/>
        <v>129.69999999999999</v>
      </c>
      <c r="I190" s="236">
        <f t="shared" si="2"/>
        <v>0</v>
      </c>
    </row>
    <row r="191" spans="1:9" ht="36" x14ac:dyDescent="0.35">
      <c r="A191" s="392"/>
      <c r="B191" s="424" t="s">
        <v>214</v>
      </c>
      <c r="C191" s="404" t="s">
        <v>47</v>
      </c>
      <c r="D191" s="405" t="s">
        <v>26</v>
      </c>
      <c r="E191" s="405" t="s">
        <v>58</v>
      </c>
      <c r="F191" s="406" t="s">
        <v>281</v>
      </c>
      <c r="G191" s="407"/>
      <c r="H191" s="236">
        <f t="shared" si="2"/>
        <v>129.69999999999999</v>
      </c>
      <c r="I191" s="236">
        <f t="shared" si="2"/>
        <v>0</v>
      </c>
    </row>
    <row r="192" spans="1:9" ht="36" x14ac:dyDescent="0.35">
      <c r="A192" s="392"/>
      <c r="B192" s="424" t="s">
        <v>198</v>
      </c>
      <c r="C192" s="404" t="s">
        <v>47</v>
      </c>
      <c r="D192" s="405" t="s">
        <v>26</v>
      </c>
      <c r="E192" s="405" t="s">
        <v>58</v>
      </c>
      <c r="F192" s="406" t="s">
        <v>281</v>
      </c>
      <c r="G192" s="425" t="s">
        <v>199</v>
      </c>
      <c r="H192" s="236">
        <f>'прил10 (ведом 23-24)'!M269</f>
        <v>129.69999999999999</v>
      </c>
      <c r="I192" s="236">
        <f>'прил10 (ведом 23-24)'!N269</f>
        <v>0</v>
      </c>
    </row>
    <row r="193" spans="1:9" ht="18" x14ac:dyDescent="0.35">
      <c r="A193" s="392"/>
      <c r="B193" s="411"/>
      <c r="C193" s="564"/>
      <c r="D193" s="565"/>
      <c r="E193" s="565"/>
      <c r="F193" s="566"/>
      <c r="G193" s="258"/>
      <c r="H193" s="236"/>
      <c r="I193" s="236"/>
    </row>
    <row r="194" spans="1:9" s="402" customFormat="1" ht="52.2" x14ac:dyDescent="0.3">
      <c r="A194" s="412">
        <v>4</v>
      </c>
      <c r="B194" s="334" t="s">
        <v>216</v>
      </c>
      <c r="C194" s="399" t="s">
        <v>60</v>
      </c>
      <c r="D194" s="399" t="s">
        <v>37</v>
      </c>
      <c r="E194" s="399" t="s">
        <v>38</v>
      </c>
      <c r="F194" s="400" t="s">
        <v>39</v>
      </c>
      <c r="G194" s="401"/>
      <c r="H194" s="283">
        <f>H195+H201</f>
        <v>6956.4</v>
      </c>
      <c r="I194" s="283">
        <f>I195+I201</f>
        <v>6961.9</v>
      </c>
    </row>
    <row r="195" spans="1:9" s="402" customFormat="1" ht="18" x14ac:dyDescent="0.35">
      <c r="A195" s="392"/>
      <c r="B195" s="403" t="s">
        <v>217</v>
      </c>
      <c r="C195" s="221" t="s">
        <v>60</v>
      </c>
      <c r="D195" s="222" t="s">
        <v>40</v>
      </c>
      <c r="E195" s="222" t="s">
        <v>38</v>
      </c>
      <c r="F195" s="223" t="s">
        <v>39</v>
      </c>
      <c r="G195" s="258"/>
      <c r="H195" s="236">
        <f t="shared" ref="H195:I196" si="3">H196</f>
        <v>3771.5999999999995</v>
      </c>
      <c r="I195" s="236">
        <f t="shared" si="3"/>
        <v>3771.5999999999995</v>
      </c>
    </row>
    <row r="196" spans="1:9" s="402" customFormat="1" ht="72" x14ac:dyDescent="0.35">
      <c r="A196" s="392"/>
      <c r="B196" s="403" t="s">
        <v>276</v>
      </c>
      <c r="C196" s="221" t="s">
        <v>60</v>
      </c>
      <c r="D196" s="222" t="s">
        <v>40</v>
      </c>
      <c r="E196" s="222" t="s">
        <v>32</v>
      </c>
      <c r="F196" s="223" t="s">
        <v>39</v>
      </c>
      <c r="G196" s="35"/>
      <c r="H196" s="236">
        <f t="shared" si="3"/>
        <v>3771.5999999999995</v>
      </c>
      <c r="I196" s="236">
        <f t="shared" si="3"/>
        <v>3771.5999999999995</v>
      </c>
    </row>
    <row r="197" spans="1:9" ht="36" x14ac:dyDescent="0.35">
      <c r="A197" s="392"/>
      <c r="B197" s="403" t="s">
        <v>437</v>
      </c>
      <c r="C197" s="221" t="s">
        <v>60</v>
      </c>
      <c r="D197" s="222" t="s">
        <v>40</v>
      </c>
      <c r="E197" s="222" t="s">
        <v>32</v>
      </c>
      <c r="F197" s="223" t="s">
        <v>86</v>
      </c>
      <c r="G197" s="35"/>
      <c r="H197" s="236">
        <f>SUM(H198:H200)</f>
        <v>3771.5999999999995</v>
      </c>
      <c r="I197" s="236">
        <f>SUM(I198:I200)</f>
        <v>3771.5999999999995</v>
      </c>
    </row>
    <row r="198" spans="1:9" ht="90" x14ac:dyDescent="0.35">
      <c r="A198" s="392"/>
      <c r="B198" s="403" t="s">
        <v>44</v>
      </c>
      <c r="C198" s="221" t="s">
        <v>60</v>
      </c>
      <c r="D198" s="222" t="s">
        <v>40</v>
      </c>
      <c r="E198" s="222" t="s">
        <v>32</v>
      </c>
      <c r="F198" s="223" t="s">
        <v>86</v>
      </c>
      <c r="G198" s="35" t="s">
        <v>45</v>
      </c>
      <c r="H198" s="236">
        <f>'прил10 (ведом 23-24)'!M533</f>
        <v>3374.2</v>
      </c>
      <c r="I198" s="236">
        <f>'прил10 (ведом 23-24)'!N533</f>
        <v>3374.2</v>
      </c>
    </row>
    <row r="199" spans="1:9" ht="36" x14ac:dyDescent="0.35">
      <c r="A199" s="392"/>
      <c r="B199" s="234" t="s">
        <v>50</v>
      </c>
      <c r="C199" s="221" t="s">
        <v>60</v>
      </c>
      <c r="D199" s="222" t="s">
        <v>40</v>
      </c>
      <c r="E199" s="222" t="s">
        <v>32</v>
      </c>
      <c r="F199" s="223" t="s">
        <v>86</v>
      </c>
      <c r="G199" s="35" t="s">
        <v>51</v>
      </c>
      <c r="H199" s="236">
        <f>'прил10 (ведом 23-24)'!M534</f>
        <v>394.7</v>
      </c>
      <c r="I199" s="236">
        <f>'прил10 (ведом 23-24)'!N534</f>
        <v>394.7</v>
      </c>
    </row>
    <row r="200" spans="1:9" ht="18" x14ac:dyDescent="0.35">
      <c r="A200" s="392"/>
      <c r="B200" s="234" t="s">
        <v>52</v>
      </c>
      <c r="C200" s="221" t="s">
        <v>60</v>
      </c>
      <c r="D200" s="222" t="s">
        <v>40</v>
      </c>
      <c r="E200" s="222" t="s">
        <v>32</v>
      </c>
      <c r="F200" s="223" t="s">
        <v>86</v>
      </c>
      <c r="G200" s="35" t="s">
        <v>53</v>
      </c>
      <c r="H200" s="236">
        <f>'прил10 (ведом 23-24)'!M535</f>
        <v>2.7</v>
      </c>
      <c r="I200" s="236">
        <f>'прил10 (ведом 23-24)'!N535</f>
        <v>2.7</v>
      </c>
    </row>
    <row r="201" spans="1:9" s="402" customFormat="1" ht="22.5" customHeight="1" x14ac:dyDescent="0.35">
      <c r="A201" s="392"/>
      <c r="B201" s="403" t="s">
        <v>215</v>
      </c>
      <c r="C201" s="221" t="s">
        <v>60</v>
      </c>
      <c r="D201" s="222" t="s">
        <v>84</v>
      </c>
      <c r="E201" s="222" t="s">
        <v>38</v>
      </c>
      <c r="F201" s="223" t="s">
        <v>39</v>
      </c>
      <c r="G201" s="35"/>
      <c r="H201" s="236">
        <f>H202+H207+H210+H213</f>
        <v>3184.8</v>
      </c>
      <c r="I201" s="236">
        <f>I202+I207+I210+I213</f>
        <v>3190.2999999999997</v>
      </c>
    </row>
    <row r="202" spans="1:9" s="402" customFormat="1" ht="36" x14ac:dyDescent="0.35">
      <c r="A202" s="392"/>
      <c r="B202" s="403" t="s">
        <v>270</v>
      </c>
      <c r="C202" s="221" t="s">
        <v>60</v>
      </c>
      <c r="D202" s="222" t="s">
        <v>84</v>
      </c>
      <c r="E202" s="222" t="s">
        <v>32</v>
      </c>
      <c r="F202" s="223" t="s">
        <v>39</v>
      </c>
      <c r="G202" s="35"/>
      <c r="H202" s="236">
        <f>H203</f>
        <v>3033.9</v>
      </c>
      <c r="I202" s="236">
        <f>I203</f>
        <v>3039.3999999999996</v>
      </c>
    </row>
    <row r="203" spans="1:9" s="402" customFormat="1" ht="36" x14ac:dyDescent="0.35">
      <c r="A203" s="392"/>
      <c r="B203" s="403" t="s">
        <v>42</v>
      </c>
      <c r="C203" s="221" t="s">
        <v>60</v>
      </c>
      <c r="D203" s="222" t="s">
        <v>84</v>
      </c>
      <c r="E203" s="222" t="s">
        <v>32</v>
      </c>
      <c r="F203" s="223" t="s">
        <v>43</v>
      </c>
      <c r="G203" s="35"/>
      <c r="H203" s="236">
        <f>SUM(H204:H206)</f>
        <v>3033.9</v>
      </c>
      <c r="I203" s="236">
        <f>SUM(I204:I206)</f>
        <v>3039.3999999999996</v>
      </c>
    </row>
    <row r="204" spans="1:9" s="402" customFormat="1" ht="90" x14ac:dyDescent="0.35">
      <c r="A204" s="392"/>
      <c r="B204" s="403" t="s">
        <v>44</v>
      </c>
      <c r="C204" s="221" t="s">
        <v>60</v>
      </c>
      <c r="D204" s="222" t="s">
        <v>84</v>
      </c>
      <c r="E204" s="222" t="s">
        <v>32</v>
      </c>
      <c r="F204" s="223" t="s">
        <v>43</v>
      </c>
      <c r="G204" s="35" t="s">
        <v>45</v>
      </c>
      <c r="H204" s="236">
        <f>'прил10 (ведом 23-24)'!M541</f>
        <v>2735.5</v>
      </c>
      <c r="I204" s="236">
        <f>'прил10 (ведом 23-24)'!N541</f>
        <v>2735.5</v>
      </c>
    </row>
    <row r="205" spans="1:9" ht="36" x14ac:dyDescent="0.35">
      <c r="A205" s="392"/>
      <c r="B205" s="403" t="s">
        <v>50</v>
      </c>
      <c r="C205" s="221" t="s">
        <v>60</v>
      </c>
      <c r="D205" s="222" t="s">
        <v>84</v>
      </c>
      <c r="E205" s="222" t="s">
        <v>32</v>
      </c>
      <c r="F205" s="223" t="s">
        <v>43</v>
      </c>
      <c r="G205" s="35" t="s">
        <v>51</v>
      </c>
      <c r="H205" s="236">
        <f>'прил10 (ведом 23-24)'!M542</f>
        <v>297.10000000000002</v>
      </c>
      <c r="I205" s="236">
        <f>'прил10 (ведом 23-24)'!N542</f>
        <v>302.7</v>
      </c>
    </row>
    <row r="206" spans="1:9" ht="18" x14ac:dyDescent="0.35">
      <c r="A206" s="392"/>
      <c r="B206" s="403" t="s">
        <v>52</v>
      </c>
      <c r="C206" s="221" t="s">
        <v>60</v>
      </c>
      <c r="D206" s="222" t="s">
        <v>84</v>
      </c>
      <c r="E206" s="222" t="s">
        <v>32</v>
      </c>
      <c r="F206" s="223" t="s">
        <v>43</v>
      </c>
      <c r="G206" s="35" t="s">
        <v>53</v>
      </c>
      <c r="H206" s="236">
        <f>'прил10 (ведом 23-24)'!M543</f>
        <v>1.3</v>
      </c>
      <c r="I206" s="236">
        <f>'прил10 (ведом 23-24)'!N543</f>
        <v>1.2</v>
      </c>
    </row>
    <row r="207" spans="1:9" ht="36" x14ac:dyDescent="0.35">
      <c r="A207" s="392"/>
      <c r="B207" s="426" t="s">
        <v>340</v>
      </c>
      <c r="C207" s="222" t="s">
        <v>60</v>
      </c>
      <c r="D207" s="222" t="s">
        <v>84</v>
      </c>
      <c r="E207" s="222" t="s">
        <v>34</v>
      </c>
      <c r="F207" s="223" t="s">
        <v>39</v>
      </c>
      <c r="G207" s="35"/>
      <c r="H207" s="236">
        <f>H208</f>
        <v>93.6</v>
      </c>
      <c r="I207" s="236">
        <f>I208</f>
        <v>93.6</v>
      </c>
    </row>
    <row r="208" spans="1:9" ht="54" x14ac:dyDescent="0.35">
      <c r="A208" s="392"/>
      <c r="B208" s="426" t="s">
        <v>341</v>
      </c>
      <c r="C208" s="221" t="s">
        <v>60</v>
      </c>
      <c r="D208" s="222" t="s">
        <v>84</v>
      </c>
      <c r="E208" s="222" t="s">
        <v>34</v>
      </c>
      <c r="F208" s="223" t="s">
        <v>100</v>
      </c>
      <c r="G208" s="35"/>
      <c r="H208" s="236">
        <f>H209</f>
        <v>93.6</v>
      </c>
      <c r="I208" s="236">
        <f>I209</f>
        <v>93.6</v>
      </c>
    </row>
    <row r="209" spans="1:9" ht="36" x14ac:dyDescent="0.35">
      <c r="A209" s="392"/>
      <c r="B209" s="426" t="s">
        <v>50</v>
      </c>
      <c r="C209" s="221" t="s">
        <v>60</v>
      </c>
      <c r="D209" s="222" t="s">
        <v>84</v>
      </c>
      <c r="E209" s="222" t="s">
        <v>34</v>
      </c>
      <c r="F209" s="223" t="s">
        <v>100</v>
      </c>
      <c r="G209" s="35" t="s">
        <v>51</v>
      </c>
      <c r="H209" s="236">
        <f>'прил10 (ведом 23-24)'!M520</f>
        <v>93.6</v>
      </c>
      <c r="I209" s="236">
        <f>'прил10 (ведом 23-24)'!N520</f>
        <v>93.6</v>
      </c>
    </row>
    <row r="210" spans="1:9" ht="36" x14ac:dyDescent="0.35">
      <c r="A210" s="392"/>
      <c r="B210" s="234" t="s">
        <v>441</v>
      </c>
      <c r="C210" s="222" t="s">
        <v>60</v>
      </c>
      <c r="D210" s="222" t="s">
        <v>84</v>
      </c>
      <c r="E210" s="222" t="s">
        <v>58</v>
      </c>
      <c r="F210" s="223" t="s">
        <v>39</v>
      </c>
      <c r="G210" s="35"/>
      <c r="H210" s="236">
        <f>H211</f>
        <v>14.8</v>
      </c>
      <c r="I210" s="236">
        <f>I211</f>
        <v>14.8</v>
      </c>
    </row>
    <row r="211" spans="1:9" ht="18" x14ac:dyDescent="0.35">
      <c r="A211" s="392"/>
      <c r="B211" s="234" t="s">
        <v>439</v>
      </c>
      <c r="C211" s="222" t="s">
        <v>60</v>
      </c>
      <c r="D211" s="222" t="s">
        <v>84</v>
      </c>
      <c r="E211" s="222" t="s">
        <v>58</v>
      </c>
      <c r="F211" s="223" t="s">
        <v>440</v>
      </c>
      <c r="G211" s="35"/>
      <c r="H211" s="236">
        <f>H212</f>
        <v>14.8</v>
      </c>
      <c r="I211" s="236">
        <f>I212</f>
        <v>14.8</v>
      </c>
    </row>
    <row r="212" spans="1:9" ht="36" x14ac:dyDescent="0.35">
      <c r="A212" s="392"/>
      <c r="B212" s="426" t="s">
        <v>50</v>
      </c>
      <c r="C212" s="222" t="s">
        <v>60</v>
      </c>
      <c r="D212" s="222" t="s">
        <v>84</v>
      </c>
      <c r="E212" s="222" t="s">
        <v>58</v>
      </c>
      <c r="F212" s="223" t="s">
        <v>440</v>
      </c>
      <c r="G212" s="35" t="s">
        <v>51</v>
      </c>
      <c r="H212" s="236">
        <f>'прил10 (ведом 23-24)'!M523</f>
        <v>14.8</v>
      </c>
      <c r="I212" s="236">
        <f>'прил10 (ведом 23-24)'!N523</f>
        <v>14.8</v>
      </c>
    </row>
    <row r="213" spans="1:9" ht="36" x14ac:dyDescent="0.35">
      <c r="A213" s="392"/>
      <c r="B213" s="426" t="s">
        <v>445</v>
      </c>
      <c r="C213" s="222" t="s">
        <v>60</v>
      </c>
      <c r="D213" s="222" t="s">
        <v>84</v>
      </c>
      <c r="E213" s="222" t="s">
        <v>47</v>
      </c>
      <c r="F213" s="566" t="s">
        <v>39</v>
      </c>
      <c r="G213" s="258"/>
      <c r="H213" s="236">
        <f>H214</f>
        <v>42.5</v>
      </c>
      <c r="I213" s="236">
        <f>I214</f>
        <v>42.5</v>
      </c>
    </row>
    <row r="214" spans="1:9" ht="36" x14ac:dyDescent="0.35">
      <c r="A214" s="392"/>
      <c r="B214" s="427" t="s">
        <v>122</v>
      </c>
      <c r="C214" s="222" t="s">
        <v>60</v>
      </c>
      <c r="D214" s="222" t="s">
        <v>84</v>
      </c>
      <c r="E214" s="222" t="s">
        <v>47</v>
      </c>
      <c r="F214" s="428" t="s">
        <v>85</v>
      </c>
      <c r="G214" s="258"/>
      <c r="H214" s="236">
        <f>H215</f>
        <v>42.5</v>
      </c>
      <c r="I214" s="236">
        <f>I215</f>
        <v>42.5</v>
      </c>
    </row>
    <row r="215" spans="1:9" ht="36" x14ac:dyDescent="0.35">
      <c r="A215" s="392"/>
      <c r="B215" s="426" t="s">
        <v>50</v>
      </c>
      <c r="C215" s="222" t="s">
        <v>60</v>
      </c>
      <c r="D215" s="222" t="s">
        <v>84</v>
      </c>
      <c r="E215" s="222" t="s">
        <v>47</v>
      </c>
      <c r="F215" s="566" t="s">
        <v>85</v>
      </c>
      <c r="G215" s="258" t="s">
        <v>51</v>
      </c>
      <c r="H215" s="236">
        <f>'прил10 (ведом 23-24)'!M526</f>
        <v>42.5</v>
      </c>
      <c r="I215" s="236">
        <f>'прил10 (ведом 23-24)'!N526</f>
        <v>42.5</v>
      </c>
    </row>
    <row r="216" spans="1:9" ht="18" x14ac:dyDescent="0.35">
      <c r="A216" s="392"/>
      <c r="B216" s="403"/>
      <c r="C216" s="222"/>
      <c r="D216" s="222"/>
      <c r="E216" s="222"/>
      <c r="F216" s="223"/>
      <c r="G216" s="35"/>
      <c r="H216" s="236"/>
      <c r="I216" s="236"/>
    </row>
    <row r="217" spans="1:9" s="402" customFormat="1" ht="52.2" x14ac:dyDescent="0.3">
      <c r="A217" s="412">
        <v>5</v>
      </c>
      <c r="B217" s="334" t="s">
        <v>75</v>
      </c>
      <c r="C217" s="413" t="s">
        <v>76</v>
      </c>
      <c r="D217" s="413" t="s">
        <v>37</v>
      </c>
      <c r="E217" s="413" t="s">
        <v>38</v>
      </c>
      <c r="F217" s="414" t="s">
        <v>39</v>
      </c>
      <c r="G217" s="401"/>
      <c r="H217" s="283">
        <f>H234+H218+H224+H240</f>
        <v>13058</v>
      </c>
      <c r="I217" s="283">
        <f>I234+I218+I224+I240</f>
        <v>11858.499999999998</v>
      </c>
    </row>
    <row r="218" spans="1:9" ht="54" x14ac:dyDescent="0.35">
      <c r="A218" s="392"/>
      <c r="B218" s="415" t="s">
        <v>77</v>
      </c>
      <c r="C218" s="221" t="s">
        <v>76</v>
      </c>
      <c r="D218" s="222" t="s">
        <v>40</v>
      </c>
      <c r="E218" s="222" t="s">
        <v>38</v>
      </c>
      <c r="F218" s="223" t="s">
        <v>39</v>
      </c>
      <c r="G218" s="258"/>
      <c r="H218" s="236">
        <f t="shared" ref="H218:I218" si="4">H219</f>
        <v>362.29999999999995</v>
      </c>
      <c r="I218" s="236">
        <f t="shared" si="4"/>
        <v>362.29999999999995</v>
      </c>
    </row>
    <row r="219" spans="1:9" ht="72" x14ac:dyDescent="0.35">
      <c r="A219" s="392"/>
      <c r="B219" s="403" t="s">
        <v>78</v>
      </c>
      <c r="C219" s="221" t="s">
        <v>76</v>
      </c>
      <c r="D219" s="222" t="s">
        <v>40</v>
      </c>
      <c r="E219" s="222" t="s">
        <v>32</v>
      </c>
      <c r="F219" s="223" t="s">
        <v>39</v>
      </c>
      <c r="G219" s="35"/>
      <c r="H219" s="236">
        <f>H220+H222</f>
        <v>362.29999999999995</v>
      </c>
      <c r="I219" s="236">
        <f>I220+I222</f>
        <v>362.29999999999995</v>
      </c>
    </row>
    <row r="220" spans="1:9" ht="36" x14ac:dyDescent="0.35">
      <c r="A220" s="392"/>
      <c r="B220" s="237" t="s">
        <v>428</v>
      </c>
      <c r="C220" s="221" t="s">
        <v>76</v>
      </c>
      <c r="D220" s="222" t="s">
        <v>40</v>
      </c>
      <c r="E220" s="222" t="s">
        <v>32</v>
      </c>
      <c r="F220" s="223" t="s">
        <v>79</v>
      </c>
      <c r="G220" s="35"/>
      <c r="H220" s="236">
        <f>H221</f>
        <v>298.39999999999998</v>
      </c>
      <c r="I220" s="236">
        <f>I221</f>
        <v>298.39999999999998</v>
      </c>
    </row>
    <row r="221" spans="1:9" ht="36" x14ac:dyDescent="0.35">
      <c r="A221" s="392"/>
      <c r="B221" s="234" t="s">
        <v>50</v>
      </c>
      <c r="C221" s="221" t="s">
        <v>76</v>
      </c>
      <c r="D221" s="222" t="s">
        <v>40</v>
      </c>
      <c r="E221" s="222" t="s">
        <v>32</v>
      </c>
      <c r="F221" s="223" t="s">
        <v>79</v>
      </c>
      <c r="G221" s="35" t="s">
        <v>51</v>
      </c>
      <c r="H221" s="236">
        <f>'прил10 (ведом 23-24)'!M89</f>
        <v>298.39999999999998</v>
      </c>
      <c r="I221" s="236">
        <f>'прил10 (ведом 23-24)'!N89</f>
        <v>298.39999999999998</v>
      </c>
    </row>
    <row r="222" spans="1:9" ht="42" customHeight="1" x14ac:dyDescent="0.35">
      <c r="A222" s="392"/>
      <c r="B222" s="234" t="s">
        <v>80</v>
      </c>
      <c r="C222" s="221" t="s">
        <v>76</v>
      </c>
      <c r="D222" s="222" t="s">
        <v>40</v>
      </c>
      <c r="E222" s="222" t="s">
        <v>32</v>
      </c>
      <c r="F222" s="223" t="s">
        <v>81</v>
      </c>
      <c r="G222" s="35"/>
      <c r="H222" s="236">
        <f>H223</f>
        <v>63.9</v>
      </c>
      <c r="I222" s="236">
        <f>I223</f>
        <v>63.9</v>
      </c>
    </row>
    <row r="223" spans="1:9" ht="36" x14ac:dyDescent="0.35">
      <c r="A223" s="392"/>
      <c r="B223" s="234" t="s">
        <v>50</v>
      </c>
      <c r="C223" s="221" t="s">
        <v>76</v>
      </c>
      <c r="D223" s="222" t="s">
        <v>40</v>
      </c>
      <c r="E223" s="222" t="s">
        <v>32</v>
      </c>
      <c r="F223" s="223" t="s">
        <v>81</v>
      </c>
      <c r="G223" s="35" t="s">
        <v>51</v>
      </c>
      <c r="H223" s="236">
        <f>'прил10 (ведом 23-24)'!M91</f>
        <v>63.9</v>
      </c>
      <c r="I223" s="236">
        <f>'прил10 (ведом 23-24)'!N91</f>
        <v>63.9</v>
      </c>
    </row>
    <row r="224" spans="1:9" ht="36" x14ac:dyDescent="0.35">
      <c r="A224" s="392"/>
      <c r="B224" s="429" t="s">
        <v>120</v>
      </c>
      <c r="C224" s="221" t="s">
        <v>76</v>
      </c>
      <c r="D224" s="222" t="s">
        <v>84</v>
      </c>
      <c r="E224" s="222" t="s">
        <v>38</v>
      </c>
      <c r="F224" s="223" t="s">
        <v>39</v>
      </c>
      <c r="G224" s="258"/>
      <c r="H224" s="236">
        <f>H225+H231</f>
        <v>1665.3000000000002</v>
      </c>
      <c r="I224" s="236">
        <f>I225+I231</f>
        <v>465.40000000000003</v>
      </c>
    </row>
    <row r="225" spans="1:9" ht="36" x14ac:dyDescent="0.35">
      <c r="A225" s="392"/>
      <c r="B225" s="234" t="s">
        <v>259</v>
      </c>
      <c r="C225" s="221" t="s">
        <v>76</v>
      </c>
      <c r="D225" s="222" t="s">
        <v>84</v>
      </c>
      <c r="E225" s="222" t="s">
        <v>32</v>
      </c>
      <c r="F225" s="223" t="s">
        <v>39</v>
      </c>
      <c r="G225" s="35"/>
      <c r="H225" s="236">
        <f>H228+H226</f>
        <v>1221.7</v>
      </c>
      <c r="I225" s="236">
        <f>I228+I226</f>
        <v>21.8</v>
      </c>
    </row>
    <row r="226" spans="1:9" ht="36" x14ac:dyDescent="0.35">
      <c r="A226" s="392"/>
      <c r="B226" s="430" t="s">
        <v>122</v>
      </c>
      <c r="C226" s="221" t="s">
        <v>76</v>
      </c>
      <c r="D226" s="222" t="s">
        <v>84</v>
      </c>
      <c r="E226" s="222" t="s">
        <v>32</v>
      </c>
      <c r="F226" s="223" t="s">
        <v>85</v>
      </c>
      <c r="G226" s="35"/>
      <c r="H226" s="236">
        <f>H227</f>
        <v>21.8</v>
      </c>
      <c r="I226" s="236">
        <f>I227</f>
        <v>21.8</v>
      </c>
    </row>
    <row r="227" spans="1:9" ht="36" x14ac:dyDescent="0.35">
      <c r="A227" s="392"/>
      <c r="B227" s="234" t="s">
        <v>50</v>
      </c>
      <c r="C227" s="221" t="s">
        <v>76</v>
      </c>
      <c r="D227" s="222" t="s">
        <v>84</v>
      </c>
      <c r="E227" s="222" t="s">
        <v>32</v>
      </c>
      <c r="F227" s="223" t="s">
        <v>85</v>
      </c>
      <c r="G227" s="35" t="s">
        <v>51</v>
      </c>
      <c r="H227" s="236">
        <f>'прил10 (ведом 23-24)'!M97</f>
        <v>21.8</v>
      </c>
      <c r="I227" s="236">
        <f>'прил10 (ведом 23-24)'!N97</f>
        <v>21.8</v>
      </c>
    </row>
    <row r="228" spans="1:9" ht="18" x14ac:dyDescent="0.35">
      <c r="A228" s="392"/>
      <c r="B228" s="234" t="s">
        <v>410</v>
      </c>
      <c r="C228" s="221" t="s">
        <v>76</v>
      </c>
      <c r="D228" s="222" t="s">
        <v>84</v>
      </c>
      <c r="E228" s="222" t="s">
        <v>32</v>
      </c>
      <c r="F228" s="223" t="s">
        <v>411</v>
      </c>
      <c r="G228" s="35"/>
      <c r="H228" s="236">
        <f>H229+H230</f>
        <v>1199.9000000000001</v>
      </c>
      <c r="I228" s="236">
        <f>I229+I230</f>
        <v>0</v>
      </c>
    </row>
    <row r="229" spans="1:9" ht="36" x14ac:dyDescent="0.35">
      <c r="A229" s="392"/>
      <c r="B229" s="234" t="s">
        <v>50</v>
      </c>
      <c r="C229" s="221" t="s">
        <v>76</v>
      </c>
      <c r="D229" s="222" t="s">
        <v>84</v>
      </c>
      <c r="E229" s="222" t="s">
        <v>32</v>
      </c>
      <c r="F229" s="223" t="s">
        <v>411</v>
      </c>
      <c r="G229" s="35" t="s">
        <v>51</v>
      </c>
      <c r="H229" s="236">
        <f>'прил10 (ведом 23-24)'!M373</f>
        <v>571.6</v>
      </c>
      <c r="I229" s="236">
        <f>'прил10 (ведом 23-24)'!N373</f>
        <v>0</v>
      </c>
    </row>
    <row r="230" spans="1:9" ht="45" customHeight="1" x14ac:dyDescent="0.35">
      <c r="A230" s="392"/>
      <c r="B230" s="234" t="s">
        <v>71</v>
      </c>
      <c r="C230" s="221" t="s">
        <v>76</v>
      </c>
      <c r="D230" s="222" t="s">
        <v>84</v>
      </c>
      <c r="E230" s="222" t="s">
        <v>32</v>
      </c>
      <c r="F230" s="223" t="s">
        <v>411</v>
      </c>
      <c r="G230" s="35" t="s">
        <v>72</v>
      </c>
      <c r="H230" s="236">
        <f>'прил10 (ведом 23-24)'!M302</f>
        <v>628.29999999999995</v>
      </c>
      <c r="I230" s="236">
        <f>'прил10 (ведом 23-24)'!N302</f>
        <v>0</v>
      </c>
    </row>
    <row r="231" spans="1:9" ht="54.75" customHeight="1" x14ac:dyDescent="0.35">
      <c r="A231" s="392"/>
      <c r="B231" s="430" t="s">
        <v>121</v>
      </c>
      <c r="C231" s="221" t="s">
        <v>76</v>
      </c>
      <c r="D231" s="222" t="s">
        <v>84</v>
      </c>
      <c r="E231" s="222" t="s">
        <v>34</v>
      </c>
      <c r="F231" s="223" t="s">
        <v>39</v>
      </c>
      <c r="G231" s="35"/>
      <c r="H231" s="236">
        <f>H232</f>
        <v>443.6</v>
      </c>
      <c r="I231" s="236">
        <f>I232</f>
        <v>443.6</v>
      </c>
    </row>
    <row r="232" spans="1:9" ht="36.75" customHeight="1" x14ac:dyDescent="0.35">
      <c r="A232" s="392"/>
      <c r="B232" s="430" t="s">
        <v>122</v>
      </c>
      <c r="C232" s="221" t="s">
        <v>76</v>
      </c>
      <c r="D232" s="222" t="s">
        <v>84</v>
      </c>
      <c r="E232" s="222" t="s">
        <v>34</v>
      </c>
      <c r="F232" s="223" t="s">
        <v>85</v>
      </c>
      <c r="G232" s="35"/>
      <c r="H232" s="236">
        <f>H233</f>
        <v>443.6</v>
      </c>
      <c r="I232" s="236">
        <f>I233</f>
        <v>443.6</v>
      </c>
    </row>
    <row r="233" spans="1:9" ht="32.25" customHeight="1" x14ac:dyDescent="0.35">
      <c r="A233" s="392"/>
      <c r="B233" s="234" t="s">
        <v>50</v>
      </c>
      <c r="C233" s="221" t="s">
        <v>76</v>
      </c>
      <c r="D233" s="222" t="s">
        <v>84</v>
      </c>
      <c r="E233" s="222" t="s">
        <v>34</v>
      </c>
      <c r="F233" s="223" t="s">
        <v>85</v>
      </c>
      <c r="G233" s="35" t="s">
        <v>51</v>
      </c>
      <c r="H233" s="236">
        <f>'прил10 (ведом 23-24)'!M100</f>
        <v>443.6</v>
      </c>
      <c r="I233" s="236">
        <f>'прил10 (ведом 23-24)'!N100</f>
        <v>443.6</v>
      </c>
    </row>
    <row r="234" spans="1:9" ht="54" x14ac:dyDescent="0.35">
      <c r="A234" s="392"/>
      <c r="B234" s="431" t="s">
        <v>357</v>
      </c>
      <c r="C234" s="221" t="s">
        <v>76</v>
      </c>
      <c r="D234" s="222" t="s">
        <v>25</v>
      </c>
      <c r="E234" s="222" t="s">
        <v>38</v>
      </c>
      <c r="F234" s="223" t="s">
        <v>39</v>
      </c>
      <c r="G234" s="35"/>
      <c r="H234" s="236">
        <f>H235</f>
        <v>11008.6</v>
      </c>
      <c r="I234" s="236">
        <f>I235</f>
        <v>11009</v>
      </c>
    </row>
    <row r="235" spans="1:9" ht="74.400000000000006" customHeight="1" x14ac:dyDescent="0.35">
      <c r="A235" s="392"/>
      <c r="B235" s="432" t="s">
        <v>310</v>
      </c>
      <c r="C235" s="221" t="s">
        <v>76</v>
      </c>
      <c r="D235" s="222" t="s">
        <v>25</v>
      </c>
      <c r="E235" s="222" t="s">
        <v>32</v>
      </c>
      <c r="F235" s="223" t="s">
        <v>39</v>
      </c>
      <c r="G235" s="35"/>
      <c r="H235" s="236">
        <f>H236</f>
        <v>11008.6</v>
      </c>
      <c r="I235" s="236">
        <f>I236</f>
        <v>11009</v>
      </c>
    </row>
    <row r="236" spans="1:9" ht="36" x14ac:dyDescent="0.35">
      <c r="A236" s="392"/>
      <c r="B236" s="403" t="s">
        <v>437</v>
      </c>
      <c r="C236" s="221" t="s">
        <v>76</v>
      </c>
      <c r="D236" s="222" t="s">
        <v>25</v>
      </c>
      <c r="E236" s="222" t="s">
        <v>32</v>
      </c>
      <c r="F236" s="223" t="s">
        <v>86</v>
      </c>
      <c r="G236" s="35"/>
      <c r="H236" s="236">
        <f>SUM(H237:H239)</f>
        <v>11008.6</v>
      </c>
      <c r="I236" s="236">
        <f>SUM(I237:I239)</f>
        <v>11009</v>
      </c>
    </row>
    <row r="237" spans="1:9" s="402" customFormat="1" ht="90" x14ac:dyDescent="0.35">
      <c r="A237" s="392"/>
      <c r="B237" s="403" t="s">
        <v>44</v>
      </c>
      <c r="C237" s="221" t="s">
        <v>76</v>
      </c>
      <c r="D237" s="222" t="s">
        <v>25</v>
      </c>
      <c r="E237" s="222" t="s">
        <v>32</v>
      </c>
      <c r="F237" s="223" t="s">
        <v>86</v>
      </c>
      <c r="G237" s="35" t="s">
        <v>45</v>
      </c>
      <c r="H237" s="236">
        <f>'прил10 (ведом 23-24)'!M104</f>
        <v>10645.2</v>
      </c>
      <c r="I237" s="236">
        <f>'прил10 (ведом 23-24)'!N104</f>
        <v>10645.2</v>
      </c>
    </row>
    <row r="238" spans="1:9" ht="36" x14ac:dyDescent="0.35">
      <c r="A238" s="392"/>
      <c r="B238" s="403" t="s">
        <v>50</v>
      </c>
      <c r="C238" s="221" t="s">
        <v>76</v>
      </c>
      <c r="D238" s="222" t="s">
        <v>25</v>
      </c>
      <c r="E238" s="222" t="s">
        <v>32</v>
      </c>
      <c r="F238" s="223" t="s">
        <v>86</v>
      </c>
      <c r="G238" s="35" t="s">
        <v>51</v>
      </c>
      <c r="H238" s="236">
        <f>'прил10 (ведом 23-24)'!M105</f>
        <v>357.1</v>
      </c>
      <c r="I238" s="236">
        <f>'прил10 (ведом 23-24)'!N105</f>
        <v>357.5</v>
      </c>
    </row>
    <row r="239" spans="1:9" ht="18" x14ac:dyDescent="0.35">
      <c r="A239" s="392"/>
      <c r="B239" s="234" t="s">
        <v>52</v>
      </c>
      <c r="C239" s="221" t="s">
        <v>76</v>
      </c>
      <c r="D239" s="222" t="s">
        <v>25</v>
      </c>
      <c r="E239" s="222" t="s">
        <v>32</v>
      </c>
      <c r="F239" s="223" t="s">
        <v>86</v>
      </c>
      <c r="G239" s="35" t="s">
        <v>53</v>
      </c>
      <c r="H239" s="236">
        <f>'прил10 (ведом 23-24)'!M106</f>
        <v>6.3</v>
      </c>
      <c r="I239" s="236">
        <f>'прил10 (ведом 23-24)'!N106</f>
        <v>6.3</v>
      </c>
    </row>
    <row r="240" spans="1:9" ht="54" x14ac:dyDescent="0.35">
      <c r="A240" s="392"/>
      <c r="B240" s="433" t="s">
        <v>465</v>
      </c>
      <c r="C240" s="221" t="s">
        <v>76</v>
      </c>
      <c r="D240" s="222" t="s">
        <v>26</v>
      </c>
      <c r="E240" s="222" t="s">
        <v>38</v>
      </c>
      <c r="F240" s="223" t="s">
        <v>39</v>
      </c>
      <c r="G240" s="35"/>
      <c r="H240" s="236">
        <f t="shared" ref="H240:I242" si="5">H241</f>
        <v>21.8</v>
      </c>
      <c r="I240" s="236">
        <f t="shared" si="5"/>
        <v>21.8</v>
      </c>
    </row>
    <row r="241" spans="1:9" ht="54" x14ac:dyDescent="0.35">
      <c r="A241" s="392"/>
      <c r="B241" s="434" t="s">
        <v>466</v>
      </c>
      <c r="C241" s="221" t="s">
        <v>76</v>
      </c>
      <c r="D241" s="222" t="s">
        <v>26</v>
      </c>
      <c r="E241" s="222" t="s">
        <v>32</v>
      </c>
      <c r="F241" s="223" t="s">
        <v>39</v>
      </c>
      <c r="G241" s="35"/>
      <c r="H241" s="236">
        <f t="shared" si="5"/>
        <v>21.8</v>
      </c>
      <c r="I241" s="236">
        <f t="shared" si="5"/>
        <v>21.8</v>
      </c>
    </row>
    <row r="242" spans="1:9" ht="36" x14ac:dyDescent="0.35">
      <c r="A242" s="392"/>
      <c r="B242" s="435" t="s">
        <v>80</v>
      </c>
      <c r="C242" s="221" t="s">
        <v>76</v>
      </c>
      <c r="D242" s="222" t="s">
        <v>26</v>
      </c>
      <c r="E242" s="222" t="s">
        <v>32</v>
      </c>
      <c r="F242" s="223" t="s">
        <v>81</v>
      </c>
      <c r="G242" s="35"/>
      <c r="H242" s="236">
        <f t="shared" si="5"/>
        <v>21.8</v>
      </c>
      <c r="I242" s="236">
        <f t="shared" si="5"/>
        <v>21.8</v>
      </c>
    </row>
    <row r="243" spans="1:9" ht="36" x14ac:dyDescent="0.35">
      <c r="A243" s="392"/>
      <c r="B243" s="436" t="s">
        <v>50</v>
      </c>
      <c r="C243" s="221" t="s">
        <v>76</v>
      </c>
      <c r="D243" s="222" t="s">
        <v>26</v>
      </c>
      <c r="E243" s="222" t="s">
        <v>32</v>
      </c>
      <c r="F243" s="223" t="s">
        <v>81</v>
      </c>
      <c r="G243" s="35" t="s">
        <v>51</v>
      </c>
      <c r="H243" s="236">
        <f>'прил10 (ведом 23-24)'!M110</f>
        <v>21.8</v>
      </c>
      <c r="I243" s="236">
        <f>'прил10 (ведом 23-24)'!N110</f>
        <v>21.8</v>
      </c>
    </row>
    <row r="244" spans="1:9" ht="18" x14ac:dyDescent="0.35">
      <c r="A244" s="437"/>
      <c r="B244" s="409"/>
      <c r="C244" s="438"/>
      <c r="D244" s="565"/>
      <c r="E244" s="565"/>
      <c r="F244" s="566"/>
      <c r="G244" s="258"/>
      <c r="H244" s="236"/>
      <c r="I244" s="236"/>
    </row>
    <row r="245" spans="1:9" s="402" customFormat="1" ht="52.2" x14ac:dyDescent="0.3">
      <c r="A245" s="412">
        <v>6</v>
      </c>
      <c r="B245" s="423" t="s">
        <v>218</v>
      </c>
      <c r="C245" s="399" t="s">
        <v>219</v>
      </c>
      <c r="D245" s="399" t="s">
        <v>37</v>
      </c>
      <c r="E245" s="399" t="s">
        <v>38</v>
      </c>
      <c r="F245" s="400" t="s">
        <v>39</v>
      </c>
      <c r="G245" s="401"/>
      <c r="H245" s="283">
        <f>H246</f>
        <v>35633.799999999996</v>
      </c>
      <c r="I245" s="283">
        <f>I246</f>
        <v>35625.999999999993</v>
      </c>
    </row>
    <row r="246" spans="1:9" ht="27" customHeight="1" x14ac:dyDescent="0.35">
      <c r="A246" s="392"/>
      <c r="B246" s="403" t="s">
        <v>328</v>
      </c>
      <c r="C246" s="439" t="s">
        <v>219</v>
      </c>
      <c r="D246" s="440" t="s">
        <v>40</v>
      </c>
      <c r="E246" s="222" t="s">
        <v>38</v>
      </c>
      <c r="F246" s="223" t="s">
        <v>39</v>
      </c>
      <c r="G246" s="35"/>
      <c r="H246" s="236">
        <f>H247+H252+H255+H258</f>
        <v>35633.799999999996</v>
      </c>
      <c r="I246" s="236">
        <f>I247+I252+I255+I258</f>
        <v>35625.999999999993</v>
      </c>
    </row>
    <row r="247" spans="1:9" ht="53.4" customHeight="1" x14ac:dyDescent="0.35">
      <c r="A247" s="392"/>
      <c r="B247" s="403" t="s">
        <v>292</v>
      </c>
      <c r="C247" s="439" t="s">
        <v>219</v>
      </c>
      <c r="D247" s="440" t="s">
        <v>40</v>
      </c>
      <c r="E247" s="222" t="s">
        <v>32</v>
      </c>
      <c r="F247" s="223" t="s">
        <v>39</v>
      </c>
      <c r="G247" s="35"/>
      <c r="H247" s="236">
        <f>H248</f>
        <v>25791.5</v>
      </c>
      <c r="I247" s="236">
        <f>I248</f>
        <v>25792.2</v>
      </c>
    </row>
    <row r="248" spans="1:9" ht="36" x14ac:dyDescent="0.35">
      <c r="A248" s="392"/>
      <c r="B248" s="403" t="s">
        <v>42</v>
      </c>
      <c r="C248" s="439" t="s">
        <v>219</v>
      </c>
      <c r="D248" s="440" t="s">
        <v>40</v>
      </c>
      <c r="E248" s="222" t="s">
        <v>32</v>
      </c>
      <c r="F248" s="223" t="s">
        <v>43</v>
      </c>
      <c r="G248" s="35"/>
      <c r="H248" s="236">
        <f>SUM(H249:H251)</f>
        <v>25791.5</v>
      </c>
      <c r="I248" s="236">
        <f>SUM(I249:I251)</f>
        <v>25792.2</v>
      </c>
    </row>
    <row r="249" spans="1:9" ht="90" x14ac:dyDescent="0.35">
      <c r="A249" s="392"/>
      <c r="B249" s="403" t="s">
        <v>44</v>
      </c>
      <c r="C249" s="439" t="s">
        <v>219</v>
      </c>
      <c r="D249" s="440" t="s">
        <v>40</v>
      </c>
      <c r="E249" s="222" t="s">
        <v>32</v>
      </c>
      <c r="F249" s="223" t="s">
        <v>43</v>
      </c>
      <c r="G249" s="35" t="s">
        <v>45</v>
      </c>
      <c r="H249" s="236">
        <f>'прил10 (ведом 23-24)'!M179</f>
        <v>25067.7</v>
      </c>
      <c r="I249" s="236">
        <f>'прил10 (ведом 23-24)'!N179</f>
        <v>25067.7</v>
      </c>
    </row>
    <row r="250" spans="1:9" ht="36" x14ac:dyDescent="0.35">
      <c r="A250" s="392"/>
      <c r="B250" s="234" t="s">
        <v>50</v>
      </c>
      <c r="C250" s="439" t="s">
        <v>219</v>
      </c>
      <c r="D250" s="440" t="s">
        <v>40</v>
      </c>
      <c r="E250" s="222" t="s">
        <v>32</v>
      </c>
      <c r="F250" s="223" t="s">
        <v>43</v>
      </c>
      <c r="G250" s="35" t="s">
        <v>51</v>
      </c>
      <c r="H250" s="236">
        <f>'прил10 (ведом 23-24)'!M180</f>
        <v>719.1</v>
      </c>
      <c r="I250" s="236">
        <f>'прил10 (ведом 23-24)'!N180</f>
        <v>719.9</v>
      </c>
    </row>
    <row r="251" spans="1:9" ht="18" x14ac:dyDescent="0.35">
      <c r="A251" s="392"/>
      <c r="B251" s="234" t="s">
        <v>52</v>
      </c>
      <c r="C251" s="439" t="s">
        <v>219</v>
      </c>
      <c r="D251" s="440" t="s">
        <v>40</v>
      </c>
      <c r="E251" s="222" t="s">
        <v>32</v>
      </c>
      <c r="F251" s="223" t="s">
        <v>43</v>
      </c>
      <c r="G251" s="35" t="s">
        <v>53</v>
      </c>
      <c r="H251" s="236">
        <f>'прил10 (ведом 23-24)'!M181</f>
        <v>4.7</v>
      </c>
      <c r="I251" s="236">
        <f>'прил10 (ведом 23-24)'!N181</f>
        <v>4.5999999999999996</v>
      </c>
    </row>
    <row r="252" spans="1:9" ht="30" customHeight="1" x14ac:dyDescent="0.35">
      <c r="A252" s="392"/>
      <c r="B252" s="403" t="s">
        <v>293</v>
      </c>
      <c r="C252" s="439" t="s">
        <v>219</v>
      </c>
      <c r="D252" s="440" t="s">
        <v>40</v>
      </c>
      <c r="E252" s="222" t="s">
        <v>34</v>
      </c>
      <c r="F252" s="223" t="s">
        <v>39</v>
      </c>
      <c r="G252" s="35"/>
      <c r="H252" s="236">
        <f>H253</f>
        <v>7000</v>
      </c>
      <c r="I252" s="236">
        <f>I253</f>
        <v>7000</v>
      </c>
    </row>
    <row r="253" spans="1:9" ht="36" x14ac:dyDescent="0.35">
      <c r="A253" s="392"/>
      <c r="B253" s="234" t="s">
        <v>252</v>
      </c>
      <c r="C253" s="439" t="s">
        <v>219</v>
      </c>
      <c r="D253" s="440" t="s">
        <v>40</v>
      </c>
      <c r="E253" s="222" t="s">
        <v>34</v>
      </c>
      <c r="F253" s="223" t="s">
        <v>394</v>
      </c>
      <c r="G253" s="35"/>
      <c r="H253" s="236">
        <f>H254</f>
        <v>7000</v>
      </c>
      <c r="I253" s="236">
        <f>I254</f>
        <v>7000</v>
      </c>
    </row>
    <row r="254" spans="1:9" ht="18" x14ac:dyDescent="0.35">
      <c r="A254" s="392"/>
      <c r="B254" s="234" t="s">
        <v>118</v>
      </c>
      <c r="C254" s="439" t="s">
        <v>219</v>
      </c>
      <c r="D254" s="440" t="s">
        <v>40</v>
      </c>
      <c r="E254" s="222" t="s">
        <v>34</v>
      </c>
      <c r="F254" s="223" t="s">
        <v>394</v>
      </c>
      <c r="G254" s="35" t="s">
        <v>119</v>
      </c>
      <c r="H254" s="236">
        <f>'прил10 (ведом 23-24)'!M197</f>
        <v>7000</v>
      </c>
      <c r="I254" s="236">
        <f>'прил10 (ведом 23-24)'!N197</f>
        <v>7000</v>
      </c>
    </row>
    <row r="255" spans="1:9" ht="36" x14ac:dyDescent="0.35">
      <c r="A255" s="392"/>
      <c r="B255" s="403" t="s">
        <v>340</v>
      </c>
      <c r="C255" s="439" t="s">
        <v>219</v>
      </c>
      <c r="D255" s="440" t="s">
        <v>40</v>
      </c>
      <c r="E255" s="222" t="s">
        <v>58</v>
      </c>
      <c r="F255" s="223" t="s">
        <v>39</v>
      </c>
      <c r="G255" s="35"/>
      <c r="H255" s="236">
        <f>H256</f>
        <v>2825.1</v>
      </c>
      <c r="I255" s="236">
        <f>I256</f>
        <v>2816.6</v>
      </c>
    </row>
    <row r="256" spans="1:9" ht="54" x14ac:dyDescent="0.35">
      <c r="A256" s="392"/>
      <c r="B256" s="403" t="s">
        <v>341</v>
      </c>
      <c r="C256" s="439" t="s">
        <v>219</v>
      </c>
      <c r="D256" s="440" t="s">
        <v>40</v>
      </c>
      <c r="E256" s="222" t="s">
        <v>58</v>
      </c>
      <c r="F256" s="223" t="s">
        <v>100</v>
      </c>
      <c r="G256" s="35"/>
      <c r="H256" s="236">
        <f>H257</f>
        <v>2825.1</v>
      </c>
      <c r="I256" s="236">
        <f>I257</f>
        <v>2816.6</v>
      </c>
    </row>
    <row r="257" spans="1:9" ht="36" x14ac:dyDescent="0.35">
      <c r="A257" s="392"/>
      <c r="B257" s="403" t="s">
        <v>50</v>
      </c>
      <c r="C257" s="439" t="s">
        <v>219</v>
      </c>
      <c r="D257" s="440" t="s">
        <v>40</v>
      </c>
      <c r="E257" s="222" t="s">
        <v>58</v>
      </c>
      <c r="F257" s="223" t="s">
        <v>100</v>
      </c>
      <c r="G257" s="35" t="s">
        <v>51</v>
      </c>
      <c r="H257" s="236">
        <f>'прил10 (ведом 23-24)'!M187</f>
        <v>2825.1</v>
      </c>
      <c r="I257" s="236">
        <f>'прил10 (ведом 23-24)'!N187</f>
        <v>2816.6</v>
      </c>
    </row>
    <row r="258" spans="1:9" ht="36" x14ac:dyDescent="0.35">
      <c r="A258" s="392"/>
      <c r="B258" s="234" t="s">
        <v>441</v>
      </c>
      <c r="C258" s="439" t="s">
        <v>219</v>
      </c>
      <c r="D258" s="440" t="s">
        <v>40</v>
      </c>
      <c r="E258" s="222" t="s">
        <v>60</v>
      </c>
      <c r="F258" s="223" t="s">
        <v>39</v>
      </c>
      <c r="G258" s="35"/>
      <c r="H258" s="236">
        <f>H259</f>
        <v>17.2</v>
      </c>
      <c r="I258" s="236">
        <f>I259</f>
        <v>17.2</v>
      </c>
    </row>
    <row r="259" spans="1:9" ht="18" x14ac:dyDescent="0.35">
      <c r="A259" s="392"/>
      <c r="B259" s="234" t="s">
        <v>439</v>
      </c>
      <c r="C259" s="439" t="s">
        <v>219</v>
      </c>
      <c r="D259" s="440" t="s">
        <v>40</v>
      </c>
      <c r="E259" s="222" t="s">
        <v>60</v>
      </c>
      <c r="F259" s="223" t="s">
        <v>440</v>
      </c>
      <c r="G259" s="35"/>
      <c r="H259" s="236">
        <f>H260</f>
        <v>17.2</v>
      </c>
      <c r="I259" s="236">
        <f>I260</f>
        <v>17.2</v>
      </c>
    </row>
    <row r="260" spans="1:9" ht="36" x14ac:dyDescent="0.35">
      <c r="A260" s="392"/>
      <c r="B260" s="234" t="s">
        <v>50</v>
      </c>
      <c r="C260" s="439" t="s">
        <v>219</v>
      </c>
      <c r="D260" s="440" t="s">
        <v>40</v>
      </c>
      <c r="E260" s="222" t="s">
        <v>60</v>
      </c>
      <c r="F260" s="223" t="s">
        <v>440</v>
      </c>
      <c r="G260" s="35" t="s">
        <v>51</v>
      </c>
      <c r="H260" s="236">
        <f>'прил10 (ведом 23-24)'!M190</f>
        <v>17.2</v>
      </c>
      <c r="I260" s="236">
        <f>'прил10 (ведом 23-24)'!N190</f>
        <v>17.2</v>
      </c>
    </row>
    <row r="261" spans="1:9" ht="18" x14ac:dyDescent="0.35">
      <c r="A261" s="392"/>
      <c r="B261" s="234"/>
      <c r="C261" s="440"/>
      <c r="D261" s="440"/>
      <c r="E261" s="440"/>
      <c r="F261" s="441"/>
      <c r="G261" s="35"/>
      <c r="H261" s="236"/>
      <c r="I261" s="236"/>
    </row>
    <row r="262" spans="1:9" s="402" customFormat="1" ht="52.2" x14ac:dyDescent="0.3">
      <c r="A262" s="398">
        <v>7</v>
      </c>
      <c r="B262" s="442" t="s">
        <v>220</v>
      </c>
      <c r="C262" s="443" t="s">
        <v>221</v>
      </c>
      <c r="D262" s="413" t="s">
        <v>37</v>
      </c>
      <c r="E262" s="413" t="s">
        <v>38</v>
      </c>
      <c r="F262" s="414" t="s">
        <v>39</v>
      </c>
      <c r="G262" s="444"/>
      <c r="H262" s="283">
        <f>H263+H267</f>
        <v>20561.899999999998</v>
      </c>
      <c r="I262" s="283">
        <f>I263+I267</f>
        <v>22293.899999999998</v>
      </c>
    </row>
    <row r="263" spans="1:9" s="402" customFormat="1" ht="36" x14ac:dyDescent="0.35">
      <c r="A263" s="398"/>
      <c r="B263" s="424" t="s">
        <v>222</v>
      </c>
      <c r="C263" s="445" t="s">
        <v>221</v>
      </c>
      <c r="D263" s="446" t="s">
        <v>40</v>
      </c>
      <c r="E263" s="446" t="s">
        <v>38</v>
      </c>
      <c r="F263" s="447" t="s">
        <v>39</v>
      </c>
      <c r="G263" s="407"/>
      <c r="H263" s="236">
        <f t="shared" ref="H263:I265" si="6">H264</f>
        <v>0</v>
      </c>
      <c r="I263" s="236">
        <f t="shared" si="6"/>
        <v>606.9</v>
      </c>
    </row>
    <row r="264" spans="1:9" s="402" customFormat="1" ht="36" x14ac:dyDescent="0.35">
      <c r="A264" s="398"/>
      <c r="B264" s="448" t="s">
        <v>327</v>
      </c>
      <c r="C264" s="404" t="s">
        <v>221</v>
      </c>
      <c r="D264" s="405" t="s">
        <v>40</v>
      </c>
      <c r="E264" s="405" t="s">
        <v>34</v>
      </c>
      <c r="F264" s="449" t="s">
        <v>39</v>
      </c>
      <c r="G264" s="407"/>
      <c r="H264" s="236">
        <f>H265</f>
        <v>0</v>
      </c>
      <c r="I264" s="236">
        <f>I265</f>
        <v>606.9</v>
      </c>
    </row>
    <row r="265" spans="1:9" s="402" customFormat="1" ht="36" x14ac:dyDescent="0.35">
      <c r="A265" s="398"/>
      <c r="B265" s="448" t="s">
        <v>326</v>
      </c>
      <c r="C265" s="404" t="s">
        <v>221</v>
      </c>
      <c r="D265" s="405" t="s">
        <v>40</v>
      </c>
      <c r="E265" s="405" t="s">
        <v>34</v>
      </c>
      <c r="F265" s="449" t="s">
        <v>325</v>
      </c>
      <c r="G265" s="407"/>
      <c r="H265" s="236">
        <f t="shared" si="6"/>
        <v>0</v>
      </c>
      <c r="I265" s="236">
        <f t="shared" si="6"/>
        <v>606.9</v>
      </c>
    </row>
    <row r="266" spans="1:9" s="402" customFormat="1" ht="36" x14ac:dyDescent="0.35">
      <c r="A266" s="398"/>
      <c r="B266" s="448" t="s">
        <v>50</v>
      </c>
      <c r="C266" s="404" t="s">
        <v>221</v>
      </c>
      <c r="D266" s="405" t="s">
        <v>40</v>
      </c>
      <c r="E266" s="405" t="s">
        <v>34</v>
      </c>
      <c r="F266" s="449" t="s">
        <v>325</v>
      </c>
      <c r="G266" s="407" t="s">
        <v>51</v>
      </c>
      <c r="H266" s="236">
        <f>'прил10 (ведом 23-24)'!M216</f>
        <v>0</v>
      </c>
      <c r="I266" s="236">
        <f>'прил10 (ведом 23-24)'!N216</f>
        <v>606.9</v>
      </c>
    </row>
    <row r="267" spans="1:9" ht="36" x14ac:dyDescent="0.35">
      <c r="A267" s="437"/>
      <c r="B267" s="450" t="s">
        <v>224</v>
      </c>
      <c r="C267" s="417" t="s">
        <v>221</v>
      </c>
      <c r="D267" s="438" t="s">
        <v>84</v>
      </c>
      <c r="E267" s="438" t="s">
        <v>38</v>
      </c>
      <c r="F267" s="451" t="s">
        <v>39</v>
      </c>
      <c r="G267" s="452"/>
      <c r="H267" s="236">
        <f>H268+H279+H282</f>
        <v>20561.899999999998</v>
      </c>
      <c r="I267" s="236">
        <f>I268+I279+I282</f>
        <v>21686.999999999996</v>
      </c>
    </row>
    <row r="268" spans="1:9" ht="72" x14ac:dyDescent="0.35">
      <c r="A268" s="437"/>
      <c r="B268" s="450" t="s">
        <v>290</v>
      </c>
      <c r="C268" s="417" t="s">
        <v>221</v>
      </c>
      <c r="D268" s="438" t="s">
        <v>84</v>
      </c>
      <c r="E268" s="438" t="s">
        <v>32</v>
      </c>
      <c r="F268" s="451" t="s">
        <v>39</v>
      </c>
      <c r="G268" s="452"/>
      <c r="H268" s="236">
        <f>H269+H273+H277</f>
        <v>20547.099999999999</v>
      </c>
      <c r="I268" s="236">
        <f>I269+I273+I277</f>
        <v>20994.6</v>
      </c>
    </row>
    <row r="269" spans="1:9" ht="36" x14ac:dyDescent="0.35">
      <c r="A269" s="437"/>
      <c r="B269" s="450" t="s">
        <v>42</v>
      </c>
      <c r="C269" s="453" t="s">
        <v>221</v>
      </c>
      <c r="D269" s="454" t="s">
        <v>84</v>
      </c>
      <c r="E269" s="454" t="s">
        <v>32</v>
      </c>
      <c r="F269" s="455" t="s">
        <v>43</v>
      </c>
      <c r="G269" s="452"/>
      <c r="H269" s="236">
        <f>SUM(H270:H272)</f>
        <v>13047</v>
      </c>
      <c r="I269" s="236">
        <f>SUM(I270:I272)</f>
        <v>13269.7</v>
      </c>
    </row>
    <row r="270" spans="1:9" ht="90" x14ac:dyDescent="0.35">
      <c r="A270" s="437"/>
      <c r="B270" s="450" t="s">
        <v>44</v>
      </c>
      <c r="C270" s="417" t="s">
        <v>221</v>
      </c>
      <c r="D270" s="438" t="s">
        <v>84</v>
      </c>
      <c r="E270" s="438" t="s">
        <v>32</v>
      </c>
      <c r="F270" s="451" t="s">
        <v>43</v>
      </c>
      <c r="G270" s="452" t="s">
        <v>45</v>
      </c>
      <c r="H270" s="236">
        <f>'прил10 (ведом 23-24)'!M220</f>
        <v>12941.5</v>
      </c>
      <c r="I270" s="236">
        <f>'прил10 (ведом 23-24)'!N220</f>
        <v>12941.5</v>
      </c>
    </row>
    <row r="271" spans="1:9" ht="36" x14ac:dyDescent="0.35">
      <c r="A271" s="437"/>
      <c r="B271" s="448" t="s">
        <v>50</v>
      </c>
      <c r="C271" s="456" t="s">
        <v>221</v>
      </c>
      <c r="D271" s="405" t="s">
        <v>84</v>
      </c>
      <c r="E271" s="405" t="s">
        <v>32</v>
      </c>
      <c r="F271" s="449" t="s">
        <v>43</v>
      </c>
      <c r="G271" s="407" t="s">
        <v>51</v>
      </c>
      <c r="H271" s="236">
        <f>'прил10 (ведом 23-24)'!M221</f>
        <v>104.3</v>
      </c>
      <c r="I271" s="236">
        <f>'прил10 (ведом 23-24)'!N221</f>
        <v>327</v>
      </c>
    </row>
    <row r="272" spans="1:9" ht="18" x14ac:dyDescent="0.35">
      <c r="A272" s="437"/>
      <c r="B272" s="424" t="s">
        <v>52</v>
      </c>
      <c r="C272" s="456" t="s">
        <v>221</v>
      </c>
      <c r="D272" s="405" t="s">
        <v>84</v>
      </c>
      <c r="E272" s="405" t="s">
        <v>32</v>
      </c>
      <c r="F272" s="449" t="s">
        <v>43</v>
      </c>
      <c r="G272" s="407" t="s">
        <v>53</v>
      </c>
      <c r="H272" s="236">
        <f>'прил10 (ведом 23-24)'!M222</f>
        <v>1.2</v>
      </c>
      <c r="I272" s="236">
        <f>'прил10 (ведом 23-24)'!N222</f>
        <v>1.2</v>
      </c>
    </row>
    <row r="273" spans="1:9" ht="36" x14ac:dyDescent="0.35">
      <c r="A273" s="437"/>
      <c r="B273" s="403" t="s">
        <v>437</v>
      </c>
      <c r="C273" s="417" t="s">
        <v>221</v>
      </c>
      <c r="D273" s="438" t="s">
        <v>84</v>
      </c>
      <c r="E273" s="438" t="s">
        <v>32</v>
      </c>
      <c r="F273" s="451" t="s">
        <v>86</v>
      </c>
      <c r="G273" s="452"/>
      <c r="H273" s="236">
        <f>SUM(H274:H276)</f>
        <v>7431.0999999999995</v>
      </c>
      <c r="I273" s="236">
        <f>SUM(I274:I276)</f>
        <v>7655.9</v>
      </c>
    </row>
    <row r="274" spans="1:9" ht="90" x14ac:dyDescent="0.35">
      <c r="A274" s="437"/>
      <c r="B274" s="450" t="s">
        <v>44</v>
      </c>
      <c r="C274" s="417" t="s">
        <v>221</v>
      </c>
      <c r="D274" s="438" t="s">
        <v>84</v>
      </c>
      <c r="E274" s="438" t="s">
        <v>32</v>
      </c>
      <c r="F274" s="451" t="s">
        <v>86</v>
      </c>
      <c r="G274" s="452" t="s">
        <v>45</v>
      </c>
      <c r="H274" s="236">
        <f>'прил10 (ведом 23-24)'!M224</f>
        <v>7312.7</v>
      </c>
      <c r="I274" s="236">
        <f>'прил10 (ведом 23-24)'!N224</f>
        <v>7312.7</v>
      </c>
    </row>
    <row r="275" spans="1:9" ht="36" x14ac:dyDescent="0.35">
      <c r="A275" s="437"/>
      <c r="B275" s="234" t="s">
        <v>50</v>
      </c>
      <c r="C275" s="453" t="s">
        <v>221</v>
      </c>
      <c r="D275" s="454" t="s">
        <v>84</v>
      </c>
      <c r="E275" s="454" t="s">
        <v>32</v>
      </c>
      <c r="F275" s="455" t="s">
        <v>86</v>
      </c>
      <c r="G275" s="452" t="s">
        <v>51</v>
      </c>
      <c r="H275" s="236">
        <f>'прил10 (ведом 23-24)'!M225</f>
        <v>98.9</v>
      </c>
      <c r="I275" s="236">
        <f>'прил10 (ведом 23-24)'!N225</f>
        <v>324.5</v>
      </c>
    </row>
    <row r="276" spans="1:9" ht="18" x14ac:dyDescent="0.35">
      <c r="A276" s="437"/>
      <c r="B276" s="457" t="s">
        <v>52</v>
      </c>
      <c r="C276" s="417" t="s">
        <v>221</v>
      </c>
      <c r="D276" s="438" t="s">
        <v>84</v>
      </c>
      <c r="E276" s="438" t="s">
        <v>32</v>
      </c>
      <c r="F276" s="451" t="s">
        <v>86</v>
      </c>
      <c r="G276" s="452" t="s">
        <v>53</v>
      </c>
      <c r="H276" s="236">
        <f>'прил10 (ведом 23-24)'!M226</f>
        <v>19.5</v>
      </c>
      <c r="I276" s="236">
        <f>'прил10 (ведом 23-24)'!N226</f>
        <v>18.7</v>
      </c>
    </row>
    <row r="277" spans="1:9" ht="54" x14ac:dyDescent="0.35">
      <c r="A277" s="437"/>
      <c r="B277" s="448" t="s">
        <v>343</v>
      </c>
      <c r="C277" s="456" t="s">
        <v>221</v>
      </c>
      <c r="D277" s="405" t="s">
        <v>84</v>
      </c>
      <c r="E277" s="405" t="s">
        <v>32</v>
      </c>
      <c r="F277" s="449" t="s">
        <v>342</v>
      </c>
      <c r="G277" s="407"/>
      <c r="H277" s="236">
        <f>H278</f>
        <v>69</v>
      </c>
      <c r="I277" s="236">
        <f>I278</f>
        <v>69</v>
      </c>
    </row>
    <row r="278" spans="1:9" ht="36" x14ac:dyDescent="0.35">
      <c r="A278" s="437"/>
      <c r="B278" s="448" t="s">
        <v>50</v>
      </c>
      <c r="C278" s="456" t="s">
        <v>221</v>
      </c>
      <c r="D278" s="405" t="s">
        <v>84</v>
      </c>
      <c r="E278" s="405" t="s">
        <v>32</v>
      </c>
      <c r="F278" s="458" t="s">
        <v>342</v>
      </c>
      <c r="G278" s="407" t="s">
        <v>51</v>
      </c>
      <c r="H278" s="236">
        <f>'прил10 (ведом 23-24)'!M228</f>
        <v>69</v>
      </c>
      <c r="I278" s="236">
        <f>'прил10 (ведом 23-24)'!N228</f>
        <v>69</v>
      </c>
    </row>
    <row r="279" spans="1:9" ht="36" x14ac:dyDescent="0.35">
      <c r="A279" s="437"/>
      <c r="B279" s="459" t="s">
        <v>340</v>
      </c>
      <c r="C279" s="456" t="s">
        <v>221</v>
      </c>
      <c r="D279" s="460" t="s">
        <v>84</v>
      </c>
      <c r="E279" s="460" t="s">
        <v>34</v>
      </c>
      <c r="F279" s="461" t="s">
        <v>39</v>
      </c>
      <c r="G279" s="462"/>
      <c r="H279" s="236">
        <f>H280</f>
        <v>0</v>
      </c>
      <c r="I279" s="236">
        <f>I280</f>
        <v>677.6</v>
      </c>
    </row>
    <row r="280" spans="1:9" ht="54" x14ac:dyDescent="0.35">
      <c r="A280" s="437"/>
      <c r="B280" s="463" t="s">
        <v>341</v>
      </c>
      <c r="C280" s="464" t="s">
        <v>221</v>
      </c>
      <c r="D280" s="460" t="s">
        <v>84</v>
      </c>
      <c r="E280" s="460" t="s">
        <v>34</v>
      </c>
      <c r="F280" s="461" t="s">
        <v>100</v>
      </c>
      <c r="G280" s="465"/>
      <c r="H280" s="236">
        <f>H281</f>
        <v>0</v>
      </c>
      <c r="I280" s="236">
        <f>I281</f>
        <v>677.6</v>
      </c>
    </row>
    <row r="281" spans="1:9" ht="36" x14ac:dyDescent="0.35">
      <c r="A281" s="437"/>
      <c r="B281" s="466" t="s">
        <v>50</v>
      </c>
      <c r="C281" s="464" t="s">
        <v>221</v>
      </c>
      <c r="D281" s="467" t="s">
        <v>84</v>
      </c>
      <c r="E281" s="467" t="s">
        <v>34</v>
      </c>
      <c r="F281" s="468" t="s">
        <v>100</v>
      </c>
      <c r="G281" s="469" t="s">
        <v>51</v>
      </c>
      <c r="H281" s="236">
        <f>'прил10 (ведом 23-24)'!M231</f>
        <v>0</v>
      </c>
      <c r="I281" s="236">
        <f>'прил10 (ведом 23-24)'!N231</f>
        <v>677.6</v>
      </c>
    </row>
    <row r="282" spans="1:9" ht="27" customHeight="1" x14ac:dyDescent="0.35">
      <c r="A282" s="437"/>
      <c r="B282" s="470" t="s">
        <v>363</v>
      </c>
      <c r="C282" s="464" t="s">
        <v>221</v>
      </c>
      <c r="D282" s="460" t="s">
        <v>84</v>
      </c>
      <c r="E282" s="460" t="s">
        <v>58</v>
      </c>
      <c r="F282" s="461" t="s">
        <v>39</v>
      </c>
      <c r="G282" s="465"/>
      <c r="H282" s="236">
        <f>H283</f>
        <v>14.8</v>
      </c>
      <c r="I282" s="236">
        <f>I283</f>
        <v>14.8</v>
      </c>
    </row>
    <row r="283" spans="1:9" ht="36" x14ac:dyDescent="0.35">
      <c r="A283" s="437"/>
      <c r="B283" s="470" t="s">
        <v>326</v>
      </c>
      <c r="C283" s="471" t="s">
        <v>221</v>
      </c>
      <c r="D283" s="467" t="s">
        <v>84</v>
      </c>
      <c r="E283" s="467" t="s">
        <v>58</v>
      </c>
      <c r="F283" s="468" t="s">
        <v>325</v>
      </c>
      <c r="G283" s="465"/>
      <c r="H283" s="236">
        <f>H284</f>
        <v>14.8</v>
      </c>
      <c r="I283" s="236">
        <f>I284</f>
        <v>14.8</v>
      </c>
    </row>
    <row r="284" spans="1:9" ht="18" x14ac:dyDescent="0.35">
      <c r="A284" s="437"/>
      <c r="B284" s="424" t="s">
        <v>52</v>
      </c>
      <c r="C284" s="456" t="s">
        <v>221</v>
      </c>
      <c r="D284" s="460" t="s">
        <v>84</v>
      </c>
      <c r="E284" s="460" t="s">
        <v>58</v>
      </c>
      <c r="F284" s="461" t="s">
        <v>325</v>
      </c>
      <c r="G284" s="465" t="s">
        <v>53</v>
      </c>
      <c r="H284" s="236">
        <f>'прил10 (ведом 23-24)'!M234</f>
        <v>14.8</v>
      </c>
      <c r="I284" s="236">
        <f>'прил10 (ведом 23-24)'!N234</f>
        <v>14.8</v>
      </c>
    </row>
    <row r="285" spans="1:9" ht="18" x14ac:dyDescent="0.35">
      <c r="A285" s="437"/>
      <c r="B285" s="457"/>
      <c r="C285" s="418"/>
      <c r="D285" s="438"/>
      <c r="E285" s="438"/>
      <c r="F285" s="451"/>
      <c r="G285" s="452"/>
      <c r="H285" s="236"/>
      <c r="I285" s="236"/>
    </row>
    <row r="286" spans="1:9" s="402" customFormat="1" ht="52.2" x14ac:dyDescent="0.3">
      <c r="A286" s="412">
        <v>8</v>
      </c>
      <c r="B286" s="442" t="s">
        <v>284</v>
      </c>
      <c r="C286" s="413" t="s">
        <v>74</v>
      </c>
      <c r="D286" s="413" t="s">
        <v>37</v>
      </c>
      <c r="E286" s="413" t="s">
        <v>38</v>
      </c>
      <c r="F286" s="414" t="s">
        <v>39</v>
      </c>
      <c r="G286" s="401"/>
      <c r="H286" s="283">
        <f>H287</f>
        <v>123270.39999999999</v>
      </c>
      <c r="I286" s="283">
        <f>I287</f>
        <v>124800.70000000001</v>
      </c>
    </row>
    <row r="287" spans="1:9" ht="23.25" customHeight="1" x14ac:dyDescent="0.35">
      <c r="A287" s="392"/>
      <c r="B287" s="403" t="s">
        <v>328</v>
      </c>
      <c r="C287" s="472" t="s">
        <v>74</v>
      </c>
      <c r="D287" s="438" t="s">
        <v>40</v>
      </c>
      <c r="E287" s="438" t="s">
        <v>38</v>
      </c>
      <c r="F287" s="473" t="s">
        <v>39</v>
      </c>
      <c r="G287" s="258"/>
      <c r="H287" s="236">
        <f>H288+H301+H306+H316</f>
        <v>123270.39999999999</v>
      </c>
      <c r="I287" s="236">
        <f>I288+I301+I306+I316</f>
        <v>124800.70000000001</v>
      </c>
    </row>
    <row r="288" spans="1:9" ht="36" x14ac:dyDescent="0.35">
      <c r="A288" s="392"/>
      <c r="B288" s="403" t="s">
        <v>273</v>
      </c>
      <c r="C288" s="221" t="s">
        <v>74</v>
      </c>
      <c r="D288" s="222" t="s">
        <v>40</v>
      </c>
      <c r="E288" s="222" t="s">
        <v>32</v>
      </c>
      <c r="F288" s="223" t="s">
        <v>39</v>
      </c>
      <c r="G288" s="258"/>
      <c r="H288" s="236">
        <f>H289+H292+H295+H298</f>
        <v>67603.499999999985</v>
      </c>
      <c r="I288" s="236">
        <f>I289+I292+I295+I298</f>
        <v>69133.8</v>
      </c>
    </row>
    <row r="289" spans="1:9" ht="132" customHeight="1" x14ac:dyDescent="0.35">
      <c r="A289" s="392"/>
      <c r="B289" s="546" t="s">
        <v>346</v>
      </c>
      <c r="C289" s="221" t="s">
        <v>74</v>
      </c>
      <c r="D289" s="222" t="s">
        <v>40</v>
      </c>
      <c r="E289" s="222" t="s">
        <v>32</v>
      </c>
      <c r="F289" s="223" t="s">
        <v>533</v>
      </c>
      <c r="G289" s="35"/>
      <c r="H289" s="236">
        <f>SUM(H290:H291)</f>
        <v>36785</v>
      </c>
      <c r="I289" s="236">
        <f>SUM(I290:I291)</f>
        <v>38255.5</v>
      </c>
    </row>
    <row r="290" spans="1:9" ht="36" x14ac:dyDescent="0.35">
      <c r="A290" s="392"/>
      <c r="B290" s="547" t="s">
        <v>50</v>
      </c>
      <c r="C290" s="221" t="s">
        <v>74</v>
      </c>
      <c r="D290" s="222" t="s">
        <v>40</v>
      </c>
      <c r="E290" s="222" t="s">
        <v>32</v>
      </c>
      <c r="F290" s="223" t="s">
        <v>533</v>
      </c>
      <c r="G290" s="35" t="s">
        <v>51</v>
      </c>
      <c r="H290" s="236">
        <f>'прил10 (ведом 23-24)'!M552</f>
        <v>184</v>
      </c>
      <c r="I290" s="236">
        <f>'прил10 (ведом 23-24)'!N552</f>
        <v>191.3</v>
      </c>
    </row>
    <row r="291" spans="1:9" ht="30" customHeight="1" x14ac:dyDescent="0.35">
      <c r="A291" s="392"/>
      <c r="B291" s="403" t="s">
        <v>115</v>
      </c>
      <c r="C291" s="221" t="s">
        <v>74</v>
      </c>
      <c r="D291" s="222" t="s">
        <v>40</v>
      </c>
      <c r="E291" s="222" t="s">
        <v>32</v>
      </c>
      <c r="F291" s="223" t="s">
        <v>533</v>
      </c>
      <c r="G291" s="35" t="s">
        <v>116</v>
      </c>
      <c r="H291" s="236">
        <f>'прил10 (ведом 23-24)'!M553</f>
        <v>36601</v>
      </c>
      <c r="I291" s="236">
        <f>'прил10 (ведом 23-24)'!N553</f>
        <v>38064.199999999997</v>
      </c>
    </row>
    <row r="292" spans="1:9" ht="90" x14ac:dyDescent="0.35">
      <c r="A292" s="392"/>
      <c r="B292" s="403" t="s">
        <v>348</v>
      </c>
      <c r="C292" s="221" t="s">
        <v>74</v>
      </c>
      <c r="D292" s="222" t="s">
        <v>40</v>
      </c>
      <c r="E292" s="222" t="s">
        <v>32</v>
      </c>
      <c r="F292" s="223" t="s">
        <v>535</v>
      </c>
      <c r="G292" s="35"/>
      <c r="H292" s="236">
        <f>SUM(H293:H294)</f>
        <v>1495.2</v>
      </c>
      <c r="I292" s="236">
        <f>SUM(I293:I294)</f>
        <v>1555</v>
      </c>
    </row>
    <row r="293" spans="1:9" ht="36" x14ac:dyDescent="0.35">
      <c r="A293" s="392"/>
      <c r="B293" s="403" t="s">
        <v>50</v>
      </c>
      <c r="C293" s="221" t="s">
        <v>74</v>
      </c>
      <c r="D293" s="222" t="s">
        <v>40</v>
      </c>
      <c r="E293" s="222" t="s">
        <v>32</v>
      </c>
      <c r="F293" s="223" t="s">
        <v>535</v>
      </c>
      <c r="G293" s="35" t="s">
        <v>51</v>
      </c>
      <c r="H293" s="236">
        <f>'прил10 (ведом 23-24)'!M555</f>
        <v>7.5</v>
      </c>
      <c r="I293" s="236">
        <f>'прил10 (ведом 23-24)'!N555</f>
        <v>7.8</v>
      </c>
    </row>
    <row r="294" spans="1:9" ht="26.25" customHeight="1" x14ac:dyDescent="0.35">
      <c r="A294" s="392"/>
      <c r="B294" s="403" t="s">
        <v>115</v>
      </c>
      <c r="C294" s="221" t="s">
        <v>74</v>
      </c>
      <c r="D294" s="222" t="s">
        <v>40</v>
      </c>
      <c r="E294" s="222" t="s">
        <v>32</v>
      </c>
      <c r="F294" s="223" t="s">
        <v>535</v>
      </c>
      <c r="G294" s="35" t="s">
        <v>116</v>
      </c>
      <c r="H294" s="236">
        <f>'прил10 (ведом 23-24)'!M556</f>
        <v>1487.7</v>
      </c>
      <c r="I294" s="236">
        <f>'прил10 (ведом 23-24)'!N556</f>
        <v>1547.2</v>
      </c>
    </row>
    <row r="295" spans="1:9" ht="90" x14ac:dyDescent="0.35">
      <c r="A295" s="392"/>
      <c r="B295" s="403" t="s">
        <v>347</v>
      </c>
      <c r="C295" s="221" t="s">
        <v>74</v>
      </c>
      <c r="D295" s="222" t="s">
        <v>40</v>
      </c>
      <c r="E295" s="222" t="s">
        <v>32</v>
      </c>
      <c r="F295" s="223" t="s">
        <v>534</v>
      </c>
      <c r="G295" s="35"/>
      <c r="H295" s="236">
        <f>SUM(H296:H297)</f>
        <v>27520.6</v>
      </c>
      <c r="I295" s="236">
        <f>SUM(I296:I297)</f>
        <v>27520.6</v>
      </c>
    </row>
    <row r="296" spans="1:9" ht="36" x14ac:dyDescent="0.35">
      <c r="A296" s="392"/>
      <c r="B296" s="547" t="s">
        <v>50</v>
      </c>
      <c r="C296" s="221" t="s">
        <v>74</v>
      </c>
      <c r="D296" s="222" t="s">
        <v>40</v>
      </c>
      <c r="E296" s="222" t="s">
        <v>32</v>
      </c>
      <c r="F296" s="223" t="s">
        <v>534</v>
      </c>
      <c r="G296" s="35" t="s">
        <v>51</v>
      </c>
      <c r="H296" s="236">
        <f>'прил10 (ведом 23-24)'!M558</f>
        <v>137.6</v>
      </c>
      <c r="I296" s="236">
        <f>'прил10 (ведом 23-24)'!N558</f>
        <v>137.6</v>
      </c>
    </row>
    <row r="297" spans="1:9" ht="29.25" customHeight="1" x14ac:dyDescent="0.35">
      <c r="A297" s="392"/>
      <c r="B297" s="403" t="s">
        <v>115</v>
      </c>
      <c r="C297" s="221" t="s">
        <v>74</v>
      </c>
      <c r="D297" s="222" t="s">
        <v>40</v>
      </c>
      <c r="E297" s="222" t="s">
        <v>32</v>
      </c>
      <c r="F297" s="223" t="s">
        <v>534</v>
      </c>
      <c r="G297" s="35" t="s">
        <v>116</v>
      </c>
      <c r="H297" s="236">
        <f>'прил10 (ведом 23-24)'!M559</f>
        <v>27383</v>
      </c>
      <c r="I297" s="236">
        <f>'прил10 (ведом 23-24)'!N559</f>
        <v>27383</v>
      </c>
    </row>
    <row r="298" spans="1:9" ht="108" x14ac:dyDescent="0.35">
      <c r="A298" s="392"/>
      <c r="B298" s="403" t="s">
        <v>354</v>
      </c>
      <c r="C298" s="221" t="s">
        <v>74</v>
      </c>
      <c r="D298" s="222" t="s">
        <v>40</v>
      </c>
      <c r="E298" s="222" t="s">
        <v>32</v>
      </c>
      <c r="F298" s="223" t="s">
        <v>536</v>
      </c>
      <c r="G298" s="35"/>
      <c r="H298" s="236">
        <f>SUM(H299:H300)</f>
        <v>1802.7</v>
      </c>
      <c r="I298" s="236">
        <f>SUM(I299:I300)</f>
        <v>1802.7</v>
      </c>
    </row>
    <row r="299" spans="1:9" ht="36" x14ac:dyDescent="0.35">
      <c r="A299" s="392"/>
      <c r="B299" s="403" t="s">
        <v>50</v>
      </c>
      <c r="C299" s="221" t="s">
        <v>74</v>
      </c>
      <c r="D299" s="222" t="s">
        <v>40</v>
      </c>
      <c r="E299" s="222" t="s">
        <v>32</v>
      </c>
      <c r="F299" s="223" t="s">
        <v>536</v>
      </c>
      <c r="G299" s="35" t="s">
        <v>51</v>
      </c>
      <c r="H299" s="236">
        <f>'прил10 (ведом 23-24)'!M561</f>
        <v>9</v>
      </c>
      <c r="I299" s="236">
        <f>'прил10 (ведом 23-24)'!N561</f>
        <v>9</v>
      </c>
    </row>
    <row r="300" spans="1:9" ht="25.5" customHeight="1" x14ac:dyDescent="0.35">
      <c r="A300" s="392"/>
      <c r="B300" s="403" t="s">
        <v>115</v>
      </c>
      <c r="C300" s="221" t="s">
        <v>74</v>
      </c>
      <c r="D300" s="222" t="s">
        <v>40</v>
      </c>
      <c r="E300" s="222" t="s">
        <v>32</v>
      </c>
      <c r="F300" s="223" t="s">
        <v>536</v>
      </c>
      <c r="G300" s="35" t="s">
        <v>116</v>
      </c>
      <c r="H300" s="236">
        <f>'прил10 (ведом 23-24)'!M562</f>
        <v>1793.7</v>
      </c>
      <c r="I300" s="236">
        <f>'прил10 (ведом 23-24)'!N562</f>
        <v>1793.7</v>
      </c>
    </row>
    <row r="301" spans="1:9" ht="72" x14ac:dyDescent="0.35">
      <c r="A301" s="392"/>
      <c r="B301" s="448" t="s">
        <v>289</v>
      </c>
      <c r="C301" s="474" t="s">
        <v>74</v>
      </c>
      <c r="D301" s="475" t="s">
        <v>40</v>
      </c>
      <c r="E301" s="475" t="s">
        <v>34</v>
      </c>
      <c r="F301" s="476" t="s">
        <v>39</v>
      </c>
      <c r="G301" s="477"/>
      <c r="H301" s="236">
        <f>H302+H304</f>
        <v>47267.9</v>
      </c>
      <c r="I301" s="236">
        <f>I302+I304</f>
        <v>47267.9</v>
      </c>
    </row>
    <row r="302" spans="1:9" ht="94.5" customHeight="1" x14ac:dyDescent="0.35">
      <c r="A302" s="392"/>
      <c r="B302" s="424" t="s">
        <v>405</v>
      </c>
      <c r="C302" s="404" t="s">
        <v>74</v>
      </c>
      <c r="D302" s="405" t="s">
        <v>40</v>
      </c>
      <c r="E302" s="405" t="s">
        <v>34</v>
      </c>
      <c r="F302" s="406" t="s">
        <v>406</v>
      </c>
      <c r="G302" s="407"/>
      <c r="H302" s="236">
        <f>H303</f>
        <v>39126.1</v>
      </c>
      <c r="I302" s="236">
        <f>I303</f>
        <v>39126.1</v>
      </c>
    </row>
    <row r="303" spans="1:9" ht="36" x14ac:dyDescent="0.35">
      <c r="A303" s="392"/>
      <c r="B303" s="424" t="s">
        <v>198</v>
      </c>
      <c r="C303" s="404" t="s">
        <v>74</v>
      </c>
      <c r="D303" s="405" t="s">
        <v>40</v>
      </c>
      <c r="E303" s="405" t="s">
        <v>34</v>
      </c>
      <c r="F303" s="406" t="s">
        <v>406</v>
      </c>
      <c r="G303" s="407" t="s">
        <v>199</v>
      </c>
      <c r="H303" s="236">
        <f>'прил10 (ведом 23-24)'!M260</f>
        <v>39126.1</v>
      </c>
      <c r="I303" s="236">
        <f>'прил10 (ведом 23-24)'!N260</f>
        <v>39126.1</v>
      </c>
    </row>
    <row r="304" spans="1:9" ht="90" x14ac:dyDescent="0.35">
      <c r="A304" s="392"/>
      <c r="B304" s="107" t="s">
        <v>405</v>
      </c>
      <c r="C304" s="82" t="s">
        <v>74</v>
      </c>
      <c r="D304" s="83" t="s">
        <v>40</v>
      </c>
      <c r="E304" s="83" t="s">
        <v>34</v>
      </c>
      <c r="F304" s="108" t="s">
        <v>544</v>
      </c>
      <c r="G304" s="85"/>
      <c r="H304" s="236">
        <f>H305</f>
        <v>8141.8</v>
      </c>
      <c r="I304" s="236">
        <f>I305</f>
        <v>8141.8</v>
      </c>
    </row>
    <row r="305" spans="1:9" ht="36" x14ac:dyDescent="0.35">
      <c r="A305" s="392"/>
      <c r="B305" s="107" t="s">
        <v>198</v>
      </c>
      <c r="C305" s="82" t="s">
        <v>74</v>
      </c>
      <c r="D305" s="83" t="s">
        <v>40</v>
      </c>
      <c r="E305" s="83" t="s">
        <v>34</v>
      </c>
      <c r="F305" s="108" t="s">
        <v>544</v>
      </c>
      <c r="G305" s="85" t="s">
        <v>199</v>
      </c>
      <c r="H305" s="236">
        <f>'прил10 (ведом 23-24)'!M262</f>
        <v>8141.8</v>
      </c>
      <c r="I305" s="236">
        <f>'прил10 (ведом 23-24)'!N262</f>
        <v>8141.8</v>
      </c>
    </row>
    <row r="306" spans="1:9" ht="36" x14ac:dyDescent="0.35">
      <c r="A306" s="392"/>
      <c r="B306" s="403" t="s">
        <v>224</v>
      </c>
      <c r="C306" s="221" t="s">
        <v>74</v>
      </c>
      <c r="D306" s="222" t="s">
        <v>40</v>
      </c>
      <c r="E306" s="222" t="s">
        <v>58</v>
      </c>
      <c r="F306" s="223" t="s">
        <v>39</v>
      </c>
      <c r="G306" s="35"/>
      <c r="H306" s="236">
        <f>H307+H310+H313</f>
        <v>7895</v>
      </c>
      <c r="I306" s="236">
        <f>I307+I310+I313</f>
        <v>7895</v>
      </c>
    </row>
    <row r="307" spans="1:9" ht="234" x14ac:dyDescent="0.35">
      <c r="A307" s="392"/>
      <c r="B307" s="403" t="s">
        <v>227</v>
      </c>
      <c r="C307" s="221" t="s">
        <v>74</v>
      </c>
      <c r="D307" s="222" t="s">
        <v>40</v>
      </c>
      <c r="E307" s="222" t="s">
        <v>58</v>
      </c>
      <c r="F307" s="223" t="s">
        <v>537</v>
      </c>
      <c r="G307" s="35"/>
      <c r="H307" s="236">
        <f>SUM(H308:H309)</f>
        <v>905.8</v>
      </c>
      <c r="I307" s="236">
        <f>SUM(I308:I309)</f>
        <v>905.8</v>
      </c>
    </row>
    <row r="308" spans="1:9" ht="90" x14ac:dyDescent="0.35">
      <c r="A308" s="392"/>
      <c r="B308" s="403" t="s">
        <v>44</v>
      </c>
      <c r="C308" s="221" t="s">
        <v>74</v>
      </c>
      <c r="D308" s="222" t="s">
        <v>40</v>
      </c>
      <c r="E308" s="222" t="s">
        <v>58</v>
      </c>
      <c r="F308" s="223" t="s">
        <v>537</v>
      </c>
      <c r="G308" s="35" t="s">
        <v>45</v>
      </c>
      <c r="H308" s="236">
        <f>'прил10 (ведом 23-24)'!M568</f>
        <v>845.8</v>
      </c>
      <c r="I308" s="236">
        <f>'прил10 (ведом 23-24)'!N568</f>
        <v>845.8</v>
      </c>
    </row>
    <row r="309" spans="1:9" ht="36" x14ac:dyDescent="0.35">
      <c r="A309" s="392"/>
      <c r="B309" s="403" t="s">
        <v>50</v>
      </c>
      <c r="C309" s="221" t="s">
        <v>74</v>
      </c>
      <c r="D309" s="222" t="s">
        <v>40</v>
      </c>
      <c r="E309" s="222" t="s">
        <v>58</v>
      </c>
      <c r="F309" s="223" t="s">
        <v>537</v>
      </c>
      <c r="G309" s="35" t="s">
        <v>51</v>
      </c>
      <c r="H309" s="236">
        <f>'прил10 (ведом 23-24)'!M569</f>
        <v>60</v>
      </c>
      <c r="I309" s="236">
        <f>'прил10 (ведом 23-24)'!N569</f>
        <v>60</v>
      </c>
    </row>
    <row r="310" spans="1:9" ht="90" x14ac:dyDescent="0.35">
      <c r="A310" s="392"/>
      <c r="B310" s="59" t="s">
        <v>434</v>
      </c>
      <c r="C310" s="221" t="s">
        <v>74</v>
      </c>
      <c r="D310" s="222" t="s">
        <v>40</v>
      </c>
      <c r="E310" s="222" t="s">
        <v>58</v>
      </c>
      <c r="F310" s="223" t="s">
        <v>531</v>
      </c>
      <c r="G310" s="35"/>
      <c r="H310" s="236">
        <f>SUM(H311:H312)</f>
        <v>662.2</v>
      </c>
      <c r="I310" s="236">
        <f>SUM(I311:I312)</f>
        <v>662.2</v>
      </c>
    </row>
    <row r="311" spans="1:9" ht="90" x14ac:dyDescent="0.35">
      <c r="A311" s="392"/>
      <c r="B311" s="403" t="s">
        <v>44</v>
      </c>
      <c r="C311" s="221" t="s">
        <v>74</v>
      </c>
      <c r="D311" s="222" t="s">
        <v>40</v>
      </c>
      <c r="E311" s="222" t="s">
        <v>58</v>
      </c>
      <c r="F311" s="223" t="s">
        <v>531</v>
      </c>
      <c r="G311" s="35" t="s">
        <v>45</v>
      </c>
      <c r="H311" s="236">
        <f>'прил10 (ведом 23-24)'!M571</f>
        <v>632.20000000000005</v>
      </c>
      <c r="I311" s="236">
        <f>'прил10 (ведом 23-24)'!N571</f>
        <v>632.20000000000005</v>
      </c>
    </row>
    <row r="312" spans="1:9" ht="36" x14ac:dyDescent="0.35">
      <c r="A312" s="392"/>
      <c r="B312" s="403" t="s">
        <v>50</v>
      </c>
      <c r="C312" s="221" t="s">
        <v>74</v>
      </c>
      <c r="D312" s="222" t="s">
        <v>40</v>
      </c>
      <c r="E312" s="222" t="s">
        <v>58</v>
      </c>
      <c r="F312" s="223" t="s">
        <v>531</v>
      </c>
      <c r="G312" s="35" t="s">
        <v>51</v>
      </c>
      <c r="H312" s="236">
        <f>'прил10 (ведом 23-24)'!M572</f>
        <v>30</v>
      </c>
      <c r="I312" s="236">
        <f>'прил10 (ведом 23-24)'!N572</f>
        <v>30</v>
      </c>
    </row>
    <row r="313" spans="1:9" ht="72" x14ac:dyDescent="0.35">
      <c r="A313" s="392"/>
      <c r="B313" s="403" t="s">
        <v>226</v>
      </c>
      <c r="C313" s="221" t="s">
        <v>74</v>
      </c>
      <c r="D313" s="222" t="s">
        <v>40</v>
      </c>
      <c r="E313" s="222" t="s">
        <v>58</v>
      </c>
      <c r="F313" s="223" t="s">
        <v>532</v>
      </c>
      <c r="G313" s="35"/>
      <c r="H313" s="236">
        <f>H314+H315</f>
        <v>6327</v>
      </c>
      <c r="I313" s="236">
        <f>I314+I315</f>
        <v>6327</v>
      </c>
    </row>
    <row r="314" spans="1:9" ht="90" x14ac:dyDescent="0.35">
      <c r="A314" s="392"/>
      <c r="B314" s="403" t="s">
        <v>44</v>
      </c>
      <c r="C314" s="221" t="s">
        <v>74</v>
      </c>
      <c r="D314" s="222" t="s">
        <v>40</v>
      </c>
      <c r="E314" s="222" t="s">
        <v>58</v>
      </c>
      <c r="F314" s="223" t="s">
        <v>532</v>
      </c>
      <c r="G314" s="35" t="s">
        <v>45</v>
      </c>
      <c r="H314" s="236">
        <f>'прил10 (ведом 23-24)'!M574</f>
        <v>5967</v>
      </c>
      <c r="I314" s="236">
        <f>'прил10 (ведом 23-24)'!N574</f>
        <v>5967</v>
      </c>
    </row>
    <row r="315" spans="1:9" ht="36" x14ac:dyDescent="0.35">
      <c r="A315" s="392"/>
      <c r="B315" s="403" t="s">
        <v>50</v>
      </c>
      <c r="C315" s="548" t="s">
        <v>74</v>
      </c>
      <c r="D315" s="549" t="s">
        <v>40</v>
      </c>
      <c r="E315" s="549" t="s">
        <v>58</v>
      </c>
      <c r="F315" s="223" t="s">
        <v>532</v>
      </c>
      <c r="G315" s="35" t="s">
        <v>51</v>
      </c>
      <c r="H315" s="236">
        <f>'прил10 (ведом 23-24)'!M575</f>
        <v>360</v>
      </c>
      <c r="I315" s="236">
        <f>'прил10 (ведом 23-24)'!N575</f>
        <v>360</v>
      </c>
    </row>
    <row r="316" spans="1:9" ht="77.25" customHeight="1" x14ac:dyDescent="0.35">
      <c r="A316" s="392"/>
      <c r="B316" s="430" t="s">
        <v>425</v>
      </c>
      <c r="C316" s="221" t="s">
        <v>74</v>
      </c>
      <c r="D316" s="222" t="s">
        <v>40</v>
      </c>
      <c r="E316" s="222" t="s">
        <v>47</v>
      </c>
      <c r="F316" s="223" t="s">
        <v>39</v>
      </c>
      <c r="G316" s="35"/>
      <c r="H316" s="236">
        <f>H317</f>
        <v>504</v>
      </c>
      <c r="I316" s="236">
        <f>I317</f>
        <v>504</v>
      </c>
    </row>
    <row r="317" spans="1:9" ht="72" x14ac:dyDescent="0.35">
      <c r="A317" s="392"/>
      <c r="B317" s="430" t="s">
        <v>420</v>
      </c>
      <c r="C317" s="221" t="s">
        <v>74</v>
      </c>
      <c r="D317" s="222" t="s">
        <v>40</v>
      </c>
      <c r="E317" s="222" t="s">
        <v>47</v>
      </c>
      <c r="F317" s="223" t="s">
        <v>345</v>
      </c>
      <c r="G317" s="35"/>
      <c r="H317" s="236">
        <f>H318</f>
        <v>504</v>
      </c>
      <c r="I317" s="236">
        <f>I318</f>
        <v>504</v>
      </c>
    </row>
    <row r="318" spans="1:9" ht="26.25" customHeight="1" x14ac:dyDescent="0.35">
      <c r="A318" s="392"/>
      <c r="B318" s="416" t="s">
        <v>115</v>
      </c>
      <c r="C318" s="221" t="s">
        <v>74</v>
      </c>
      <c r="D318" s="222" t="s">
        <v>40</v>
      </c>
      <c r="E318" s="222" t="s">
        <v>47</v>
      </c>
      <c r="F318" s="223" t="s">
        <v>345</v>
      </c>
      <c r="G318" s="35" t="s">
        <v>116</v>
      </c>
      <c r="H318" s="236">
        <f>'прил10 (ведом 23-24)'!M164</f>
        <v>504</v>
      </c>
      <c r="I318" s="236">
        <f>'прил10 (ведом 23-24)'!N164</f>
        <v>504</v>
      </c>
    </row>
    <row r="319" spans="1:9" ht="18" x14ac:dyDescent="0.35">
      <c r="A319" s="392"/>
      <c r="B319" s="416"/>
      <c r="C319" s="222"/>
      <c r="D319" s="222"/>
      <c r="E319" s="222"/>
      <c r="F319" s="223"/>
      <c r="G319" s="35"/>
      <c r="H319" s="236"/>
      <c r="I319" s="236"/>
    </row>
    <row r="320" spans="1:9" ht="69.599999999999994" x14ac:dyDescent="0.3">
      <c r="A320" s="412">
        <v>9</v>
      </c>
      <c r="B320" s="478" t="s">
        <v>321</v>
      </c>
      <c r="C320" s="479" t="s">
        <v>99</v>
      </c>
      <c r="D320" s="480" t="s">
        <v>37</v>
      </c>
      <c r="E320" s="480" t="s">
        <v>38</v>
      </c>
      <c r="F320" s="481" t="s">
        <v>39</v>
      </c>
      <c r="G320" s="482"/>
      <c r="H320" s="283">
        <f>H321</f>
        <v>3516.2</v>
      </c>
      <c r="I320" s="283">
        <f>I321</f>
        <v>0</v>
      </c>
    </row>
    <row r="321" spans="1:9" ht="54" x14ac:dyDescent="0.35">
      <c r="A321" s="392"/>
      <c r="B321" s="234" t="s">
        <v>477</v>
      </c>
      <c r="C321" s="221" t="s">
        <v>99</v>
      </c>
      <c r="D321" s="222" t="s">
        <v>29</v>
      </c>
      <c r="E321" s="222" t="s">
        <v>38</v>
      </c>
      <c r="F321" s="223" t="s">
        <v>39</v>
      </c>
      <c r="G321" s="35"/>
      <c r="H321" s="236">
        <f t="shared" ref="H321:I323" si="7">H322</f>
        <v>3516.2</v>
      </c>
      <c r="I321" s="236">
        <f t="shared" si="7"/>
        <v>0</v>
      </c>
    </row>
    <row r="322" spans="1:9" ht="36" x14ac:dyDescent="0.35">
      <c r="A322" s="392"/>
      <c r="B322" s="234" t="s">
        <v>478</v>
      </c>
      <c r="C322" s="221" t="s">
        <v>99</v>
      </c>
      <c r="D322" s="222" t="s">
        <v>29</v>
      </c>
      <c r="E322" s="222" t="s">
        <v>32</v>
      </c>
      <c r="F322" s="223" t="s">
        <v>39</v>
      </c>
      <c r="G322" s="35"/>
      <c r="H322" s="236">
        <f t="shared" si="7"/>
        <v>3516.2</v>
      </c>
      <c r="I322" s="236">
        <f t="shared" si="7"/>
        <v>0</v>
      </c>
    </row>
    <row r="323" spans="1:9" ht="36" x14ac:dyDescent="0.35">
      <c r="A323" s="392"/>
      <c r="B323" s="234" t="s">
        <v>479</v>
      </c>
      <c r="C323" s="221" t="s">
        <v>99</v>
      </c>
      <c r="D323" s="222" t="s">
        <v>29</v>
      </c>
      <c r="E323" s="222" t="s">
        <v>32</v>
      </c>
      <c r="F323" s="223" t="s">
        <v>480</v>
      </c>
      <c r="G323" s="35"/>
      <c r="H323" s="236">
        <f t="shared" si="7"/>
        <v>3516.2</v>
      </c>
      <c r="I323" s="236">
        <f t="shared" si="7"/>
        <v>0</v>
      </c>
    </row>
    <row r="324" spans="1:9" ht="36" x14ac:dyDescent="0.35">
      <c r="A324" s="392"/>
      <c r="B324" s="234" t="s">
        <v>50</v>
      </c>
      <c r="C324" s="221" t="s">
        <v>99</v>
      </c>
      <c r="D324" s="222" t="s">
        <v>29</v>
      </c>
      <c r="E324" s="222" t="s">
        <v>32</v>
      </c>
      <c r="F324" s="223" t="s">
        <v>480</v>
      </c>
      <c r="G324" s="35" t="s">
        <v>51</v>
      </c>
      <c r="H324" s="236">
        <f>'прил10 (ведом 23-24)'!M157</f>
        <v>3516.2</v>
      </c>
      <c r="I324" s="236">
        <f>'прил10 (ведом 23-24)'!N157</f>
        <v>0</v>
      </c>
    </row>
    <row r="325" spans="1:9" ht="18" x14ac:dyDescent="0.35">
      <c r="A325" s="392"/>
      <c r="B325" s="416"/>
      <c r="C325" s="222"/>
      <c r="D325" s="222"/>
      <c r="E325" s="222"/>
      <c r="F325" s="223"/>
      <c r="G325" s="35"/>
      <c r="H325" s="236"/>
      <c r="I325" s="236"/>
    </row>
    <row r="326" spans="1:9" s="402" customFormat="1" ht="52.2" x14ac:dyDescent="0.3">
      <c r="A326" s="412">
        <v>10</v>
      </c>
      <c r="B326" s="423" t="s">
        <v>89</v>
      </c>
      <c r="C326" s="413" t="s">
        <v>62</v>
      </c>
      <c r="D326" s="413" t="s">
        <v>37</v>
      </c>
      <c r="E326" s="413" t="s">
        <v>38</v>
      </c>
      <c r="F326" s="414" t="s">
        <v>39</v>
      </c>
      <c r="G326" s="483"/>
      <c r="H326" s="283">
        <f>H327</f>
        <v>12695.300000000001</v>
      </c>
      <c r="I326" s="283">
        <f>I327</f>
        <v>17253.900000000001</v>
      </c>
    </row>
    <row r="327" spans="1:9" ht="18.75" customHeight="1" x14ac:dyDescent="0.35">
      <c r="A327" s="392"/>
      <c r="B327" s="403" t="s">
        <v>328</v>
      </c>
      <c r="C327" s="221" t="s">
        <v>62</v>
      </c>
      <c r="D327" s="222" t="s">
        <v>40</v>
      </c>
      <c r="E327" s="222" t="s">
        <v>38</v>
      </c>
      <c r="F327" s="223" t="s">
        <v>39</v>
      </c>
      <c r="G327" s="420"/>
      <c r="H327" s="236">
        <f>H328+H331</f>
        <v>12695.300000000001</v>
      </c>
      <c r="I327" s="236">
        <f>I328+I331</f>
        <v>17253.900000000001</v>
      </c>
    </row>
    <row r="328" spans="1:9" ht="36" x14ac:dyDescent="0.35">
      <c r="A328" s="392"/>
      <c r="B328" s="403" t="s">
        <v>90</v>
      </c>
      <c r="C328" s="221" t="s">
        <v>62</v>
      </c>
      <c r="D328" s="222" t="s">
        <v>40</v>
      </c>
      <c r="E328" s="222" t="s">
        <v>32</v>
      </c>
      <c r="F328" s="223" t="s">
        <v>39</v>
      </c>
      <c r="G328" s="420"/>
      <c r="H328" s="236">
        <f>H329</f>
        <v>11070.6</v>
      </c>
      <c r="I328" s="236">
        <f>I329</f>
        <v>15776.9</v>
      </c>
    </row>
    <row r="329" spans="1:9" ht="54" x14ac:dyDescent="0.35">
      <c r="A329" s="392"/>
      <c r="B329" s="484" t="s">
        <v>397</v>
      </c>
      <c r="C329" s="221" t="s">
        <v>62</v>
      </c>
      <c r="D329" s="222" t="s">
        <v>40</v>
      </c>
      <c r="E329" s="222" t="s">
        <v>32</v>
      </c>
      <c r="F329" s="223" t="s">
        <v>56</v>
      </c>
      <c r="G329" s="35"/>
      <c r="H329" s="236">
        <f>H330</f>
        <v>11070.6</v>
      </c>
      <c r="I329" s="236">
        <f>I330</f>
        <v>15776.9</v>
      </c>
    </row>
    <row r="330" spans="1:9" ht="18" x14ac:dyDescent="0.35">
      <c r="A330" s="392"/>
      <c r="B330" s="403" t="s">
        <v>52</v>
      </c>
      <c r="C330" s="221" t="s">
        <v>62</v>
      </c>
      <c r="D330" s="222" t="s">
        <v>40</v>
      </c>
      <c r="E330" s="222" t="s">
        <v>32</v>
      </c>
      <c r="F330" s="223" t="s">
        <v>56</v>
      </c>
      <c r="G330" s="35" t="s">
        <v>53</v>
      </c>
      <c r="H330" s="236">
        <f>'прил10 (ведом 23-24)'!M117</f>
        <v>11070.6</v>
      </c>
      <c r="I330" s="236">
        <f>'прил10 (ведом 23-24)'!N117</f>
        <v>15776.9</v>
      </c>
    </row>
    <row r="331" spans="1:9" ht="54" x14ac:dyDescent="0.35">
      <c r="A331" s="392"/>
      <c r="B331" s="403" t="s">
        <v>91</v>
      </c>
      <c r="C331" s="221" t="s">
        <v>62</v>
      </c>
      <c r="D331" s="222" t="s">
        <v>40</v>
      </c>
      <c r="E331" s="222" t="s">
        <v>34</v>
      </c>
      <c r="F331" s="223" t="s">
        <v>39</v>
      </c>
      <c r="G331" s="35"/>
      <c r="H331" s="236">
        <f>H332</f>
        <v>1624.7</v>
      </c>
      <c r="I331" s="236">
        <f>I332</f>
        <v>1477</v>
      </c>
    </row>
    <row r="332" spans="1:9" ht="162" x14ac:dyDescent="0.35">
      <c r="A332" s="392"/>
      <c r="B332" s="234" t="s">
        <v>514</v>
      </c>
      <c r="C332" s="221" t="s">
        <v>62</v>
      </c>
      <c r="D332" s="222" t="s">
        <v>40</v>
      </c>
      <c r="E332" s="222" t="s">
        <v>34</v>
      </c>
      <c r="F332" s="223" t="s">
        <v>92</v>
      </c>
      <c r="G332" s="35"/>
      <c r="H332" s="236">
        <f>H333</f>
        <v>1624.7</v>
      </c>
      <c r="I332" s="236">
        <f>I333</f>
        <v>1477</v>
      </c>
    </row>
    <row r="333" spans="1:9" ht="36" x14ac:dyDescent="0.35">
      <c r="A333" s="392"/>
      <c r="B333" s="403" t="s">
        <v>50</v>
      </c>
      <c r="C333" s="221" t="s">
        <v>62</v>
      </c>
      <c r="D333" s="222" t="s">
        <v>40</v>
      </c>
      <c r="E333" s="222" t="s">
        <v>34</v>
      </c>
      <c r="F333" s="223" t="s">
        <v>92</v>
      </c>
      <c r="G333" s="35" t="s">
        <v>51</v>
      </c>
      <c r="H333" s="236">
        <f>'прил10 (ведом 23-24)'!M120</f>
        <v>1624.7</v>
      </c>
      <c r="I333" s="236">
        <f>'прил10 (ведом 23-24)'!N120</f>
        <v>1477</v>
      </c>
    </row>
    <row r="334" spans="1:9" ht="18" x14ac:dyDescent="0.35">
      <c r="A334" s="392"/>
      <c r="B334" s="411"/>
      <c r="C334" s="565"/>
      <c r="D334" s="565"/>
      <c r="E334" s="565"/>
      <c r="F334" s="566"/>
      <c r="G334" s="258"/>
      <c r="H334" s="236"/>
      <c r="I334" s="236"/>
    </row>
    <row r="335" spans="1:9" s="402" customFormat="1" ht="52.2" x14ac:dyDescent="0.3">
      <c r="A335" s="412">
        <v>11</v>
      </c>
      <c r="B335" s="423" t="s">
        <v>94</v>
      </c>
      <c r="C335" s="413" t="s">
        <v>95</v>
      </c>
      <c r="D335" s="413" t="s">
        <v>37</v>
      </c>
      <c r="E335" s="413" t="s">
        <v>38</v>
      </c>
      <c r="F335" s="414" t="s">
        <v>39</v>
      </c>
      <c r="G335" s="401"/>
      <c r="H335" s="283">
        <f t="shared" ref="H335:I338" si="8">H336</f>
        <v>6443.4</v>
      </c>
      <c r="I335" s="283">
        <f t="shared" si="8"/>
        <v>6701.1</v>
      </c>
    </row>
    <row r="336" spans="1:9" s="402" customFormat="1" ht="19.5" customHeight="1" x14ac:dyDescent="0.35">
      <c r="A336" s="392"/>
      <c r="B336" s="403" t="s">
        <v>328</v>
      </c>
      <c r="C336" s="221" t="s">
        <v>95</v>
      </c>
      <c r="D336" s="222" t="s">
        <v>40</v>
      </c>
      <c r="E336" s="222" t="s">
        <v>38</v>
      </c>
      <c r="F336" s="223" t="s">
        <v>39</v>
      </c>
      <c r="G336" s="35"/>
      <c r="H336" s="236">
        <f t="shared" si="8"/>
        <v>6443.4</v>
      </c>
      <c r="I336" s="236">
        <f t="shared" si="8"/>
        <v>6701.1</v>
      </c>
    </row>
    <row r="337" spans="1:9" s="402" customFormat="1" ht="72" x14ac:dyDescent="0.35">
      <c r="A337" s="392"/>
      <c r="B337" s="403" t="s">
        <v>96</v>
      </c>
      <c r="C337" s="221" t="s">
        <v>95</v>
      </c>
      <c r="D337" s="222" t="s">
        <v>40</v>
      </c>
      <c r="E337" s="222" t="s">
        <v>32</v>
      </c>
      <c r="F337" s="223" t="s">
        <v>39</v>
      </c>
      <c r="G337" s="35"/>
      <c r="H337" s="236">
        <f t="shared" si="8"/>
        <v>6443.4</v>
      </c>
      <c r="I337" s="236">
        <f t="shared" si="8"/>
        <v>6701.1</v>
      </c>
    </row>
    <row r="338" spans="1:9" s="402" customFormat="1" ht="72" x14ac:dyDescent="0.35">
      <c r="A338" s="392"/>
      <c r="B338" s="415" t="s">
        <v>97</v>
      </c>
      <c r="C338" s="221" t="s">
        <v>95</v>
      </c>
      <c r="D338" s="222" t="s">
        <v>40</v>
      </c>
      <c r="E338" s="222" t="s">
        <v>32</v>
      </c>
      <c r="F338" s="223" t="s">
        <v>98</v>
      </c>
      <c r="G338" s="35"/>
      <c r="H338" s="236">
        <f t="shared" si="8"/>
        <v>6443.4</v>
      </c>
      <c r="I338" s="236">
        <f t="shared" si="8"/>
        <v>6701.1</v>
      </c>
    </row>
    <row r="339" spans="1:9" ht="36" x14ac:dyDescent="0.35">
      <c r="A339" s="392"/>
      <c r="B339" s="403" t="s">
        <v>50</v>
      </c>
      <c r="C339" s="221" t="s">
        <v>95</v>
      </c>
      <c r="D339" s="222" t="s">
        <v>40</v>
      </c>
      <c r="E339" s="222" t="s">
        <v>32</v>
      </c>
      <c r="F339" s="223" t="s">
        <v>98</v>
      </c>
      <c r="G339" s="35" t="s">
        <v>51</v>
      </c>
      <c r="H339" s="236">
        <f>'прил10 (ведом 23-24)'!M126</f>
        <v>6443.4</v>
      </c>
      <c r="I339" s="236">
        <f>'прил10 (ведом 23-24)'!N126</f>
        <v>6701.1</v>
      </c>
    </row>
    <row r="340" spans="1:9" ht="18" x14ac:dyDescent="0.35">
      <c r="A340" s="392"/>
      <c r="B340" s="403"/>
      <c r="C340" s="222"/>
      <c r="D340" s="222"/>
      <c r="E340" s="222"/>
      <c r="F340" s="223"/>
      <c r="G340" s="35"/>
      <c r="H340" s="236"/>
      <c r="I340" s="236"/>
    </row>
    <row r="341" spans="1:9" ht="69.599999999999994" x14ac:dyDescent="0.3">
      <c r="A341" s="412">
        <v>12</v>
      </c>
      <c r="B341" s="485" t="s">
        <v>102</v>
      </c>
      <c r="C341" s="486" t="s">
        <v>66</v>
      </c>
      <c r="D341" s="487" t="s">
        <v>37</v>
      </c>
      <c r="E341" s="487" t="s">
        <v>38</v>
      </c>
      <c r="F341" s="488" t="s">
        <v>39</v>
      </c>
      <c r="G341" s="160"/>
      <c r="H341" s="283">
        <f>H346+H342</f>
        <v>1025.0999999999999</v>
      </c>
      <c r="I341" s="283">
        <f>I346+I342</f>
        <v>1025.0999999999999</v>
      </c>
    </row>
    <row r="342" spans="1:9" ht="36" x14ac:dyDescent="0.35">
      <c r="A342" s="412"/>
      <c r="B342" s="431" t="s">
        <v>103</v>
      </c>
      <c r="C342" s="221" t="s">
        <v>66</v>
      </c>
      <c r="D342" s="222" t="s">
        <v>40</v>
      </c>
      <c r="E342" s="222" t="s">
        <v>38</v>
      </c>
      <c r="F342" s="223" t="s">
        <v>39</v>
      </c>
      <c r="G342" s="35"/>
      <c r="H342" s="236">
        <f t="shared" ref="H342:H343" si="9">H343</f>
        <v>310</v>
      </c>
      <c r="I342" s="236">
        <f t="shared" ref="I342:I343" si="10">I343</f>
        <v>310</v>
      </c>
    </row>
    <row r="343" spans="1:9" ht="36" x14ac:dyDescent="0.35">
      <c r="A343" s="412"/>
      <c r="B343" s="234" t="s">
        <v>104</v>
      </c>
      <c r="C343" s="221" t="s">
        <v>66</v>
      </c>
      <c r="D343" s="222" t="s">
        <v>40</v>
      </c>
      <c r="E343" s="222" t="s">
        <v>32</v>
      </c>
      <c r="F343" s="223" t="s">
        <v>39</v>
      </c>
      <c r="G343" s="35"/>
      <c r="H343" s="236">
        <f t="shared" si="9"/>
        <v>310</v>
      </c>
      <c r="I343" s="236">
        <f t="shared" si="10"/>
        <v>310</v>
      </c>
    </row>
    <row r="344" spans="1:9" ht="36" x14ac:dyDescent="0.35">
      <c r="A344" s="412"/>
      <c r="B344" s="431" t="s">
        <v>105</v>
      </c>
      <c r="C344" s="221" t="s">
        <v>66</v>
      </c>
      <c r="D344" s="222" t="s">
        <v>40</v>
      </c>
      <c r="E344" s="222" t="s">
        <v>32</v>
      </c>
      <c r="F344" s="223" t="s">
        <v>106</v>
      </c>
      <c r="G344" s="35"/>
      <c r="H344" s="236">
        <f>H345</f>
        <v>310</v>
      </c>
      <c r="I344" s="236">
        <f>I345</f>
        <v>310</v>
      </c>
    </row>
    <row r="345" spans="1:9" ht="36" x14ac:dyDescent="0.35">
      <c r="A345" s="412"/>
      <c r="B345" s="234" t="s">
        <v>50</v>
      </c>
      <c r="C345" s="221" t="s">
        <v>66</v>
      </c>
      <c r="D345" s="222" t="s">
        <v>40</v>
      </c>
      <c r="E345" s="222" t="s">
        <v>32</v>
      </c>
      <c r="F345" s="223" t="s">
        <v>106</v>
      </c>
      <c r="G345" s="35" t="s">
        <v>51</v>
      </c>
      <c r="H345" s="236">
        <f>'прил10 (ведом 23-24)'!M132</f>
        <v>310</v>
      </c>
      <c r="I345" s="236">
        <f>'прил10 (ведом 23-24)'!N132</f>
        <v>310</v>
      </c>
    </row>
    <row r="346" spans="1:9" ht="36" x14ac:dyDescent="0.35">
      <c r="A346" s="392"/>
      <c r="B346" s="431" t="s">
        <v>107</v>
      </c>
      <c r="C346" s="221" t="s">
        <v>66</v>
      </c>
      <c r="D346" s="222" t="s">
        <v>84</v>
      </c>
      <c r="E346" s="222" t="s">
        <v>38</v>
      </c>
      <c r="F346" s="223" t="s">
        <v>39</v>
      </c>
      <c r="G346" s="35"/>
      <c r="H346" s="236">
        <f t="shared" ref="H346:I348" si="11">H347</f>
        <v>715.1</v>
      </c>
      <c r="I346" s="236">
        <f t="shared" si="11"/>
        <v>715.1</v>
      </c>
    </row>
    <row r="347" spans="1:9" ht="36" x14ac:dyDescent="0.35">
      <c r="A347" s="392"/>
      <c r="B347" s="431" t="s">
        <v>108</v>
      </c>
      <c r="C347" s="221" t="s">
        <v>66</v>
      </c>
      <c r="D347" s="222" t="s">
        <v>84</v>
      </c>
      <c r="E347" s="222" t="s">
        <v>32</v>
      </c>
      <c r="F347" s="223" t="s">
        <v>39</v>
      </c>
      <c r="G347" s="35"/>
      <c r="H347" s="236">
        <f t="shared" si="11"/>
        <v>715.1</v>
      </c>
      <c r="I347" s="236">
        <f t="shared" si="11"/>
        <v>715.1</v>
      </c>
    </row>
    <row r="348" spans="1:9" ht="72" x14ac:dyDescent="0.35">
      <c r="A348" s="392"/>
      <c r="B348" s="431" t="s">
        <v>109</v>
      </c>
      <c r="C348" s="221" t="s">
        <v>66</v>
      </c>
      <c r="D348" s="222" t="s">
        <v>84</v>
      </c>
      <c r="E348" s="222" t="s">
        <v>32</v>
      </c>
      <c r="F348" s="223" t="s">
        <v>110</v>
      </c>
      <c r="G348" s="35"/>
      <c r="H348" s="236">
        <f t="shared" si="11"/>
        <v>715.1</v>
      </c>
      <c r="I348" s="236">
        <f t="shared" si="11"/>
        <v>715.1</v>
      </c>
    </row>
    <row r="349" spans="1:9" ht="36" x14ac:dyDescent="0.35">
      <c r="A349" s="392"/>
      <c r="B349" s="234" t="s">
        <v>50</v>
      </c>
      <c r="C349" s="221" t="s">
        <v>66</v>
      </c>
      <c r="D349" s="222" t="s">
        <v>84</v>
      </c>
      <c r="E349" s="222" t="s">
        <v>32</v>
      </c>
      <c r="F349" s="223" t="s">
        <v>110</v>
      </c>
      <c r="G349" s="35" t="s">
        <v>51</v>
      </c>
      <c r="H349" s="236">
        <f>'прил10 (ведом 23-24)'!M136</f>
        <v>715.1</v>
      </c>
      <c r="I349" s="236">
        <f>'прил10 (ведом 23-24)'!N136</f>
        <v>715.1</v>
      </c>
    </row>
    <row r="350" spans="1:9" ht="18" x14ac:dyDescent="0.35">
      <c r="A350" s="392"/>
      <c r="B350" s="234"/>
      <c r="C350" s="222"/>
      <c r="D350" s="222"/>
      <c r="E350" s="222"/>
      <c r="F350" s="223"/>
      <c r="G350" s="35"/>
      <c r="H350" s="236"/>
      <c r="I350" s="236"/>
    </row>
    <row r="351" spans="1:9" ht="52.2" x14ac:dyDescent="0.3">
      <c r="A351" s="412">
        <v>13</v>
      </c>
      <c r="B351" s="485" t="s">
        <v>111</v>
      </c>
      <c r="C351" s="486" t="s">
        <v>83</v>
      </c>
      <c r="D351" s="487" t="s">
        <v>37</v>
      </c>
      <c r="E351" s="487" t="s">
        <v>38</v>
      </c>
      <c r="F351" s="488" t="s">
        <v>39</v>
      </c>
      <c r="G351" s="160"/>
      <c r="H351" s="283">
        <f t="shared" ref="H351:I356" si="12">H352</f>
        <v>891.2</v>
      </c>
      <c r="I351" s="283">
        <f t="shared" si="12"/>
        <v>934.2</v>
      </c>
    </row>
    <row r="352" spans="1:9" ht="30" customHeight="1" x14ac:dyDescent="0.35">
      <c r="A352" s="392"/>
      <c r="B352" s="234" t="s">
        <v>328</v>
      </c>
      <c r="C352" s="221" t="s">
        <v>83</v>
      </c>
      <c r="D352" s="222" t="s">
        <v>40</v>
      </c>
      <c r="E352" s="222" t="s">
        <v>38</v>
      </c>
      <c r="F352" s="223" t="s">
        <v>39</v>
      </c>
      <c r="G352" s="35"/>
      <c r="H352" s="236">
        <f t="shared" si="12"/>
        <v>891.2</v>
      </c>
      <c r="I352" s="236">
        <f t="shared" si="12"/>
        <v>934.2</v>
      </c>
    </row>
    <row r="353" spans="1:9" ht="54" x14ac:dyDescent="0.35">
      <c r="A353" s="392"/>
      <c r="B353" s="431" t="s">
        <v>295</v>
      </c>
      <c r="C353" s="221" t="s">
        <v>83</v>
      </c>
      <c r="D353" s="222" t="s">
        <v>40</v>
      </c>
      <c r="E353" s="222" t="s">
        <v>32</v>
      </c>
      <c r="F353" s="223" t="s">
        <v>39</v>
      </c>
      <c r="G353" s="35"/>
      <c r="H353" s="236">
        <f>H356+H354</f>
        <v>891.2</v>
      </c>
      <c r="I353" s="236">
        <f>I356+I354</f>
        <v>934.2</v>
      </c>
    </row>
    <row r="354" spans="1:9" ht="54" x14ac:dyDescent="0.35">
      <c r="A354" s="392"/>
      <c r="B354" s="431" t="s">
        <v>112</v>
      </c>
      <c r="C354" s="221" t="s">
        <v>83</v>
      </c>
      <c r="D354" s="222" t="s">
        <v>40</v>
      </c>
      <c r="E354" s="222" t="s">
        <v>32</v>
      </c>
      <c r="F354" s="223" t="s">
        <v>113</v>
      </c>
      <c r="G354" s="35"/>
      <c r="H354" s="236">
        <f>H355</f>
        <v>112.2</v>
      </c>
      <c r="I354" s="236">
        <f>I355</f>
        <v>112.2</v>
      </c>
    </row>
    <row r="355" spans="1:9" ht="36" x14ac:dyDescent="0.35">
      <c r="A355" s="392"/>
      <c r="B355" s="234" t="s">
        <v>50</v>
      </c>
      <c r="C355" s="221" t="s">
        <v>83</v>
      </c>
      <c r="D355" s="222" t="s">
        <v>40</v>
      </c>
      <c r="E355" s="222" t="s">
        <v>32</v>
      </c>
      <c r="F355" s="223" t="s">
        <v>113</v>
      </c>
      <c r="G355" s="35" t="s">
        <v>51</v>
      </c>
      <c r="H355" s="236">
        <f>'прил10 (ведом 23-24)'!M141</f>
        <v>112.2</v>
      </c>
      <c r="I355" s="236">
        <f>'прил10 (ведом 23-24)'!N141</f>
        <v>112.2</v>
      </c>
    </row>
    <row r="356" spans="1:9" ht="72" x14ac:dyDescent="0.35">
      <c r="A356" s="392"/>
      <c r="B356" s="234" t="s">
        <v>515</v>
      </c>
      <c r="C356" s="221" t="s">
        <v>83</v>
      </c>
      <c r="D356" s="222" t="s">
        <v>40</v>
      </c>
      <c r="E356" s="222" t="s">
        <v>32</v>
      </c>
      <c r="F356" s="223" t="s">
        <v>513</v>
      </c>
      <c r="G356" s="35"/>
      <c r="H356" s="236">
        <f t="shared" si="12"/>
        <v>779</v>
      </c>
      <c r="I356" s="236">
        <f t="shared" si="12"/>
        <v>822</v>
      </c>
    </row>
    <row r="357" spans="1:9" ht="36" x14ac:dyDescent="0.35">
      <c r="A357" s="392"/>
      <c r="B357" s="234" t="s">
        <v>50</v>
      </c>
      <c r="C357" s="221" t="s">
        <v>83</v>
      </c>
      <c r="D357" s="222" t="s">
        <v>40</v>
      </c>
      <c r="E357" s="222" t="s">
        <v>32</v>
      </c>
      <c r="F357" s="223" t="s">
        <v>513</v>
      </c>
      <c r="G357" s="35" t="s">
        <v>51</v>
      </c>
      <c r="H357" s="236">
        <f>'прил10 (ведом 23-24)'!M143</f>
        <v>779</v>
      </c>
      <c r="I357" s="236">
        <f>'прил10 (ведом 23-24)'!N143</f>
        <v>822</v>
      </c>
    </row>
    <row r="358" spans="1:9" ht="18" x14ac:dyDescent="0.35">
      <c r="A358" s="392"/>
      <c r="B358" s="234"/>
      <c r="C358" s="222"/>
      <c r="D358" s="222"/>
      <c r="E358" s="222"/>
      <c r="F358" s="223"/>
      <c r="G358" s="35"/>
      <c r="H358" s="236"/>
      <c r="I358" s="236"/>
    </row>
    <row r="359" spans="1:9" ht="69.599999999999994" x14ac:dyDescent="0.3">
      <c r="A359" s="412">
        <v>14</v>
      </c>
      <c r="B359" s="423" t="s">
        <v>67</v>
      </c>
      <c r="C359" s="413" t="s">
        <v>68</v>
      </c>
      <c r="D359" s="413" t="s">
        <v>37</v>
      </c>
      <c r="E359" s="413" t="s">
        <v>38</v>
      </c>
      <c r="F359" s="414" t="s">
        <v>39</v>
      </c>
      <c r="G359" s="401"/>
      <c r="H359" s="283">
        <f t="shared" ref="H359:I362" si="13">H360</f>
        <v>1255.7</v>
      </c>
      <c r="I359" s="283">
        <f t="shared" si="13"/>
        <v>1255.7</v>
      </c>
    </row>
    <row r="360" spans="1:9" ht="26.25" customHeight="1" x14ac:dyDescent="0.35">
      <c r="A360" s="392"/>
      <c r="B360" s="403" t="s">
        <v>328</v>
      </c>
      <c r="C360" s="221" t="s">
        <v>68</v>
      </c>
      <c r="D360" s="222" t="s">
        <v>40</v>
      </c>
      <c r="E360" s="222" t="s">
        <v>38</v>
      </c>
      <c r="F360" s="223" t="s">
        <v>39</v>
      </c>
      <c r="G360" s="35"/>
      <c r="H360" s="236">
        <f t="shared" si="13"/>
        <v>1255.7</v>
      </c>
      <c r="I360" s="236">
        <f t="shared" si="13"/>
        <v>1255.7</v>
      </c>
    </row>
    <row r="361" spans="1:9" ht="36" x14ac:dyDescent="0.35">
      <c r="A361" s="392"/>
      <c r="B361" s="432" t="s">
        <v>254</v>
      </c>
      <c r="C361" s="221" t="s">
        <v>68</v>
      </c>
      <c r="D361" s="222" t="s">
        <v>40</v>
      </c>
      <c r="E361" s="222" t="s">
        <v>32</v>
      </c>
      <c r="F361" s="223" t="s">
        <v>39</v>
      </c>
      <c r="G361" s="35"/>
      <c r="H361" s="236">
        <f t="shared" si="13"/>
        <v>1255.7</v>
      </c>
      <c r="I361" s="236">
        <f t="shared" si="13"/>
        <v>1255.7</v>
      </c>
    </row>
    <row r="362" spans="1:9" ht="36" x14ac:dyDescent="0.35">
      <c r="A362" s="392"/>
      <c r="B362" s="432" t="s">
        <v>69</v>
      </c>
      <c r="C362" s="221" t="s">
        <v>68</v>
      </c>
      <c r="D362" s="222" t="s">
        <v>40</v>
      </c>
      <c r="E362" s="222" t="s">
        <v>32</v>
      </c>
      <c r="F362" s="223" t="s">
        <v>70</v>
      </c>
      <c r="G362" s="35"/>
      <c r="H362" s="236">
        <f t="shared" si="13"/>
        <v>1255.7</v>
      </c>
      <c r="I362" s="236">
        <f t="shared" si="13"/>
        <v>1255.7</v>
      </c>
    </row>
    <row r="363" spans="1:9" ht="41.25" customHeight="1" x14ac:dyDescent="0.35">
      <c r="A363" s="392"/>
      <c r="B363" s="409" t="s">
        <v>71</v>
      </c>
      <c r="C363" s="221" t="s">
        <v>68</v>
      </c>
      <c r="D363" s="222" t="s">
        <v>40</v>
      </c>
      <c r="E363" s="222" t="s">
        <v>32</v>
      </c>
      <c r="F363" s="223" t="s">
        <v>70</v>
      </c>
      <c r="G363" s="35" t="s">
        <v>72</v>
      </c>
      <c r="H363" s="236">
        <f>'прил10 (ведом 23-24)'!M65+'прил10 (ведом 23-24)'!M170</f>
        <v>1255.7</v>
      </c>
      <c r="I363" s="236">
        <f>'прил10 (ведом 23-24)'!N65+'прил10 (ведом 23-24)'!N170</f>
        <v>1255.7</v>
      </c>
    </row>
    <row r="364" spans="1:9" ht="18" x14ac:dyDescent="0.35">
      <c r="A364" s="392"/>
      <c r="B364" s="411"/>
      <c r="C364" s="565"/>
      <c r="D364" s="565"/>
      <c r="E364" s="565"/>
      <c r="F364" s="566"/>
      <c r="G364" s="258"/>
      <c r="H364" s="236"/>
      <c r="I364" s="236"/>
    </row>
    <row r="365" spans="1:9" s="402" customFormat="1" ht="52.2" x14ac:dyDescent="0.3">
      <c r="A365" s="412">
        <v>15</v>
      </c>
      <c r="B365" s="423" t="s">
        <v>35</v>
      </c>
      <c r="C365" s="413" t="s">
        <v>36</v>
      </c>
      <c r="D365" s="413" t="s">
        <v>37</v>
      </c>
      <c r="E365" s="413" t="s">
        <v>38</v>
      </c>
      <c r="F365" s="414" t="s">
        <v>39</v>
      </c>
      <c r="G365" s="401"/>
      <c r="H365" s="283">
        <f>H366</f>
        <v>95388.89999999998</v>
      </c>
      <c r="I365" s="283">
        <f>I366</f>
        <v>93739.4</v>
      </c>
    </row>
    <row r="366" spans="1:9" s="402" customFormat="1" ht="24.75" customHeight="1" x14ac:dyDescent="0.35">
      <c r="A366" s="392"/>
      <c r="B366" s="403" t="s">
        <v>328</v>
      </c>
      <c r="C366" s="221" t="s">
        <v>36</v>
      </c>
      <c r="D366" s="222" t="s">
        <v>40</v>
      </c>
      <c r="E366" s="222" t="s">
        <v>38</v>
      </c>
      <c r="F366" s="223" t="s">
        <v>39</v>
      </c>
      <c r="G366" s="35"/>
      <c r="H366" s="236">
        <f>H367+H370+H400+H404+H389+H395+H410+H413</f>
        <v>95388.89999999998</v>
      </c>
      <c r="I366" s="236">
        <f>I367+I370+I400+I404+I389+I395+I410+I413</f>
        <v>93739.4</v>
      </c>
    </row>
    <row r="367" spans="1:9" s="402" customFormat="1" ht="36" x14ac:dyDescent="0.35">
      <c r="A367" s="392"/>
      <c r="B367" s="403" t="s">
        <v>41</v>
      </c>
      <c r="C367" s="221" t="s">
        <v>36</v>
      </c>
      <c r="D367" s="222" t="s">
        <v>40</v>
      </c>
      <c r="E367" s="222" t="s">
        <v>32</v>
      </c>
      <c r="F367" s="223" t="s">
        <v>39</v>
      </c>
      <c r="G367" s="35"/>
      <c r="H367" s="236">
        <f>H368</f>
        <v>2128.5</v>
      </c>
      <c r="I367" s="236">
        <f>I368</f>
        <v>2128.5</v>
      </c>
    </row>
    <row r="368" spans="1:9" s="402" customFormat="1" ht="36" x14ac:dyDescent="0.35">
      <c r="A368" s="392"/>
      <c r="B368" s="403" t="s">
        <v>42</v>
      </c>
      <c r="C368" s="221" t="s">
        <v>36</v>
      </c>
      <c r="D368" s="222" t="s">
        <v>40</v>
      </c>
      <c r="E368" s="222" t="s">
        <v>32</v>
      </c>
      <c r="F368" s="223" t="s">
        <v>43</v>
      </c>
      <c r="G368" s="35"/>
      <c r="H368" s="236">
        <f>H369</f>
        <v>2128.5</v>
      </c>
      <c r="I368" s="236">
        <f>I369</f>
        <v>2128.5</v>
      </c>
    </row>
    <row r="369" spans="1:9" s="402" customFormat="1" ht="90" x14ac:dyDescent="0.35">
      <c r="A369" s="392"/>
      <c r="B369" s="403" t="s">
        <v>44</v>
      </c>
      <c r="C369" s="221" t="s">
        <v>36</v>
      </c>
      <c r="D369" s="222" t="s">
        <v>40</v>
      </c>
      <c r="E369" s="222" t="s">
        <v>32</v>
      </c>
      <c r="F369" s="223" t="s">
        <v>43</v>
      </c>
      <c r="G369" s="35" t="s">
        <v>45</v>
      </c>
      <c r="H369" s="236">
        <f>'прил10 (ведом 23-24)'!M25</f>
        <v>2128.5</v>
      </c>
      <c r="I369" s="236">
        <f>'прил10 (ведом 23-24)'!N25</f>
        <v>2128.5</v>
      </c>
    </row>
    <row r="370" spans="1:9" s="402" customFormat="1" ht="36" x14ac:dyDescent="0.35">
      <c r="A370" s="392"/>
      <c r="B370" s="403" t="s">
        <v>49</v>
      </c>
      <c r="C370" s="221" t="s">
        <v>36</v>
      </c>
      <c r="D370" s="222" t="s">
        <v>40</v>
      </c>
      <c r="E370" s="222" t="s">
        <v>34</v>
      </c>
      <c r="F370" s="223" t="s">
        <v>39</v>
      </c>
      <c r="G370" s="35"/>
      <c r="H370" s="236">
        <f>H371+H377+H379+H381+H384+H375+H386</f>
        <v>76249.999999999971</v>
      </c>
      <c r="I370" s="236">
        <f>I371+I377+I379+I381+I384+I375+I386</f>
        <v>76330.599999999977</v>
      </c>
    </row>
    <row r="371" spans="1:9" s="402" customFormat="1" ht="36" x14ac:dyDescent="0.35">
      <c r="A371" s="392"/>
      <c r="B371" s="403" t="s">
        <v>42</v>
      </c>
      <c r="C371" s="221" t="s">
        <v>36</v>
      </c>
      <c r="D371" s="222" t="s">
        <v>40</v>
      </c>
      <c r="E371" s="222" t="s">
        <v>34</v>
      </c>
      <c r="F371" s="223" t="s">
        <v>43</v>
      </c>
      <c r="G371" s="35"/>
      <c r="H371" s="236">
        <f>SUM(H372:H374)</f>
        <v>71195.999999999985</v>
      </c>
      <c r="I371" s="236">
        <f>SUM(I372:I374)</f>
        <v>71279.799999999988</v>
      </c>
    </row>
    <row r="372" spans="1:9" s="402" customFormat="1" ht="90" x14ac:dyDescent="0.35">
      <c r="A372" s="392"/>
      <c r="B372" s="403" t="s">
        <v>44</v>
      </c>
      <c r="C372" s="221" t="s">
        <v>36</v>
      </c>
      <c r="D372" s="222" t="s">
        <v>40</v>
      </c>
      <c r="E372" s="222" t="s">
        <v>34</v>
      </c>
      <c r="F372" s="223" t="s">
        <v>43</v>
      </c>
      <c r="G372" s="35" t="s">
        <v>45</v>
      </c>
      <c r="H372" s="236">
        <f>'прил10 (ведом 23-24)'!M31</f>
        <v>65378.2</v>
      </c>
      <c r="I372" s="236">
        <f>'прил10 (ведом 23-24)'!N31</f>
        <v>65378.2</v>
      </c>
    </row>
    <row r="373" spans="1:9" ht="36" x14ac:dyDescent="0.35">
      <c r="A373" s="392"/>
      <c r="B373" s="403" t="s">
        <v>50</v>
      </c>
      <c r="C373" s="221" t="s">
        <v>36</v>
      </c>
      <c r="D373" s="222" t="s">
        <v>40</v>
      </c>
      <c r="E373" s="222" t="s">
        <v>34</v>
      </c>
      <c r="F373" s="223" t="s">
        <v>43</v>
      </c>
      <c r="G373" s="35" t="s">
        <v>51</v>
      </c>
      <c r="H373" s="236">
        <f>'прил10 (ведом 23-24)'!M32</f>
        <v>5716.9</v>
      </c>
      <c r="I373" s="236">
        <f>'прил10 (ведом 23-24)'!N32</f>
        <v>5800.7</v>
      </c>
    </row>
    <row r="374" spans="1:9" ht="18" x14ac:dyDescent="0.35">
      <c r="A374" s="392"/>
      <c r="B374" s="234" t="s">
        <v>52</v>
      </c>
      <c r="C374" s="221" t="s">
        <v>36</v>
      </c>
      <c r="D374" s="222" t="s">
        <v>40</v>
      </c>
      <c r="E374" s="222" t="s">
        <v>34</v>
      </c>
      <c r="F374" s="223" t="s">
        <v>43</v>
      </c>
      <c r="G374" s="35" t="s">
        <v>53</v>
      </c>
      <c r="H374" s="236">
        <f>'прил10 (ведом 23-24)'!M33</f>
        <v>100.9</v>
      </c>
      <c r="I374" s="236">
        <f>'прил10 (ведом 23-24)'!N33</f>
        <v>100.9</v>
      </c>
    </row>
    <row r="375" spans="1:9" s="402" customFormat="1" ht="72" x14ac:dyDescent="0.35">
      <c r="A375" s="392"/>
      <c r="B375" s="234" t="s">
        <v>385</v>
      </c>
      <c r="C375" s="221" t="s">
        <v>36</v>
      </c>
      <c r="D375" s="222" t="s">
        <v>40</v>
      </c>
      <c r="E375" s="222" t="s">
        <v>34</v>
      </c>
      <c r="F375" s="223" t="s">
        <v>384</v>
      </c>
      <c r="G375" s="35"/>
      <c r="H375" s="236">
        <f>H376</f>
        <v>24.700000000000003</v>
      </c>
      <c r="I375" s="236">
        <f>I376</f>
        <v>21.5</v>
      </c>
    </row>
    <row r="376" spans="1:9" s="402" customFormat="1" ht="36" x14ac:dyDescent="0.35">
      <c r="A376" s="392"/>
      <c r="B376" s="234" t="s">
        <v>50</v>
      </c>
      <c r="C376" s="221" t="s">
        <v>36</v>
      </c>
      <c r="D376" s="222" t="s">
        <v>40</v>
      </c>
      <c r="E376" s="222" t="s">
        <v>34</v>
      </c>
      <c r="F376" s="223" t="s">
        <v>384</v>
      </c>
      <c r="G376" s="35" t="s">
        <v>51</v>
      </c>
      <c r="H376" s="236">
        <f>'прил10 (ведом 23-24)'!M54</f>
        <v>24.700000000000003</v>
      </c>
      <c r="I376" s="236">
        <f>'прил10 (ведом 23-24)'!N54</f>
        <v>21.5</v>
      </c>
    </row>
    <row r="377" spans="1:9" ht="90" x14ac:dyDescent="0.35">
      <c r="A377" s="392"/>
      <c r="B377" s="403" t="s">
        <v>421</v>
      </c>
      <c r="C377" s="221" t="s">
        <v>36</v>
      </c>
      <c r="D377" s="222" t="s">
        <v>40</v>
      </c>
      <c r="E377" s="222" t="s">
        <v>34</v>
      </c>
      <c r="F377" s="223" t="s">
        <v>253</v>
      </c>
      <c r="G377" s="35"/>
      <c r="H377" s="236">
        <f>H378</f>
        <v>63</v>
      </c>
      <c r="I377" s="236">
        <f>I378</f>
        <v>63</v>
      </c>
    </row>
    <row r="378" spans="1:9" ht="36" x14ac:dyDescent="0.35">
      <c r="A378" s="392"/>
      <c r="B378" s="403" t="s">
        <v>50</v>
      </c>
      <c r="C378" s="221" t="s">
        <v>36</v>
      </c>
      <c r="D378" s="222" t="s">
        <v>40</v>
      </c>
      <c r="E378" s="222" t="s">
        <v>34</v>
      </c>
      <c r="F378" s="223" t="s">
        <v>253</v>
      </c>
      <c r="G378" s="35" t="s">
        <v>51</v>
      </c>
      <c r="H378" s="236">
        <f>'прил10 (ведом 23-24)'!M35</f>
        <v>63</v>
      </c>
      <c r="I378" s="236">
        <f>'прил10 (ведом 23-24)'!N35</f>
        <v>63</v>
      </c>
    </row>
    <row r="379" spans="1:9" ht="177" customHeight="1" x14ac:dyDescent="0.35">
      <c r="A379" s="392"/>
      <c r="B379" s="484" t="s">
        <v>429</v>
      </c>
      <c r="C379" s="221" t="s">
        <v>36</v>
      </c>
      <c r="D379" s="222" t="s">
        <v>40</v>
      </c>
      <c r="E379" s="222" t="s">
        <v>34</v>
      </c>
      <c r="F379" s="223" t="s">
        <v>54</v>
      </c>
      <c r="G379" s="35"/>
      <c r="H379" s="236">
        <f>H380</f>
        <v>661.9</v>
      </c>
      <c r="I379" s="236">
        <f>I380</f>
        <v>661.9</v>
      </c>
    </row>
    <row r="380" spans="1:9" ht="90" x14ac:dyDescent="0.35">
      <c r="A380" s="392"/>
      <c r="B380" s="234" t="s">
        <v>44</v>
      </c>
      <c r="C380" s="221" t="s">
        <v>36</v>
      </c>
      <c r="D380" s="222" t="s">
        <v>40</v>
      </c>
      <c r="E380" s="222" t="s">
        <v>34</v>
      </c>
      <c r="F380" s="223" t="s">
        <v>54</v>
      </c>
      <c r="G380" s="35" t="s">
        <v>45</v>
      </c>
      <c r="H380" s="236">
        <f>'прил10 (ведом 23-24)'!M37</f>
        <v>661.9</v>
      </c>
      <c r="I380" s="236">
        <f>'прил10 (ведом 23-24)'!N37</f>
        <v>661.9</v>
      </c>
    </row>
    <row r="381" spans="1:9" ht="54" x14ac:dyDescent="0.35">
      <c r="A381" s="392"/>
      <c r="B381" s="234" t="s">
        <v>397</v>
      </c>
      <c r="C381" s="221" t="s">
        <v>36</v>
      </c>
      <c r="D381" s="222" t="s">
        <v>40</v>
      </c>
      <c r="E381" s="222" t="s">
        <v>34</v>
      </c>
      <c r="F381" s="223" t="s">
        <v>56</v>
      </c>
      <c r="G381" s="35"/>
      <c r="H381" s="236">
        <f>H382+H383</f>
        <v>662.19999999999993</v>
      </c>
      <c r="I381" s="236">
        <f>I382+I383</f>
        <v>662.19999999999993</v>
      </c>
    </row>
    <row r="382" spans="1:9" ht="90" x14ac:dyDescent="0.35">
      <c r="A382" s="392"/>
      <c r="B382" s="234" t="s">
        <v>44</v>
      </c>
      <c r="C382" s="221" t="s">
        <v>36</v>
      </c>
      <c r="D382" s="222" t="s">
        <v>40</v>
      </c>
      <c r="E382" s="222" t="s">
        <v>34</v>
      </c>
      <c r="F382" s="223" t="s">
        <v>56</v>
      </c>
      <c r="G382" s="35" t="s">
        <v>45</v>
      </c>
      <c r="H382" s="236">
        <f>'прил10 (ведом 23-24)'!M39</f>
        <v>657.8</v>
      </c>
      <c r="I382" s="236">
        <f>'прил10 (ведом 23-24)'!N39</f>
        <v>657.8</v>
      </c>
    </row>
    <row r="383" spans="1:9" ht="36" x14ac:dyDescent="0.35">
      <c r="A383" s="392"/>
      <c r="B383" s="403" t="s">
        <v>50</v>
      </c>
      <c r="C383" s="221" t="s">
        <v>36</v>
      </c>
      <c r="D383" s="222" t="s">
        <v>40</v>
      </c>
      <c r="E383" s="222" t="s">
        <v>34</v>
      </c>
      <c r="F383" s="223" t="s">
        <v>56</v>
      </c>
      <c r="G383" s="35" t="s">
        <v>51</v>
      </c>
      <c r="H383" s="236">
        <f>'прил10 (ведом 23-24)'!M40</f>
        <v>4.4000000000000004</v>
      </c>
      <c r="I383" s="236">
        <f>'прил10 (ведом 23-24)'!N40</f>
        <v>4.4000000000000004</v>
      </c>
    </row>
    <row r="384" spans="1:9" ht="147" customHeight="1" x14ac:dyDescent="0.35">
      <c r="A384" s="392"/>
      <c r="B384" s="234" t="s">
        <v>365</v>
      </c>
      <c r="C384" s="221" t="s">
        <v>36</v>
      </c>
      <c r="D384" s="222" t="s">
        <v>40</v>
      </c>
      <c r="E384" s="222" t="s">
        <v>34</v>
      </c>
      <c r="F384" s="223" t="s">
        <v>364</v>
      </c>
      <c r="G384" s="35"/>
      <c r="H384" s="236">
        <f>H385</f>
        <v>63</v>
      </c>
      <c r="I384" s="236">
        <f>I385</f>
        <v>63</v>
      </c>
    </row>
    <row r="385" spans="1:9" ht="36" x14ac:dyDescent="0.35">
      <c r="A385" s="392"/>
      <c r="B385" s="234" t="s">
        <v>50</v>
      </c>
      <c r="C385" s="221" t="s">
        <v>36</v>
      </c>
      <c r="D385" s="222" t="s">
        <v>40</v>
      </c>
      <c r="E385" s="222" t="s">
        <v>34</v>
      </c>
      <c r="F385" s="223" t="s">
        <v>364</v>
      </c>
      <c r="G385" s="35" t="s">
        <v>51</v>
      </c>
      <c r="H385" s="236">
        <f>'прил10 (ведом 23-24)'!M42</f>
        <v>63</v>
      </c>
      <c r="I385" s="236">
        <f>'прил10 (ведом 23-24)'!N42</f>
        <v>63</v>
      </c>
    </row>
    <row r="386" spans="1:9" ht="72" x14ac:dyDescent="0.35">
      <c r="A386" s="392"/>
      <c r="B386" s="403" t="s">
        <v>55</v>
      </c>
      <c r="C386" s="221" t="s">
        <v>36</v>
      </c>
      <c r="D386" s="222" t="s">
        <v>40</v>
      </c>
      <c r="E386" s="222" t="s">
        <v>34</v>
      </c>
      <c r="F386" s="223" t="s">
        <v>530</v>
      </c>
      <c r="G386" s="35"/>
      <c r="H386" s="236">
        <f>H387+H388</f>
        <v>3579.2</v>
      </c>
      <c r="I386" s="236">
        <f>I387+I388</f>
        <v>3579.2</v>
      </c>
    </row>
    <row r="387" spans="1:9" ht="90" x14ac:dyDescent="0.35">
      <c r="A387" s="392"/>
      <c r="B387" s="403" t="s">
        <v>44</v>
      </c>
      <c r="C387" s="221" t="s">
        <v>36</v>
      </c>
      <c r="D387" s="222" t="s">
        <v>40</v>
      </c>
      <c r="E387" s="222" t="s">
        <v>34</v>
      </c>
      <c r="F387" s="223" t="s">
        <v>530</v>
      </c>
      <c r="G387" s="35" t="s">
        <v>45</v>
      </c>
      <c r="H387" s="236">
        <f>'прил10 (ведом 23-24)'!M44</f>
        <v>3387.6</v>
      </c>
      <c r="I387" s="236">
        <f>'прил10 (ведом 23-24)'!N44</f>
        <v>3387.6</v>
      </c>
    </row>
    <row r="388" spans="1:9" ht="36" x14ac:dyDescent="0.35">
      <c r="A388" s="392"/>
      <c r="B388" s="403" t="s">
        <v>50</v>
      </c>
      <c r="C388" s="222" t="s">
        <v>36</v>
      </c>
      <c r="D388" s="222" t="s">
        <v>40</v>
      </c>
      <c r="E388" s="222" t="s">
        <v>34</v>
      </c>
      <c r="F388" s="223" t="s">
        <v>530</v>
      </c>
      <c r="G388" s="35" t="s">
        <v>51</v>
      </c>
      <c r="H388" s="236">
        <f>'прил10 (ведом 23-24)'!M45</f>
        <v>191.6</v>
      </c>
      <c r="I388" s="236">
        <f>'прил10 (ведом 23-24)'!N45</f>
        <v>191.6</v>
      </c>
    </row>
    <row r="389" spans="1:9" ht="18" x14ac:dyDescent="0.35">
      <c r="A389" s="392"/>
      <c r="B389" s="234" t="s">
        <v>57</v>
      </c>
      <c r="C389" s="221" t="s">
        <v>36</v>
      </c>
      <c r="D389" s="222" t="s">
        <v>40</v>
      </c>
      <c r="E389" s="222" t="s">
        <v>58</v>
      </c>
      <c r="F389" s="223" t="s">
        <v>39</v>
      </c>
      <c r="G389" s="35"/>
      <c r="H389" s="236">
        <f>H390+H392</f>
        <v>1375.2</v>
      </c>
      <c r="I389" s="236">
        <f>I390+I392</f>
        <v>1332.2</v>
      </c>
    </row>
    <row r="390" spans="1:9" ht="36" x14ac:dyDescent="0.35">
      <c r="A390" s="392"/>
      <c r="B390" s="234" t="s">
        <v>42</v>
      </c>
      <c r="C390" s="221" t="s">
        <v>36</v>
      </c>
      <c r="D390" s="222" t="s">
        <v>40</v>
      </c>
      <c r="E390" s="222" t="s">
        <v>58</v>
      </c>
      <c r="F390" s="223" t="s">
        <v>43</v>
      </c>
      <c r="G390" s="35"/>
      <c r="H390" s="236">
        <f>H391</f>
        <v>127.4</v>
      </c>
      <c r="I390" s="236">
        <f>I391</f>
        <v>84.4</v>
      </c>
    </row>
    <row r="391" spans="1:9" ht="36" x14ac:dyDescent="0.35">
      <c r="A391" s="392"/>
      <c r="B391" s="234" t="s">
        <v>50</v>
      </c>
      <c r="C391" s="221" t="s">
        <v>36</v>
      </c>
      <c r="D391" s="222" t="s">
        <v>40</v>
      </c>
      <c r="E391" s="222" t="s">
        <v>58</v>
      </c>
      <c r="F391" s="223" t="s">
        <v>43</v>
      </c>
      <c r="G391" s="35" t="s">
        <v>51</v>
      </c>
      <c r="H391" s="236">
        <f>'прил10 (ведом 23-24)'!M48</f>
        <v>127.4</v>
      </c>
      <c r="I391" s="236">
        <f>'прил10 (ведом 23-24)'!N48</f>
        <v>84.4</v>
      </c>
    </row>
    <row r="392" spans="1:9" ht="54" x14ac:dyDescent="0.35">
      <c r="A392" s="392"/>
      <c r="B392" s="416" t="s">
        <v>375</v>
      </c>
      <c r="C392" s="221" t="s">
        <v>36</v>
      </c>
      <c r="D392" s="222" t="s">
        <v>40</v>
      </c>
      <c r="E392" s="222" t="s">
        <v>58</v>
      </c>
      <c r="F392" s="223" t="s">
        <v>374</v>
      </c>
      <c r="G392" s="35"/>
      <c r="H392" s="236">
        <f>H393+H394</f>
        <v>1247.8</v>
      </c>
      <c r="I392" s="236">
        <f>I393+I394</f>
        <v>1247.8</v>
      </c>
    </row>
    <row r="393" spans="1:9" ht="36" x14ac:dyDescent="0.35">
      <c r="A393" s="392"/>
      <c r="B393" s="234" t="s">
        <v>50</v>
      </c>
      <c r="C393" s="221" t="s">
        <v>36</v>
      </c>
      <c r="D393" s="222" t="s">
        <v>40</v>
      </c>
      <c r="E393" s="222" t="s">
        <v>58</v>
      </c>
      <c r="F393" s="223" t="s">
        <v>374</v>
      </c>
      <c r="G393" s="35" t="s">
        <v>51</v>
      </c>
      <c r="H393" s="236">
        <f>'прил10 (ведом 23-24)'!M70</f>
        <v>1019.5</v>
      </c>
      <c r="I393" s="236">
        <f>'прил10 (ведом 23-24)'!N70</f>
        <v>1019.5</v>
      </c>
    </row>
    <row r="394" spans="1:9" ht="18" x14ac:dyDescent="0.35">
      <c r="A394" s="392"/>
      <c r="B394" s="234" t="s">
        <v>52</v>
      </c>
      <c r="C394" s="221" t="s">
        <v>36</v>
      </c>
      <c r="D394" s="222" t="s">
        <v>40</v>
      </c>
      <c r="E394" s="222" t="s">
        <v>58</v>
      </c>
      <c r="F394" s="223" t="s">
        <v>374</v>
      </c>
      <c r="G394" s="35" t="s">
        <v>53</v>
      </c>
      <c r="H394" s="236">
        <f>'прил10 (ведом 23-24)'!M71</f>
        <v>228.3</v>
      </c>
      <c r="I394" s="236">
        <f>'прил10 (ведом 23-24)'!N71</f>
        <v>228.3</v>
      </c>
    </row>
    <row r="395" spans="1:9" ht="18" x14ac:dyDescent="0.35">
      <c r="A395" s="392"/>
      <c r="B395" s="234" t="s">
        <v>59</v>
      </c>
      <c r="C395" s="221" t="s">
        <v>36</v>
      </c>
      <c r="D395" s="222" t="s">
        <v>40</v>
      </c>
      <c r="E395" s="222" t="s">
        <v>47</v>
      </c>
      <c r="F395" s="223" t="s">
        <v>39</v>
      </c>
      <c r="G395" s="35"/>
      <c r="H395" s="236">
        <f>H396+H398</f>
        <v>3011.6</v>
      </c>
      <c r="I395" s="236">
        <f>I396+I398</f>
        <v>3011.6</v>
      </c>
    </row>
    <row r="396" spans="1:9" ht="54" x14ac:dyDescent="0.35">
      <c r="A396" s="392"/>
      <c r="B396" s="431" t="s">
        <v>341</v>
      </c>
      <c r="C396" s="221" t="s">
        <v>36</v>
      </c>
      <c r="D396" s="222" t="s">
        <v>40</v>
      </c>
      <c r="E396" s="222" t="s">
        <v>47</v>
      </c>
      <c r="F396" s="223" t="s">
        <v>100</v>
      </c>
      <c r="G396" s="35"/>
      <c r="H396" s="236">
        <f>H397</f>
        <v>1016.8</v>
      </c>
      <c r="I396" s="236">
        <f>I397</f>
        <v>1016.8</v>
      </c>
    </row>
    <row r="397" spans="1:9" ht="36" x14ac:dyDescent="0.35">
      <c r="A397" s="392"/>
      <c r="B397" s="234" t="s">
        <v>50</v>
      </c>
      <c r="C397" s="221" t="s">
        <v>36</v>
      </c>
      <c r="D397" s="222" t="s">
        <v>40</v>
      </c>
      <c r="E397" s="222" t="s">
        <v>47</v>
      </c>
      <c r="F397" s="223" t="s">
        <v>100</v>
      </c>
      <c r="G397" s="35" t="s">
        <v>51</v>
      </c>
      <c r="H397" s="236">
        <f>'прил10 (ведом 23-24)'!M74</f>
        <v>1016.8</v>
      </c>
      <c r="I397" s="236">
        <f>'прил10 (ведом 23-24)'!N74</f>
        <v>1016.8</v>
      </c>
    </row>
    <row r="398" spans="1:9" ht="54" x14ac:dyDescent="0.35">
      <c r="A398" s="392"/>
      <c r="B398" s="234" t="s">
        <v>343</v>
      </c>
      <c r="C398" s="221" t="s">
        <v>36</v>
      </c>
      <c r="D398" s="222" t="s">
        <v>40</v>
      </c>
      <c r="E398" s="222" t="s">
        <v>47</v>
      </c>
      <c r="F398" s="223" t="s">
        <v>342</v>
      </c>
      <c r="G398" s="35"/>
      <c r="H398" s="236">
        <f>'прил10 (ведом 23-24)'!M75</f>
        <v>1994.8</v>
      </c>
      <c r="I398" s="236">
        <f>'прил10 (ведом 23-24)'!N75</f>
        <v>1994.8</v>
      </c>
    </row>
    <row r="399" spans="1:9" ht="36" x14ac:dyDescent="0.35">
      <c r="A399" s="392"/>
      <c r="B399" s="234" t="s">
        <v>50</v>
      </c>
      <c r="C399" s="221" t="s">
        <v>36</v>
      </c>
      <c r="D399" s="222" t="s">
        <v>40</v>
      </c>
      <c r="E399" s="222" t="s">
        <v>47</v>
      </c>
      <c r="F399" s="223" t="s">
        <v>342</v>
      </c>
      <c r="G399" s="35" t="s">
        <v>51</v>
      </c>
      <c r="H399" s="236">
        <f>'прил10 (ведом 23-24)'!M76</f>
        <v>1994.8</v>
      </c>
      <c r="I399" s="236">
        <f>'прил10 (ведом 23-24)'!N76</f>
        <v>1994.8</v>
      </c>
    </row>
    <row r="400" spans="1:9" ht="72" x14ac:dyDescent="0.35">
      <c r="A400" s="437"/>
      <c r="B400" s="450" t="s">
        <v>288</v>
      </c>
      <c r="C400" s="417" t="s">
        <v>36</v>
      </c>
      <c r="D400" s="438" t="s">
        <v>40</v>
      </c>
      <c r="E400" s="438" t="s">
        <v>76</v>
      </c>
      <c r="F400" s="451" t="s">
        <v>39</v>
      </c>
      <c r="G400" s="452"/>
      <c r="H400" s="236">
        <f>H401</f>
        <v>5209.5</v>
      </c>
      <c r="I400" s="236">
        <f>I401</f>
        <v>5213.1000000000004</v>
      </c>
    </row>
    <row r="401" spans="1:9" ht="36" x14ac:dyDescent="0.35">
      <c r="A401" s="437"/>
      <c r="B401" s="403" t="s">
        <v>437</v>
      </c>
      <c r="C401" s="417" t="s">
        <v>36</v>
      </c>
      <c r="D401" s="438" t="s">
        <v>40</v>
      </c>
      <c r="E401" s="438" t="s">
        <v>76</v>
      </c>
      <c r="F401" s="451" t="s">
        <v>86</v>
      </c>
      <c r="G401" s="452"/>
      <c r="H401" s="236">
        <f>SUM(H402:H403)</f>
        <v>5209.5</v>
      </c>
      <c r="I401" s="236">
        <f>SUM(I402:I403)</f>
        <v>5213.1000000000004</v>
      </c>
    </row>
    <row r="402" spans="1:9" ht="90" x14ac:dyDescent="0.35">
      <c r="A402" s="437"/>
      <c r="B402" s="450" t="s">
        <v>44</v>
      </c>
      <c r="C402" s="417" t="s">
        <v>36</v>
      </c>
      <c r="D402" s="438" t="s">
        <v>40</v>
      </c>
      <c r="E402" s="438" t="s">
        <v>76</v>
      </c>
      <c r="F402" s="451" t="s">
        <v>86</v>
      </c>
      <c r="G402" s="452" t="s">
        <v>45</v>
      </c>
      <c r="H402" s="236">
        <f>'прил10 (ведом 23-24)'!M239</f>
        <v>4729.8</v>
      </c>
      <c r="I402" s="236">
        <f>'прил10 (ведом 23-24)'!N239</f>
        <v>4729.8</v>
      </c>
    </row>
    <row r="403" spans="1:9" ht="36" x14ac:dyDescent="0.35">
      <c r="A403" s="437"/>
      <c r="B403" s="234" t="s">
        <v>50</v>
      </c>
      <c r="C403" s="417" t="s">
        <v>36</v>
      </c>
      <c r="D403" s="438" t="s">
        <v>40</v>
      </c>
      <c r="E403" s="438" t="s">
        <v>76</v>
      </c>
      <c r="F403" s="451" t="s">
        <v>86</v>
      </c>
      <c r="G403" s="452" t="s">
        <v>51</v>
      </c>
      <c r="H403" s="236">
        <f>'прил10 (ведом 23-24)'!M240</f>
        <v>479.7</v>
      </c>
      <c r="I403" s="236">
        <f>'прил10 (ведом 23-24)'!N240</f>
        <v>483.3</v>
      </c>
    </row>
    <row r="404" spans="1:9" ht="36" x14ac:dyDescent="0.35">
      <c r="A404" s="437"/>
      <c r="B404" s="234" t="s">
        <v>320</v>
      </c>
      <c r="C404" s="221" t="s">
        <v>36</v>
      </c>
      <c r="D404" s="222" t="s">
        <v>40</v>
      </c>
      <c r="E404" s="222" t="s">
        <v>83</v>
      </c>
      <c r="F404" s="223" t="s">
        <v>39</v>
      </c>
      <c r="G404" s="35"/>
      <c r="H404" s="236">
        <f>H405+H408</f>
        <v>7234</v>
      </c>
      <c r="I404" s="236">
        <f>I405+I408</f>
        <v>5543.3</v>
      </c>
    </row>
    <row r="405" spans="1:9" ht="36" x14ac:dyDescent="0.35">
      <c r="A405" s="437"/>
      <c r="B405" s="403" t="s">
        <v>437</v>
      </c>
      <c r="C405" s="221" t="s">
        <v>36</v>
      </c>
      <c r="D405" s="222" t="s">
        <v>40</v>
      </c>
      <c r="E405" s="222" t="s">
        <v>83</v>
      </c>
      <c r="F405" s="223" t="s">
        <v>86</v>
      </c>
      <c r="G405" s="35"/>
      <c r="H405" s="236">
        <f>SUM(H406:H407)</f>
        <v>5491</v>
      </c>
      <c r="I405" s="236">
        <f>SUM(I406:I407)</f>
        <v>5543.3</v>
      </c>
    </row>
    <row r="406" spans="1:9" ht="90" x14ac:dyDescent="0.35">
      <c r="A406" s="437"/>
      <c r="B406" s="234" t="s">
        <v>44</v>
      </c>
      <c r="C406" s="221" t="s">
        <v>36</v>
      </c>
      <c r="D406" s="222" t="s">
        <v>40</v>
      </c>
      <c r="E406" s="222" t="s">
        <v>83</v>
      </c>
      <c r="F406" s="223" t="s">
        <v>86</v>
      </c>
      <c r="G406" s="35" t="s">
        <v>45</v>
      </c>
      <c r="H406" s="236">
        <f>'прил10 (ведом 23-24)'!M148</f>
        <v>5398</v>
      </c>
      <c r="I406" s="236">
        <f>'прил10 (ведом 23-24)'!N148</f>
        <v>5398</v>
      </c>
    </row>
    <row r="407" spans="1:9" ht="36" x14ac:dyDescent="0.35">
      <c r="A407" s="437"/>
      <c r="B407" s="234" t="s">
        <v>50</v>
      </c>
      <c r="C407" s="221" t="s">
        <v>36</v>
      </c>
      <c r="D407" s="222" t="s">
        <v>40</v>
      </c>
      <c r="E407" s="222" t="s">
        <v>83</v>
      </c>
      <c r="F407" s="223" t="s">
        <v>86</v>
      </c>
      <c r="G407" s="35" t="s">
        <v>51</v>
      </c>
      <c r="H407" s="236">
        <f>'прил10 (ведом 23-24)'!M149</f>
        <v>93.000000000000014</v>
      </c>
      <c r="I407" s="236">
        <f>'прил10 (ведом 23-24)'!N149</f>
        <v>145.30000000000001</v>
      </c>
    </row>
    <row r="408" spans="1:9" ht="36" x14ac:dyDescent="0.35">
      <c r="A408" s="437"/>
      <c r="B408" s="234" t="s">
        <v>529</v>
      </c>
      <c r="C408" s="221" t="s">
        <v>36</v>
      </c>
      <c r="D408" s="222" t="s">
        <v>40</v>
      </c>
      <c r="E408" s="222" t="s">
        <v>83</v>
      </c>
      <c r="F408" s="573" t="s">
        <v>528</v>
      </c>
      <c r="G408" s="35"/>
      <c r="H408" s="236">
        <f>H409</f>
        <v>1743</v>
      </c>
      <c r="I408" s="236">
        <f>I409</f>
        <v>0</v>
      </c>
    </row>
    <row r="409" spans="1:9" ht="36" x14ac:dyDescent="0.35">
      <c r="A409" s="437"/>
      <c r="B409" s="234" t="s">
        <v>50</v>
      </c>
      <c r="C409" s="221" t="s">
        <v>36</v>
      </c>
      <c r="D409" s="222" t="s">
        <v>40</v>
      </c>
      <c r="E409" s="222" t="s">
        <v>83</v>
      </c>
      <c r="F409" s="223" t="s">
        <v>528</v>
      </c>
      <c r="G409" s="35" t="s">
        <v>51</v>
      </c>
      <c r="H409" s="236">
        <f>'прил10 (ведом 23-24)'!M151</f>
        <v>1743</v>
      </c>
      <c r="I409" s="236">
        <f>'прил10 (ведом 23-24)'!N151</f>
        <v>0</v>
      </c>
    </row>
    <row r="410" spans="1:9" ht="36" x14ac:dyDescent="0.35">
      <c r="A410" s="437"/>
      <c r="B410" s="234" t="s">
        <v>445</v>
      </c>
      <c r="C410" s="221" t="s">
        <v>36</v>
      </c>
      <c r="D410" s="222" t="s">
        <v>40</v>
      </c>
      <c r="E410" s="222" t="s">
        <v>400</v>
      </c>
      <c r="F410" s="223" t="s">
        <v>39</v>
      </c>
      <c r="G410" s="35"/>
      <c r="H410" s="236">
        <f>H411</f>
        <v>120.1</v>
      </c>
      <c r="I410" s="236">
        <f>I411</f>
        <v>120.1</v>
      </c>
    </row>
    <row r="411" spans="1:9" ht="36" x14ac:dyDescent="0.35">
      <c r="A411" s="437"/>
      <c r="B411" s="431" t="s">
        <v>122</v>
      </c>
      <c r="C411" s="221" t="s">
        <v>36</v>
      </c>
      <c r="D411" s="222" t="s">
        <v>40</v>
      </c>
      <c r="E411" s="222" t="s">
        <v>400</v>
      </c>
      <c r="F411" s="223" t="s">
        <v>85</v>
      </c>
      <c r="G411" s="35"/>
      <c r="H411" s="236">
        <f>H412</f>
        <v>120.1</v>
      </c>
      <c r="I411" s="236">
        <f>I412</f>
        <v>120.1</v>
      </c>
    </row>
    <row r="412" spans="1:9" ht="36" x14ac:dyDescent="0.35">
      <c r="A412" s="437"/>
      <c r="B412" s="234" t="s">
        <v>50</v>
      </c>
      <c r="C412" s="221" t="s">
        <v>36</v>
      </c>
      <c r="D412" s="222" t="s">
        <v>40</v>
      </c>
      <c r="E412" s="222" t="s">
        <v>400</v>
      </c>
      <c r="F412" s="223" t="s">
        <v>85</v>
      </c>
      <c r="G412" s="35" t="s">
        <v>51</v>
      </c>
      <c r="H412" s="236">
        <f>'прил10 (ведом 23-24)'!M79</f>
        <v>120.1</v>
      </c>
      <c r="I412" s="236">
        <f>'прил10 (ведом 23-24)'!N79</f>
        <v>120.1</v>
      </c>
    </row>
    <row r="413" spans="1:9" ht="36" x14ac:dyDescent="0.35">
      <c r="A413" s="437"/>
      <c r="B413" s="234" t="s">
        <v>441</v>
      </c>
      <c r="C413" s="221" t="s">
        <v>36</v>
      </c>
      <c r="D413" s="222" t="s">
        <v>40</v>
      </c>
      <c r="E413" s="222" t="s">
        <v>36</v>
      </c>
      <c r="F413" s="223" t="s">
        <v>39</v>
      </c>
      <c r="G413" s="35"/>
      <c r="H413" s="236">
        <f>H414</f>
        <v>60</v>
      </c>
      <c r="I413" s="236">
        <f>I414</f>
        <v>60</v>
      </c>
    </row>
    <row r="414" spans="1:9" ht="18" x14ac:dyDescent="0.35">
      <c r="A414" s="437"/>
      <c r="B414" s="431" t="s">
        <v>439</v>
      </c>
      <c r="C414" s="221" t="s">
        <v>36</v>
      </c>
      <c r="D414" s="222" t="s">
        <v>40</v>
      </c>
      <c r="E414" s="222" t="s">
        <v>36</v>
      </c>
      <c r="F414" s="223" t="s">
        <v>440</v>
      </c>
      <c r="G414" s="35"/>
      <c r="H414" s="236">
        <f>H415</f>
        <v>60</v>
      </c>
      <c r="I414" s="236">
        <f>I415</f>
        <v>60</v>
      </c>
    </row>
    <row r="415" spans="1:9" ht="36" x14ac:dyDescent="0.35">
      <c r="A415" s="437"/>
      <c r="B415" s="234" t="s">
        <v>50</v>
      </c>
      <c r="C415" s="221" t="s">
        <v>36</v>
      </c>
      <c r="D415" s="222" t="s">
        <v>40</v>
      </c>
      <c r="E415" s="222" t="s">
        <v>36</v>
      </c>
      <c r="F415" s="223" t="s">
        <v>440</v>
      </c>
      <c r="G415" s="35" t="s">
        <v>51</v>
      </c>
      <c r="H415" s="236">
        <f>'прил10 (ведом 23-24)'!M82</f>
        <v>60</v>
      </c>
      <c r="I415" s="236">
        <f>'прил10 (ведом 23-24)'!N82</f>
        <v>60</v>
      </c>
    </row>
    <row r="416" spans="1:9" ht="18" x14ac:dyDescent="0.35">
      <c r="A416" s="437"/>
      <c r="B416" s="234"/>
      <c r="C416" s="222"/>
      <c r="D416" s="222"/>
      <c r="E416" s="222"/>
      <c r="F416" s="223"/>
      <c r="G416" s="35"/>
      <c r="H416" s="236"/>
      <c r="I416" s="236"/>
    </row>
    <row r="417" spans="1:9" ht="52.8" x14ac:dyDescent="0.35">
      <c r="A417" s="412">
        <v>16</v>
      </c>
      <c r="B417" s="442" t="s">
        <v>228</v>
      </c>
      <c r="C417" s="413" t="s">
        <v>229</v>
      </c>
      <c r="D417" s="413" t="s">
        <v>37</v>
      </c>
      <c r="E417" s="413" t="s">
        <v>38</v>
      </c>
      <c r="F417" s="414" t="s">
        <v>39</v>
      </c>
      <c r="G417" s="35"/>
      <c r="H417" s="283">
        <f t="shared" ref="H417:I420" si="14">H418</f>
        <v>53.4</v>
      </c>
      <c r="I417" s="283">
        <f t="shared" si="14"/>
        <v>53.4</v>
      </c>
    </row>
    <row r="418" spans="1:9" ht="18" x14ac:dyDescent="0.35">
      <c r="A418" s="437"/>
      <c r="B418" s="234" t="s">
        <v>328</v>
      </c>
      <c r="C418" s="221" t="s">
        <v>229</v>
      </c>
      <c r="D418" s="222" t="s">
        <v>40</v>
      </c>
      <c r="E418" s="222" t="s">
        <v>38</v>
      </c>
      <c r="F418" s="223" t="s">
        <v>39</v>
      </c>
      <c r="G418" s="35"/>
      <c r="H418" s="236">
        <f t="shared" si="14"/>
        <v>53.4</v>
      </c>
      <c r="I418" s="236">
        <f t="shared" si="14"/>
        <v>53.4</v>
      </c>
    </row>
    <row r="419" spans="1:9" ht="54" x14ac:dyDescent="0.35">
      <c r="A419" s="437"/>
      <c r="B419" s="234" t="s">
        <v>274</v>
      </c>
      <c r="C419" s="221" t="s">
        <v>229</v>
      </c>
      <c r="D419" s="222" t="s">
        <v>40</v>
      </c>
      <c r="E419" s="222" t="s">
        <v>32</v>
      </c>
      <c r="F419" s="223" t="s">
        <v>39</v>
      </c>
      <c r="G419" s="35"/>
      <c r="H419" s="236">
        <f t="shared" si="14"/>
        <v>53.4</v>
      </c>
      <c r="I419" s="236">
        <f t="shared" si="14"/>
        <v>53.4</v>
      </c>
    </row>
    <row r="420" spans="1:9" ht="36" x14ac:dyDescent="0.35">
      <c r="A420" s="437"/>
      <c r="B420" s="234" t="s">
        <v>230</v>
      </c>
      <c r="C420" s="221" t="s">
        <v>229</v>
      </c>
      <c r="D420" s="222" t="s">
        <v>40</v>
      </c>
      <c r="E420" s="222" t="s">
        <v>32</v>
      </c>
      <c r="F420" s="223" t="s">
        <v>268</v>
      </c>
      <c r="G420" s="35"/>
      <c r="H420" s="236">
        <f t="shared" si="14"/>
        <v>53.4</v>
      </c>
      <c r="I420" s="236">
        <f t="shared" si="14"/>
        <v>53.4</v>
      </c>
    </row>
    <row r="421" spans="1:9" ht="36" x14ac:dyDescent="0.35">
      <c r="A421" s="437"/>
      <c r="B421" s="234" t="s">
        <v>71</v>
      </c>
      <c r="C421" s="221" t="s">
        <v>229</v>
      </c>
      <c r="D421" s="222" t="s">
        <v>40</v>
      </c>
      <c r="E421" s="222" t="s">
        <v>32</v>
      </c>
      <c r="F421" s="223" t="s">
        <v>268</v>
      </c>
      <c r="G421" s="35" t="s">
        <v>72</v>
      </c>
      <c r="H421" s="236">
        <f>'прил10 (ведом 23-24)'!M307</f>
        <v>53.4</v>
      </c>
      <c r="I421" s="236">
        <f>'прил10 (ведом 23-24)'!N307</f>
        <v>53.4</v>
      </c>
    </row>
    <row r="422" spans="1:9" ht="18" x14ac:dyDescent="0.35">
      <c r="A422" s="437"/>
      <c r="B422" s="450"/>
      <c r="C422" s="418"/>
      <c r="D422" s="438"/>
      <c r="E422" s="438"/>
      <c r="F422" s="451"/>
      <c r="G422" s="452"/>
      <c r="H422" s="236"/>
      <c r="I422" s="236"/>
    </row>
    <row r="423" spans="1:9" ht="34.799999999999997" x14ac:dyDescent="0.3">
      <c r="A423" s="412">
        <v>17</v>
      </c>
      <c r="B423" s="489" t="s">
        <v>125</v>
      </c>
      <c r="C423" s="413" t="s">
        <v>126</v>
      </c>
      <c r="D423" s="413" t="s">
        <v>37</v>
      </c>
      <c r="E423" s="413" t="s">
        <v>38</v>
      </c>
      <c r="F423" s="413" t="s">
        <v>39</v>
      </c>
      <c r="G423" s="401"/>
      <c r="H423" s="283">
        <f>H424</f>
        <v>4387.9000000000005</v>
      </c>
      <c r="I423" s="283">
        <f>I424</f>
        <v>4388</v>
      </c>
    </row>
    <row r="424" spans="1:9" ht="36" x14ac:dyDescent="0.35">
      <c r="A424" s="392"/>
      <c r="B424" s="430" t="s">
        <v>127</v>
      </c>
      <c r="C424" s="221" t="s">
        <v>126</v>
      </c>
      <c r="D424" s="222" t="s">
        <v>40</v>
      </c>
      <c r="E424" s="222" t="s">
        <v>38</v>
      </c>
      <c r="F424" s="223" t="s">
        <v>39</v>
      </c>
      <c r="G424" s="35"/>
      <c r="H424" s="236">
        <f>H425</f>
        <v>4387.9000000000005</v>
      </c>
      <c r="I424" s="236">
        <f>I425</f>
        <v>4388</v>
      </c>
    </row>
    <row r="425" spans="1:9" ht="36" x14ac:dyDescent="0.35">
      <c r="A425" s="392"/>
      <c r="B425" s="403" t="s">
        <v>42</v>
      </c>
      <c r="C425" s="221" t="s">
        <v>126</v>
      </c>
      <c r="D425" s="222" t="s">
        <v>40</v>
      </c>
      <c r="E425" s="222" t="s">
        <v>38</v>
      </c>
      <c r="F425" s="223" t="s">
        <v>43</v>
      </c>
      <c r="G425" s="35"/>
      <c r="H425" s="236">
        <f>H426+H427+H428</f>
        <v>4387.9000000000005</v>
      </c>
      <c r="I425" s="236">
        <f>I426+I427+I428</f>
        <v>4388</v>
      </c>
    </row>
    <row r="426" spans="1:9" ht="90" x14ac:dyDescent="0.35">
      <c r="A426" s="392"/>
      <c r="B426" s="432" t="s">
        <v>44</v>
      </c>
      <c r="C426" s="221" t="s">
        <v>126</v>
      </c>
      <c r="D426" s="222" t="s">
        <v>40</v>
      </c>
      <c r="E426" s="222" t="s">
        <v>38</v>
      </c>
      <c r="F426" s="223" t="s">
        <v>43</v>
      </c>
      <c r="G426" s="35" t="s">
        <v>45</v>
      </c>
      <c r="H426" s="236">
        <f>'прил10 (ведом 23-24)'!M205</f>
        <v>4137.8</v>
      </c>
      <c r="I426" s="236">
        <f>'прил10 (ведом 23-24)'!N205</f>
        <v>4137.8</v>
      </c>
    </row>
    <row r="427" spans="1:9" ht="36" x14ac:dyDescent="0.35">
      <c r="A427" s="392"/>
      <c r="B427" s="234" t="s">
        <v>50</v>
      </c>
      <c r="C427" s="221" t="s">
        <v>126</v>
      </c>
      <c r="D427" s="222" t="s">
        <v>40</v>
      </c>
      <c r="E427" s="222" t="s">
        <v>38</v>
      </c>
      <c r="F427" s="223" t="s">
        <v>43</v>
      </c>
      <c r="G427" s="35" t="s">
        <v>51</v>
      </c>
      <c r="H427" s="236">
        <f>'прил10 (ведом 23-24)'!M206</f>
        <v>240.1</v>
      </c>
      <c r="I427" s="236">
        <f>'прил10 (ведом 23-24)'!N206</f>
        <v>240.2</v>
      </c>
    </row>
    <row r="428" spans="1:9" ht="18" x14ac:dyDescent="0.35">
      <c r="A428" s="392"/>
      <c r="B428" s="234" t="s">
        <v>52</v>
      </c>
      <c r="C428" s="221" t="s">
        <v>126</v>
      </c>
      <c r="D428" s="222" t="s">
        <v>40</v>
      </c>
      <c r="E428" s="222" t="s">
        <v>38</v>
      </c>
      <c r="F428" s="223" t="s">
        <v>43</v>
      </c>
      <c r="G428" s="35" t="s">
        <v>53</v>
      </c>
      <c r="H428" s="236">
        <f>'прил10 (ведом 23-24)'!M207</f>
        <v>10</v>
      </c>
      <c r="I428" s="236">
        <f>'прил10 (ведом 23-24)'!N207</f>
        <v>10</v>
      </c>
    </row>
    <row r="429" spans="1:9" ht="18" x14ac:dyDescent="0.35">
      <c r="A429" s="392"/>
      <c r="B429" s="411"/>
      <c r="C429" s="565"/>
      <c r="D429" s="565"/>
      <c r="E429" s="565"/>
      <c r="F429" s="565"/>
      <c r="G429" s="258"/>
      <c r="H429" s="236"/>
      <c r="I429" s="236"/>
    </row>
    <row r="430" spans="1:9" s="402" customFormat="1" ht="52.2" x14ac:dyDescent="0.3">
      <c r="A430" s="412">
        <v>18</v>
      </c>
      <c r="B430" s="489" t="s">
        <v>427</v>
      </c>
      <c r="C430" s="413" t="s">
        <v>63</v>
      </c>
      <c r="D430" s="413" t="s">
        <v>37</v>
      </c>
      <c r="E430" s="413" t="s">
        <v>38</v>
      </c>
      <c r="F430" s="413" t="s">
        <v>39</v>
      </c>
      <c r="G430" s="401"/>
      <c r="H430" s="283">
        <f t="shared" ref="H430:I432" si="15">H431</f>
        <v>5000</v>
      </c>
      <c r="I430" s="283">
        <f t="shared" si="15"/>
        <v>5000</v>
      </c>
    </row>
    <row r="431" spans="1:9" ht="18" x14ac:dyDescent="0.35">
      <c r="A431" s="392"/>
      <c r="B431" s="432" t="s">
        <v>424</v>
      </c>
      <c r="C431" s="221" t="s">
        <v>63</v>
      </c>
      <c r="D431" s="222" t="s">
        <v>40</v>
      </c>
      <c r="E431" s="222" t="s">
        <v>38</v>
      </c>
      <c r="F431" s="223" t="s">
        <v>39</v>
      </c>
      <c r="G431" s="35"/>
      <c r="H431" s="236">
        <f>H432</f>
        <v>5000</v>
      </c>
      <c r="I431" s="236">
        <f>I432</f>
        <v>5000</v>
      </c>
    </row>
    <row r="432" spans="1:9" ht="36" x14ac:dyDescent="0.35">
      <c r="A432" s="392"/>
      <c r="B432" s="403" t="s">
        <v>422</v>
      </c>
      <c r="C432" s="221" t="s">
        <v>63</v>
      </c>
      <c r="D432" s="222" t="s">
        <v>40</v>
      </c>
      <c r="E432" s="222" t="s">
        <v>38</v>
      </c>
      <c r="F432" s="223" t="s">
        <v>64</v>
      </c>
      <c r="G432" s="35"/>
      <c r="H432" s="236">
        <f t="shared" si="15"/>
        <v>5000</v>
      </c>
      <c r="I432" s="236">
        <f t="shared" si="15"/>
        <v>5000</v>
      </c>
    </row>
    <row r="433" spans="1:9" ht="18" x14ac:dyDescent="0.35">
      <c r="A433" s="392"/>
      <c r="B433" s="403" t="s">
        <v>52</v>
      </c>
      <c r="C433" s="221" t="s">
        <v>63</v>
      </c>
      <c r="D433" s="222" t="s">
        <v>40</v>
      </c>
      <c r="E433" s="222" t="s">
        <v>38</v>
      </c>
      <c r="F433" s="223" t="s">
        <v>64</v>
      </c>
      <c r="G433" s="35" t="s">
        <v>53</v>
      </c>
      <c r="H433" s="236">
        <f>'прил10 (ведом 23-24)'!M59</f>
        <v>5000</v>
      </c>
      <c r="I433" s="236">
        <f>'прил10 (ведом 23-24)'!N59</f>
        <v>5000</v>
      </c>
    </row>
    <row r="434" spans="1:9" ht="18" x14ac:dyDescent="0.35">
      <c r="A434" s="392"/>
      <c r="B434" s="403"/>
      <c r="C434" s="221"/>
      <c r="D434" s="222"/>
      <c r="E434" s="222"/>
      <c r="F434" s="223"/>
      <c r="G434" s="35"/>
      <c r="H434" s="236"/>
      <c r="I434" s="236"/>
    </row>
    <row r="435" spans="1:9" s="402" customFormat="1" ht="17.399999999999999" x14ac:dyDescent="0.3">
      <c r="A435" s="48">
        <v>19</v>
      </c>
      <c r="B435" s="490" t="s">
        <v>351</v>
      </c>
      <c r="C435" s="486"/>
      <c r="D435" s="487"/>
      <c r="E435" s="487"/>
      <c r="F435" s="488"/>
      <c r="G435" s="160"/>
      <c r="H435" s="283">
        <f>H436</f>
        <v>32308.899999999998</v>
      </c>
      <c r="I435" s="283">
        <f>I436</f>
        <v>34551.699999999997</v>
      </c>
    </row>
    <row r="436" spans="1:9" ht="18" x14ac:dyDescent="0.35">
      <c r="A436" s="46"/>
      <c r="B436" s="491" t="s">
        <v>351</v>
      </c>
      <c r="C436" s="221"/>
      <c r="D436" s="222"/>
      <c r="E436" s="222"/>
      <c r="F436" s="223"/>
      <c r="G436" s="35"/>
      <c r="H436" s="492">
        <f>'прил10 (ведом 23-24)'!M577</f>
        <v>32308.899999999998</v>
      </c>
      <c r="I436" s="492">
        <f>'прил10 (ведом 23-24)'!N577</f>
        <v>34551.699999999997</v>
      </c>
    </row>
    <row r="437" spans="1:9" ht="18" x14ac:dyDescent="0.35">
      <c r="A437" s="60"/>
      <c r="B437" s="493"/>
      <c r="C437" s="67"/>
      <c r="D437" s="67"/>
      <c r="E437" s="67"/>
      <c r="F437" s="67"/>
      <c r="G437" s="67"/>
      <c r="H437" s="494"/>
      <c r="I437" s="494"/>
    </row>
    <row r="438" spans="1:9" ht="18" x14ac:dyDescent="0.35">
      <c r="A438" s="60"/>
      <c r="B438" s="493"/>
      <c r="C438" s="67"/>
      <c r="D438" s="67"/>
      <c r="E438" s="67"/>
      <c r="F438" s="67"/>
      <c r="G438" s="67"/>
      <c r="H438" s="494"/>
      <c r="I438" s="494"/>
    </row>
    <row r="439" spans="1:9" ht="17.399999999999999" x14ac:dyDescent="0.3">
      <c r="A439" s="388"/>
      <c r="B439" s="50"/>
      <c r="C439" s="51"/>
      <c r="D439" s="51"/>
      <c r="E439" s="51"/>
      <c r="F439" s="51"/>
      <c r="G439" s="52"/>
    </row>
    <row r="440" spans="1:9" ht="18" x14ac:dyDescent="0.35">
      <c r="A440" s="49" t="s">
        <v>366</v>
      </c>
      <c r="B440" s="50"/>
      <c r="C440" s="51"/>
      <c r="D440" s="51"/>
      <c r="E440" s="51"/>
      <c r="F440" s="51"/>
      <c r="G440" s="52"/>
    </row>
    <row r="441" spans="1:9" ht="18" x14ac:dyDescent="0.35">
      <c r="A441" s="49" t="s">
        <v>367</v>
      </c>
      <c r="B441" s="50"/>
      <c r="C441" s="51"/>
      <c r="D441" s="51"/>
      <c r="E441" s="51"/>
      <c r="F441" s="51"/>
      <c r="G441" s="52"/>
    </row>
    <row r="442" spans="1:9" ht="18" x14ac:dyDescent="0.35">
      <c r="A442" s="55" t="s">
        <v>368</v>
      </c>
      <c r="B442" s="50"/>
      <c r="C442" s="54"/>
      <c r="D442" s="51"/>
      <c r="E442" s="51"/>
      <c r="F442" s="51"/>
      <c r="G442" s="54"/>
      <c r="H442" s="54"/>
      <c r="I442" s="56" t="s">
        <v>387</v>
      </c>
    </row>
    <row r="443" spans="1:9" x14ac:dyDescent="0.3">
      <c r="A443" s="388"/>
      <c r="B443" s="50"/>
      <c r="C443" s="51"/>
      <c r="D443" s="51"/>
      <c r="E443" s="51"/>
      <c r="F443" s="51"/>
    </row>
    <row r="444" spans="1:9" x14ac:dyDescent="0.3">
      <c r="A444" s="388"/>
      <c r="B444" s="50"/>
      <c r="C444" s="51"/>
      <c r="D444" s="51"/>
      <c r="E444" s="51"/>
      <c r="F444" s="51"/>
    </row>
    <row r="445" spans="1:9" x14ac:dyDescent="0.3">
      <c r="A445" s="388"/>
      <c r="B445" s="50"/>
      <c r="C445" s="51"/>
      <c r="D445" s="51"/>
      <c r="E445" s="51"/>
      <c r="F445" s="51"/>
    </row>
    <row r="446" spans="1:9" ht="17.399999999999999" hidden="1" x14ac:dyDescent="0.3">
      <c r="A446" s="388"/>
      <c r="B446" s="50"/>
      <c r="C446" s="51"/>
      <c r="D446" s="51"/>
      <c r="E446" s="51"/>
      <c r="F446" s="51"/>
      <c r="G446" s="52"/>
    </row>
    <row r="447" spans="1:9" hidden="1" x14ac:dyDescent="0.3">
      <c r="B447" s="496" t="s">
        <v>232</v>
      </c>
      <c r="H447" s="387">
        <f>H365+H335+H326+H286+H262+H245+H217+H194+H157+H115+H16+H320+H359+H341+H351</f>
        <v>1524616.5</v>
      </c>
      <c r="I447" s="387">
        <f>I365+I335+I326+I286+I262+I245+I217+I194+I157+I115+I16+I320+I359+I341+I351</f>
        <v>1553413.2</v>
      </c>
    </row>
    <row r="448" spans="1:9" hidden="1" x14ac:dyDescent="0.3"/>
    <row r="449" spans="2:9" hidden="1" x14ac:dyDescent="0.3">
      <c r="H449" s="387">
        <f>(H447/H15)*100</f>
        <v>97.334583274784933</v>
      </c>
      <c r="I449" s="387">
        <f>(I447/I15)*100</f>
        <v>97.245966790039603</v>
      </c>
    </row>
    <row r="450" spans="2:9" hidden="1" x14ac:dyDescent="0.3">
      <c r="H450" s="387"/>
      <c r="I450" s="387"/>
    </row>
    <row r="451" spans="2:9" hidden="1" x14ac:dyDescent="0.3">
      <c r="B451" s="496" t="s">
        <v>233</v>
      </c>
      <c r="H451" s="387">
        <f>H430+H423</f>
        <v>9387.9000000000015</v>
      </c>
      <c r="I451" s="387">
        <f>I430+I423</f>
        <v>9388</v>
      </c>
    </row>
    <row r="452" spans="2:9" hidden="1" x14ac:dyDescent="0.3">
      <c r="H452" s="387">
        <f>(H451/H456)*100</f>
        <v>0.5993628477776447</v>
      </c>
      <c r="I452" s="387">
        <f>(I451/I456)*100</f>
        <v>0.58772234989525485</v>
      </c>
    </row>
    <row r="453" spans="2:9" hidden="1" x14ac:dyDescent="0.3">
      <c r="H453" s="387"/>
      <c r="I453" s="387"/>
    </row>
    <row r="454" spans="2:9" hidden="1" x14ac:dyDescent="0.3">
      <c r="B454" s="496" t="s">
        <v>353</v>
      </c>
      <c r="H454" s="387">
        <f>H435</f>
        <v>32308.899999999998</v>
      </c>
      <c r="I454" s="387">
        <f>I435</f>
        <v>34551.699999999997</v>
      </c>
    </row>
    <row r="455" spans="2:9" hidden="1" x14ac:dyDescent="0.3">
      <c r="H455" s="387">
        <f>(H454/H456)*100</f>
        <v>2.0627354693342639</v>
      </c>
      <c r="I455" s="387">
        <f>(I454/I456)*100</f>
        <v>2.1630598974090196</v>
      </c>
    </row>
    <row r="456" spans="2:9" hidden="1" x14ac:dyDescent="0.3">
      <c r="B456" s="496" t="s">
        <v>197</v>
      </c>
      <c r="H456" s="387">
        <f>H451+H447+H454</f>
        <v>1566313.2999999998</v>
      </c>
      <c r="I456" s="387">
        <f>I451+I447+I454</f>
        <v>1597352.9</v>
      </c>
    </row>
    <row r="457" spans="2:9" hidden="1" x14ac:dyDescent="0.3"/>
  </sheetData>
  <autoFilter ref="A4:I456"/>
  <mergeCells count="7">
    <mergeCell ref="A9:I9"/>
    <mergeCell ref="C14:F14"/>
    <mergeCell ref="H12:I12"/>
    <mergeCell ref="A12:A13"/>
    <mergeCell ref="B12:B13"/>
    <mergeCell ref="C12:F13"/>
    <mergeCell ref="G12:G13"/>
  </mergeCells>
  <printOptions horizontalCentered="1"/>
  <pageMargins left="1.1811023622047245" right="0.39370078740157483" top="0.78740157480314965" bottom="0.78740157480314965" header="0" footer="0"/>
  <pageSetup paperSize="9" scale="70" fitToHeight="0" orientation="portrait" blackAndWhite="1" r:id="rId1"/>
  <headerFooter differentFirst="1" alignWithMargins="0">
    <oddHeader>&amp;C&amp;"Times New Roman,обычный"&amp;12&amp;P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autoPageBreaks="0" fitToPage="1"/>
  </sheetPr>
  <dimension ref="A1:O824"/>
  <sheetViews>
    <sheetView zoomScale="80" zoomScaleNormal="80" workbookViewId="0">
      <selection activeCell="M1" sqref="M1:O1048576"/>
    </sheetView>
  </sheetViews>
  <sheetFormatPr defaultColWidth="8.88671875" defaultRowHeight="14.4" x14ac:dyDescent="0.3"/>
  <cols>
    <col min="1" max="1" width="4.6640625" style="1" customWidth="1"/>
    <col min="2" max="2" width="54.44140625" style="1" customWidth="1"/>
    <col min="3" max="3" width="10" style="1" customWidth="1"/>
    <col min="4" max="4" width="3.6640625" style="1" customWidth="1"/>
    <col min="5" max="5" width="4" style="1" customWidth="1"/>
    <col min="6" max="6" width="3.33203125" style="1" customWidth="1"/>
    <col min="7" max="7" width="2.44140625" style="1" customWidth="1"/>
    <col min="8" max="8" width="2.6640625" style="1" customWidth="1"/>
    <col min="9" max="9" width="7.6640625" style="1" customWidth="1"/>
    <col min="10" max="10" width="5" style="1" customWidth="1"/>
    <col min="11" max="11" width="14.5546875" style="1" hidden="1" customWidth="1"/>
    <col min="12" max="12" width="16" style="1" customWidth="1"/>
    <col min="13" max="13" width="21.33203125" style="37" customWidth="1"/>
    <col min="14" max="14" width="10.109375" style="1" customWidth="1"/>
    <col min="15" max="15" width="11.6640625" style="1" customWidth="1"/>
    <col min="16" max="16384" width="8.88671875" style="1"/>
  </cols>
  <sheetData>
    <row r="1" spans="1:14" ht="18" x14ac:dyDescent="0.35">
      <c r="M1" s="166" t="s">
        <v>547</v>
      </c>
    </row>
    <row r="2" spans="1:14" ht="18" x14ac:dyDescent="0.35">
      <c r="M2" s="166" t="s">
        <v>546</v>
      </c>
    </row>
    <row r="4" spans="1:14" s="43" customFormat="1" ht="18" x14ac:dyDescent="0.35">
      <c r="M4" s="297" t="s">
        <v>503</v>
      </c>
    </row>
    <row r="5" spans="1:14" s="43" customFormat="1" ht="18.75" customHeight="1" x14ac:dyDescent="0.35">
      <c r="M5" s="297" t="s">
        <v>545</v>
      </c>
    </row>
    <row r="7" spans="1:14" ht="15" customHeight="1" x14ac:dyDescent="0.3"/>
    <row r="8" spans="1:14" ht="15" customHeight="1" x14ac:dyDescent="0.3"/>
    <row r="9" spans="1:14" ht="18.75" customHeight="1" x14ac:dyDescent="0.3">
      <c r="A9" s="601" t="s">
        <v>493</v>
      </c>
      <c r="B9" s="601"/>
      <c r="C9" s="601"/>
      <c r="D9" s="601"/>
      <c r="E9" s="601"/>
      <c r="F9" s="601"/>
      <c r="G9" s="601"/>
      <c r="H9" s="601"/>
      <c r="I9" s="601"/>
      <c r="J9" s="601"/>
      <c r="K9" s="601"/>
      <c r="L9" s="601"/>
      <c r="M9" s="601"/>
    </row>
    <row r="10" spans="1:14" ht="18.75" customHeight="1" x14ac:dyDescent="0.3">
      <c r="A10" s="570"/>
      <c r="B10" s="570"/>
      <c r="C10" s="570"/>
      <c r="D10" s="570"/>
      <c r="E10" s="570"/>
      <c r="F10" s="570"/>
      <c r="G10" s="570"/>
      <c r="H10" s="570"/>
      <c r="I10" s="570"/>
      <c r="J10" s="570"/>
      <c r="K10" s="570"/>
      <c r="L10" s="570"/>
    </row>
    <row r="11" spans="1:14" ht="18.75" customHeight="1" x14ac:dyDescent="0.35">
      <c r="A11" s="2"/>
      <c r="B11" s="3"/>
      <c r="C11" s="4"/>
      <c r="D11" s="4"/>
      <c r="E11" s="4"/>
      <c r="F11" s="4"/>
      <c r="G11" s="2"/>
      <c r="H11" s="5"/>
      <c r="I11" s="6"/>
      <c r="J11" s="7"/>
      <c r="K11" s="7"/>
      <c r="L11" s="7"/>
      <c r="M11" s="38" t="s">
        <v>17</v>
      </c>
    </row>
    <row r="12" spans="1:14" ht="25.2" customHeight="1" x14ac:dyDescent="0.3">
      <c r="A12" s="605" t="s">
        <v>18</v>
      </c>
      <c r="B12" s="607" t="s">
        <v>19</v>
      </c>
      <c r="C12" s="609" t="s">
        <v>20</v>
      </c>
      <c r="D12" s="609" t="s">
        <v>21</v>
      </c>
      <c r="E12" s="609" t="s">
        <v>22</v>
      </c>
      <c r="F12" s="611" t="s">
        <v>23</v>
      </c>
      <c r="G12" s="612"/>
      <c r="H12" s="612"/>
      <c r="I12" s="613"/>
      <c r="J12" s="609" t="s">
        <v>24</v>
      </c>
      <c r="K12" s="617" t="s">
        <v>519</v>
      </c>
      <c r="L12" s="619" t="s">
        <v>396</v>
      </c>
      <c r="M12" s="620"/>
    </row>
    <row r="13" spans="1:14" ht="37.200000000000003" customHeight="1" x14ac:dyDescent="0.35">
      <c r="A13" s="606"/>
      <c r="B13" s="608"/>
      <c r="C13" s="610"/>
      <c r="D13" s="610"/>
      <c r="E13" s="610"/>
      <c r="F13" s="614"/>
      <c r="G13" s="615"/>
      <c r="H13" s="615"/>
      <c r="I13" s="616"/>
      <c r="J13" s="610"/>
      <c r="K13" s="618"/>
      <c r="L13" s="558" t="s">
        <v>548</v>
      </c>
      <c r="M13" s="559" t="s">
        <v>549</v>
      </c>
    </row>
    <row r="14" spans="1:14" ht="18.75" customHeight="1" x14ac:dyDescent="0.35">
      <c r="A14" s="8">
        <v>1</v>
      </c>
      <c r="B14" s="9">
        <v>2</v>
      </c>
      <c r="C14" s="10" t="s">
        <v>25</v>
      </c>
      <c r="D14" s="10" t="s">
        <v>26</v>
      </c>
      <c r="E14" s="10" t="s">
        <v>27</v>
      </c>
      <c r="F14" s="602" t="s">
        <v>28</v>
      </c>
      <c r="G14" s="603"/>
      <c r="H14" s="603"/>
      <c r="I14" s="604"/>
      <c r="J14" s="10" t="s">
        <v>29</v>
      </c>
      <c r="K14" s="10"/>
      <c r="L14" s="10" t="s">
        <v>460</v>
      </c>
      <c r="M14" s="39">
        <v>9</v>
      </c>
    </row>
    <row r="15" spans="1:14" ht="18.75" customHeight="1" x14ac:dyDescent="0.3">
      <c r="A15" s="11">
        <v>1</v>
      </c>
      <c r="B15" s="12" t="s">
        <v>197</v>
      </c>
      <c r="C15" s="13"/>
      <c r="D15" s="14"/>
      <c r="E15" s="14"/>
      <c r="F15" s="15"/>
      <c r="G15" s="16"/>
      <c r="H15" s="16"/>
      <c r="I15" s="17"/>
      <c r="J15" s="14"/>
      <c r="K15" s="287">
        <f>K16+K212+K249+K261+K514+K589+K644+K678+K357</f>
        <v>1825720.2</v>
      </c>
      <c r="L15" s="287">
        <f>L16+L212+L249+L261+L514+L589+L644+L678+L357</f>
        <v>33130.400000000001</v>
      </c>
      <c r="M15" s="287">
        <v>1865457.9000000001</v>
      </c>
      <c r="N15" s="218"/>
    </row>
    <row r="16" spans="1:14" s="121" customFormat="1" ht="37.5" customHeight="1" x14ac:dyDescent="0.3">
      <c r="A16" s="116">
        <v>1</v>
      </c>
      <c r="B16" s="18" t="s">
        <v>0</v>
      </c>
      <c r="C16" s="19" t="s">
        <v>1</v>
      </c>
      <c r="D16" s="20"/>
      <c r="E16" s="20"/>
      <c r="F16" s="21"/>
      <c r="G16" s="22"/>
      <c r="H16" s="22"/>
      <c r="I16" s="23"/>
      <c r="J16" s="20"/>
      <c r="K16" s="40">
        <f>K17+K86+K120+K163+K191+K204+K184</f>
        <v>205595.9</v>
      </c>
      <c r="L16" s="40">
        <f>L17+L86+L120+L163+L191+L204+L184</f>
        <v>10454.700000000006</v>
      </c>
      <c r="M16" s="40">
        <v>222657.9</v>
      </c>
    </row>
    <row r="17" spans="1:15" s="122" customFormat="1" ht="18.75" customHeight="1" x14ac:dyDescent="0.35">
      <c r="A17" s="11"/>
      <c r="B17" s="24" t="s">
        <v>31</v>
      </c>
      <c r="C17" s="25" t="s">
        <v>1</v>
      </c>
      <c r="D17" s="10" t="s">
        <v>32</v>
      </c>
      <c r="E17" s="10"/>
      <c r="F17" s="571"/>
      <c r="G17" s="572"/>
      <c r="H17" s="572"/>
      <c r="I17" s="573"/>
      <c r="J17" s="10"/>
      <c r="K17" s="26">
        <f>K18+K24+K55+K60+K49</f>
        <v>93840.799999999988</v>
      </c>
      <c r="L17" s="26">
        <f>L18+L24+L55+L60+L49</f>
        <v>9216.2000000000062</v>
      </c>
      <c r="M17" s="26">
        <v>103057</v>
      </c>
    </row>
    <row r="18" spans="1:15" s="117" customFormat="1" ht="56.25" customHeight="1" x14ac:dyDescent="0.35">
      <c r="A18" s="11"/>
      <c r="B18" s="24" t="s">
        <v>33</v>
      </c>
      <c r="C18" s="25" t="s">
        <v>1</v>
      </c>
      <c r="D18" s="10" t="s">
        <v>32</v>
      </c>
      <c r="E18" s="10" t="s">
        <v>34</v>
      </c>
      <c r="F18" s="571"/>
      <c r="G18" s="572"/>
      <c r="H18" s="572"/>
      <c r="I18" s="573"/>
      <c r="J18" s="10"/>
      <c r="K18" s="26">
        <f t="shared" ref="K18:M21" si="0">K19</f>
        <v>2439.1999999999998</v>
      </c>
      <c r="L18" s="26">
        <f t="shared" si="0"/>
        <v>0</v>
      </c>
      <c r="M18" s="26">
        <v>2439.1999999999998</v>
      </c>
      <c r="O18" s="117" t="s">
        <v>419</v>
      </c>
    </row>
    <row r="19" spans="1:15" s="117" customFormat="1" ht="59.25" customHeight="1" x14ac:dyDescent="0.35">
      <c r="A19" s="11"/>
      <c r="B19" s="24" t="s">
        <v>35</v>
      </c>
      <c r="C19" s="25" t="s">
        <v>1</v>
      </c>
      <c r="D19" s="10" t="s">
        <v>32</v>
      </c>
      <c r="E19" s="10" t="s">
        <v>34</v>
      </c>
      <c r="F19" s="571" t="s">
        <v>36</v>
      </c>
      <c r="G19" s="572" t="s">
        <v>37</v>
      </c>
      <c r="H19" s="572" t="s">
        <v>38</v>
      </c>
      <c r="I19" s="573" t="s">
        <v>39</v>
      </c>
      <c r="J19" s="10"/>
      <c r="K19" s="26">
        <f t="shared" si="0"/>
        <v>2439.1999999999998</v>
      </c>
      <c r="L19" s="26">
        <f t="shared" si="0"/>
        <v>0</v>
      </c>
      <c r="M19" s="26">
        <v>2439.1999999999998</v>
      </c>
    </row>
    <row r="20" spans="1:15" s="117" customFormat="1" ht="37.5" customHeight="1" x14ac:dyDescent="0.35">
      <c r="A20" s="11"/>
      <c r="B20" s="24" t="s">
        <v>328</v>
      </c>
      <c r="C20" s="25" t="s">
        <v>1</v>
      </c>
      <c r="D20" s="10" t="s">
        <v>32</v>
      </c>
      <c r="E20" s="10" t="s">
        <v>34</v>
      </c>
      <c r="F20" s="571" t="s">
        <v>36</v>
      </c>
      <c r="G20" s="572" t="s">
        <v>40</v>
      </c>
      <c r="H20" s="572" t="s">
        <v>38</v>
      </c>
      <c r="I20" s="573" t="s">
        <v>39</v>
      </c>
      <c r="J20" s="10"/>
      <c r="K20" s="26">
        <f t="shared" si="0"/>
        <v>2439.1999999999998</v>
      </c>
      <c r="L20" s="26">
        <f t="shared" si="0"/>
        <v>0</v>
      </c>
      <c r="M20" s="26">
        <v>2439.1999999999998</v>
      </c>
    </row>
    <row r="21" spans="1:15" s="117" customFormat="1" ht="56.25" customHeight="1" x14ac:dyDescent="0.35">
      <c r="A21" s="11"/>
      <c r="B21" s="24" t="s">
        <v>41</v>
      </c>
      <c r="C21" s="25" t="s">
        <v>1</v>
      </c>
      <c r="D21" s="10" t="s">
        <v>32</v>
      </c>
      <c r="E21" s="10" t="s">
        <v>34</v>
      </c>
      <c r="F21" s="571" t="s">
        <v>36</v>
      </c>
      <c r="G21" s="572" t="s">
        <v>40</v>
      </c>
      <c r="H21" s="572" t="s">
        <v>32</v>
      </c>
      <c r="I21" s="573" t="s">
        <v>39</v>
      </c>
      <c r="J21" s="10"/>
      <c r="K21" s="26">
        <f t="shared" si="0"/>
        <v>2439.1999999999998</v>
      </c>
      <c r="L21" s="26">
        <f t="shared" si="0"/>
        <v>0</v>
      </c>
      <c r="M21" s="26">
        <v>2439.1999999999998</v>
      </c>
    </row>
    <row r="22" spans="1:15" s="117" customFormat="1" ht="37.5" customHeight="1" x14ac:dyDescent="0.35">
      <c r="A22" s="11"/>
      <c r="B22" s="24" t="s">
        <v>42</v>
      </c>
      <c r="C22" s="25" t="s">
        <v>1</v>
      </c>
      <c r="D22" s="10" t="s">
        <v>32</v>
      </c>
      <c r="E22" s="10" t="s">
        <v>34</v>
      </c>
      <c r="F22" s="571" t="s">
        <v>36</v>
      </c>
      <c r="G22" s="572" t="s">
        <v>40</v>
      </c>
      <c r="H22" s="572" t="s">
        <v>32</v>
      </c>
      <c r="I22" s="573" t="s">
        <v>43</v>
      </c>
      <c r="J22" s="10"/>
      <c r="K22" s="26">
        <f>K23</f>
        <v>2439.1999999999998</v>
      </c>
      <c r="L22" s="26">
        <f>L23</f>
        <v>0</v>
      </c>
      <c r="M22" s="26">
        <v>2439.1999999999998</v>
      </c>
    </row>
    <row r="23" spans="1:15" s="117" customFormat="1" ht="112.5" customHeight="1" x14ac:dyDescent="0.35">
      <c r="A23" s="11"/>
      <c r="B23" s="24" t="s">
        <v>44</v>
      </c>
      <c r="C23" s="25" t="s">
        <v>1</v>
      </c>
      <c r="D23" s="10" t="s">
        <v>32</v>
      </c>
      <c r="E23" s="10" t="s">
        <v>34</v>
      </c>
      <c r="F23" s="571" t="s">
        <v>36</v>
      </c>
      <c r="G23" s="572" t="s">
        <v>40</v>
      </c>
      <c r="H23" s="572" t="s">
        <v>32</v>
      </c>
      <c r="I23" s="573" t="s">
        <v>43</v>
      </c>
      <c r="J23" s="10" t="s">
        <v>45</v>
      </c>
      <c r="K23" s="26">
        <f>2067.1+372.1</f>
        <v>2439.1999999999998</v>
      </c>
      <c r="L23" s="26">
        <f>M23-K23</f>
        <v>0</v>
      </c>
      <c r="M23" s="26">
        <v>2439.1999999999998</v>
      </c>
    </row>
    <row r="24" spans="1:15" s="122" customFormat="1" ht="75.75" customHeight="1" x14ac:dyDescent="0.35">
      <c r="A24" s="11"/>
      <c r="B24" s="24" t="s">
        <v>46</v>
      </c>
      <c r="C24" s="25" t="s">
        <v>1</v>
      </c>
      <c r="D24" s="10" t="s">
        <v>32</v>
      </c>
      <c r="E24" s="10" t="s">
        <v>47</v>
      </c>
      <c r="F24" s="571"/>
      <c r="G24" s="572"/>
      <c r="H24" s="572"/>
      <c r="I24" s="573"/>
      <c r="J24" s="10"/>
      <c r="K24" s="26">
        <f t="shared" ref="K24:M25" si="1">K25</f>
        <v>81135.299999999988</v>
      </c>
      <c r="L24" s="26">
        <f t="shared" si="1"/>
        <v>3006.2000000000057</v>
      </c>
      <c r="M24" s="26">
        <v>84141.5</v>
      </c>
    </row>
    <row r="25" spans="1:15" s="122" customFormat="1" ht="60" customHeight="1" x14ac:dyDescent="0.35">
      <c r="A25" s="11"/>
      <c r="B25" s="24" t="s">
        <v>48</v>
      </c>
      <c r="C25" s="25" t="s">
        <v>1</v>
      </c>
      <c r="D25" s="10" t="s">
        <v>32</v>
      </c>
      <c r="E25" s="10" t="s">
        <v>47</v>
      </c>
      <c r="F25" s="571" t="s">
        <v>36</v>
      </c>
      <c r="G25" s="572" t="s">
        <v>37</v>
      </c>
      <c r="H25" s="572" t="s">
        <v>38</v>
      </c>
      <c r="I25" s="573" t="s">
        <v>39</v>
      </c>
      <c r="J25" s="10"/>
      <c r="K25" s="26">
        <f t="shared" si="1"/>
        <v>81135.299999999988</v>
      </c>
      <c r="L25" s="26">
        <f t="shared" si="1"/>
        <v>3006.2000000000057</v>
      </c>
      <c r="M25" s="26">
        <v>84141.5</v>
      </c>
    </row>
    <row r="26" spans="1:15" s="7" customFormat="1" ht="37.5" customHeight="1" x14ac:dyDescent="0.35">
      <c r="A26" s="11"/>
      <c r="B26" s="24" t="s">
        <v>328</v>
      </c>
      <c r="C26" s="25" t="s">
        <v>1</v>
      </c>
      <c r="D26" s="10" t="s">
        <v>32</v>
      </c>
      <c r="E26" s="10" t="s">
        <v>47</v>
      </c>
      <c r="F26" s="571" t="s">
        <v>36</v>
      </c>
      <c r="G26" s="572" t="s">
        <v>40</v>
      </c>
      <c r="H26" s="572" t="s">
        <v>38</v>
      </c>
      <c r="I26" s="573" t="s">
        <v>39</v>
      </c>
      <c r="J26" s="10"/>
      <c r="K26" s="26">
        <f>K27+K46</f>
        <v>81135.299999999988</v>
      </c>
      <c r="L26" s="26">
        <f>L27+L46</f>
        <v>3006.2000000000057</v>
      </c>
      <c r="M26" s="26">
        <v>84141.5</v>
      </c>
    </row>
    <row r="27" spans="1:15" s="7" customFormat="1" ht="37.5" customHeight="1" x14ac:dyDescent="0.35">
      <c r="A27" s="11"/>
      <c r="B27" s="24" t="s">
        <v>49</v>
      </c>
      <c r="C27" s="25" t="s">
        <v>1</v>
      </c>
      <c r="D27" s="10" t="s">
        <v>32</v>
      </c>
      <c r="E27" s="10" t="s">
        <v>47</v>
      </c>
      <c r="F27" s="571" t="s">
        <v>36</v>
      </c>
      <c r="G27" s="572" t="s">
        <v>40</v>
      </c>
      <c r="H27" s="572" t="s">
        <v>34</v>
      </c>
      <c r="I27" s="573" t="s">
        <v>39</v>
      </c>
      <c r="J27" s="10"/>
      <c r="K27" s="26">
        <f>K28+K36+K38+K34+K41+K43+K32</f>
        <v>81120.299999999988</v>
      </c>
      <c r="L27" s="26">
        <f t="shared" ref="L27:M27" si="2">L28+L36+L38+L34+L41+L43+L32</f>
        <v>3006.2000000000057</v>
      </c>
      <c r="M27" s="26">
        <v>84126.5</v>
      </c>
    </row>
    <row r="28" spans="1:15" s="117" customFormat="1" ht="37.5" customHeight="1" x14ac:dyDescent="0.35">
      <c r="A28" s="11"/>
      <c r="B28" s="24" t="s">
        <v>42</v>
      </c>
      <c r="C28" s="25" t="s">
        <v>1</v>
      </c>
      <c r="D28" s="10" t="s">
        <v>32</v>
      </c>
      <c r="E28" s="10" t="s">
        <v>47</v>
      </c>
      <c r="F28" s="571" t="s">
        <v>36</v>
      </c>
      <c r="G28" s="572" t="s">
        <v>40</v>
      </c>
      <c r="H28" s="572" t="s">
        <v>34</v>
      </c>
      <c r="I28" s="573" t="s">
        <v>43</v>
      </c>
      <c r="J28" s="10"/>
      <c r="K28" s="26">
        <f>K29+K30+K31</f>
        <v>76218.5</v>
      </c>
      <c r="L28" s="26">
        <f>L29+L30+L31</f>
        <v>2381.6000000000058</v>
      </c>
      <c r="M28" s="26">
        <v>78600.100000000006</v>
      </c>
    </row>
    <row r="29" spans="1:15" s="117" customFormat="1" ht="112.5" customHeight="1" x14ac:dyDescent="0.35">
      <c r="A29" s="11"/>
      <c r="B29" s="24" t="s">
        <v>44</v>
      </c>
      <c r="C29" s="25" t="s">
        <v>1</v>
      </c>
      <c r="D29" s="10" t="s">
        <v>32</v>
      </c>
      <c r="E29" s="10" t="s">
        <v>47</v>
      </c>
      <c r="F29" s="571" t="s">
        <v>36</v>
      </c>
      <c r="G29" s="572" t="s">
        <v>40</v>
      </c>
      <c r="H29" s="572" t="s">
        <v>34</v>
      </c>
      <c r="I29" s="573" t="s">
        <v>43</v>
      </c>
      <c r="J29" s="10" t="s">
        <v>45</v>
      </c>
      <c r="K29" s="26">
        <f>60208.2+168.8+10014.1</f>
        <v>70391.100000000006</v>
      </c>
      <c r="L29" s="26">
        <f>M29-K29</f>
        <v>2381.6000000000058</v>
      </c>
      <c r="M29" s="26">
        <v>72772.700000000012</v>
      </c>
      <c r="N29" s="122"/>
    </row>
    <row r="30" spans="1:15" s="7" customFormat="1" ht="56.25" customHeight="1" x14ac:dyDescent="0.35">
      <c r="A30" s="11"/>
      <c r="B30" s="24" t="s">
        <v>50</v>
      </c>
      <c r="C30" s="25" t="s">
        <v>1</v>
      </c>
      <c r="D30" s="10" t="s">
        <v>32</v>
      </c>
      <c r="E30" s="10" t="s">
        <v>47</v>
      </c>
      <c r="F30" s="571" t="s">
        <v>36</v>
      </c>
      <c r="G30" s="572" t="s">
        <v>40</v>
      </c>
      <c r="H30" s="572" t="s">
        <v>34</v>
      </c>
      <c r="I30" s="573" t="s">
        <v>43</v>
      </c>
      <c r="J30" s="10" t="s">
        <v>51</v>
      </c>
      <c r="K30" s="26">
        <f>6016.5-290</f>
        <v>5726.5</v>
      </c>
      <c r="L30" s="26">
        <f>M30-K30</f>
        <v>0</v>
      </c>
      <c r="M30" s="26">
        <v>5726.5</v>
      </c>
    </row>
    <row r="31" spans="1:15" s="117" customFormat="1" ht="18.75" customHeight="1" x14ac:dyDescent="0.35">
      <c r="A31" s="11"/>
      <c r="B31" s="24" t="s">
        <v>52</v>
      </c>
      <c r="C31" s="25" t="s">
        <v>1</v>
      </c>
      <c r="D31" s="10" t="s">
        <v>32</v>
      </c>
      <c r="E31" s="10" t="s">
        <v>47</v>
      </c>
      <c r="F31" s="571" t="s">
        <v>36</v>
      </c>
      <c r="G31" s="572" t="s">
        <v>40</v>
      </c>
      <c r="H31" s="572" t="s">
        <v>34</v>
      </c>
      <c r="I31" s="573" t="s">
        <v>43</v>
      </c>
      <c r="J31" s="10" t="s">
        <v>53</v>
      </c>
      <c r="K31" s="26">
        <v>100.9</v>
      </c>
      <c r="L31" s="26">
        <f>M31-K31</f>
        <v>0</v>
      </c>
      <c r="M31" s="26">
        <v>100.9</v>
      </c>
      <c r="N31" s="7"/>
    </row>
    <row r="32" spans="1:15" s="117" customFormat="1" ht="18.75" customHeight="1" x14ac:dyDescent="0.35">
      <c r="A32" s="11"/>
      <c r="B32" s="24" t="s">
        <v>438</v>
      </c>
      <c r="C32" s="25" t="s">
        <v>1</v>
      </c>
      <c r="D32" s="10" t="s">
        <v>32</v>
      </c>
      <c r="E32" s="10" t="s">
        <v>47</v>
      </c>
      <c r="F32" s="571" t="s">
        <v>36</v>
      </c>
      <c r="G32" s="572" t="s">
        <v>40</v>
      </c>
      <c r="H32" s="572" t="s">
        <v>34</v>
      </c>
      <c r="I32" s="573" t="s">
        <v>376</v>
      </c>
      <c r="J32" s="10"/>
      <c r="K32" s="26">
        <f>K33</f>
        <v>0</v>
      </c>
      <c r="L32" s="26">
        <f>L33</f>
        <v>624.6</v>
      </c>
      <c r="M32" s="26">
        <v>624.6</v>
      </c>
      <c r="N32" s="7"/>
    </row>
    <row r="33" spans="1:14" s="117" customFormat="1" ht="54" x14ac:dyDescent="0.35">
      <c r="A33" s="11"/>
      <c r="B33" s="24" t="s">
        <v>50</v>
      </c>
      <c r="C33" s="25" t="s">
        <v>1</v>
      </c>
      <c r="D33" s="10" t="s">
        <v>32</v>
      </c>
      <c r="E33" s="10" t="s">
        <v>47</v>
      </c>
      <c r="F33" s="571" t="s">
        <v>36</v>
      </c>
      <c r="G33" s="572" t="s">
        <v>40</v>
      </c>
      <c r="H33" s="572" t="s">
        <v>34</v>
      </c>
      <c r="I33" s="573" t="s">
        <v>376</v>
      </c>
      <c r="J33" s="10" t="s">
        <v>51</v>
      </c>
      <c r="K33" s="26">
        <v>0</v>
      </c>
      <c r="L33" s="26">
        <f>M33-K33</f>
        <v>624.6</v>
      </c>
      <c r="M33" s="26">
        <v>624.6</v>
      </c>
      <c r="N33" s="7"/>
    </row>
    <row r="34" spans="1:14" s="122" customFormat="1" ht="97.5" customHeight="1" x14ac:dyDescent="0.35">
      <c r="A34" s="11"/>
      <c r="B34" s="24" t="s">
        <v>421</v>
      </c>
      <c r="C34" s="25" t="s">
        <v>1</v>
      </c>
      <c r="D34" s="10" t="s">
        <v>32</v>
      </c>
      <c r="E34" s="10" t="s">
        <v>47</v>
      </c>
      <c r="F34" s="571" t="s">
        <v>36</v>
      </c>
      <c r="G34" s="572" t="s">
        <v>40</v>
      </c>
      <c r="H34" s="572" t="s">
        <v>34</v>
      </c>
      <c r="I34" s="573" t="s">
        <v>253</v>
      </c>
      <c r="J34" s="10"/>
      <c r="K34" s="26">
        <f>K35</f>
        <v>63</v>
      </c>
      <c r="L34" s="26">
        <f>L35</f>
        <v>0</v>
      </c>
      <c r="M34" s="26">
        <v>63</v>
      </c>
    </row>
    <row r="35" spans="1:14" s="122" customFormat="1" ht="56.25" customHeight="1" x14ac:dyDescent="0.35">
      <c r="A35" s="11"/>
      <c r="B35" s="24" t="s">
        <v>50</v>
      </c>
      <c r="C35" s="25" t="s">
        <v>1</v>
      </c>
      <c r="D35" s="10" t="s">
        <v>32</v>
      </c>
      <c r="E35" s="10" t="s">
        <v>47</v>
      </c>
      <c r="F35" s="571" t="s">
        <v>36</v>
      </c>
      <c r="G35" s="572" t="s">
        <v>40</v>
      </c>
      <c r="H35" s="572" t="s">
        <v>34</v>
      </c>
      <c r="I35" s="573" t="s">
        <v>253</v>
      </c>
      <c r="J35" s="10" t="s">
        <v>51</v>
      </c>
      <c r="K35" s="26">
        <v>63</v>
      </c>
      <c r="L35" s="26">
        <f>M35-K35</f>
        <v>0</v>
      </c>
      <c r="M35" s="26">
        <v>63</v>
      </c>
    </row>
    <row r="36" spans="1:14" s="122" customFormat="1" ht="200.4" customHeight="1" x14ac:dyDescent="0.35">
      <c r="A36" s="11"/>
      <c r="B36" s="44" t="s">
        <v>429</v>
      </c>
      <c r="C36" s="25" t="s">
        <v>1</v>
      </c>
      <c r="D36" s="10" t="s">
        <v>32</v>
      </c>
      <c r="E36" s="10" t="s">
        <v>47</v>
      </c>
      <c r="F36" s="571" t="s">
        <v>36</v>
      </c>
      <c r="G36" s="572" t="s">
        <v>40</v>
      </c>
      <c r="H36" s="572" t="s">
        <v>34</v>
      </c>
      <c r="I36" s="573" t="s">
        <v>54</v>
      </c>
      <c r="J36" s="10"/>
      <c r="K36" s="26">
        <f>K37</f>
        <v>645.20000000000005</v>
      </c>
      <c r="L36" s="26">
        <f>L37</f>
        <v>0</v>
      </c>
      <c r="M36" s="26">
        <v>645.20000000000005</v>
      </c>
    </row>
    <row r="37" spans="1:14" s="122" customFormat="1" ht="110.4" customHeight="1" x14ac:dyDescent="0.35">
      <c r="A37" s="11"/>
      <c r="B37" s="24" t="s">
        <v>44</v>
      </c>
      <c r="C37" s="25" t="s">
        <v>1</v>
      </c>
      <c r="D37" s="10" t="s">
        <v>32</v>
      </c>
      <c r="E37" s="10" t="s">
        <v>47</v>
      </c>
      <c r="F37" s="571" t="s">
        <v>36</v>
      </c>
      <c r="G37" s="572" t="s">
        <v>40</v>
      </c>
      <c r="H37" s="572" t="s">
        <v>34</v>
      </c>
      <c r="I37" s="573" t="s">
        <v>54</v>
      </c>
      <c r="J37" s="10" t="s">
        <v>45</v>
      </c>
      <c r="K37" s="26">
        <v>645.20000000000005</v>
      </c>
      <c r="L37" s="26">
        <f>M37-K37</f>
        <v>0</v>
      </c>
      <c r="M37" s="26">
        <v>645.20000000000005</v>
      </c>
    </row>
    <row r="38" spans="1:14" s="122" customFormat="1" ht="75" customHeight="1" x14ac:dyDescent="0.35">
      <c r="A38" s="11"/>
      <c r="B38" s="24" t="s">
        <v>397</v>
      </c>
      <c r="C38" s="25" t="s">
        <v>1</v>
      </c>
      <c r="D38" s="10" t="s">
        <v>32</v>
      </c>
      <c r="E38" s="10" t="s">
        <v>47</v>
      </c>
      <c r="F38" s="571" t="s">
        <v>36</v>
      </c>
      <c r="G38" s="572" t="s">
        <v>40</v>
      </c>
      <c r="H38" s="572" t="s">
        <v>34</v>
      </c>
      <c r="I38" s="573" t="s">
        <v>56</v>
      </c>
      <c r="J38" s="10"/>
      <c r="K38" s="26">
        <f>K39+K40</f>
        <v>645.4</v>
      </c>
      <c r="L38" s="26">
        <f>L39+L40</f>
        <v>0</v>
      </c>
      <c r="M38" s="26">
        <v>645.4</v>
      </c>
    </row>
    <row r="39" spans="1:14" s="122" customFormat="1" ht="112.5" customHeight="1" x14ac:dyDescent="0.35">
      <c r="A39" s="11"/>
      <c r="B39" s="24" t="s">
        <v>44</v>
      </c>
      <c r="C39" s="25" t="s">
        <v>1</v>
      </c>
      <c r="D39" s="10" t="s">
        <v>32</v>
      </c>
      <c r="E39" s="10" t="s">
        <v>47</v>
      </c>
      <c r="F39" s="571" t="s">
        <v>36</v>
      </c>
      <c r="G39" s="572" t="s">
        <v>40</v>
      </c>
      <c r="H39" s="572" t="s">
        <v>34</v>
      </c>
      <c r="I39" s="573" t="s">
        <v>56</v>
      </c>
      <c r="J39" s="10" t="s">
        <v>45</v>
      </c>
      <c r="K39" s="26">
        <v>641</v>
      </c>
      <c r="L39" s="26">
        <f>M39-K39</f>
        <v>0</v>
      </c>
      <c r="M39" s="26">
        <v>641</v>
      </c>
    </row>
    <row r="40" spans="1:14" s="122" customFormat="1" ht="56.25" customHeight="1" x14ac:dyDescent="0.35">
      <c r="A40" s="11"/>
      <c r="B40" s="24" t="s">
        <v>50</v>
      </c>
      <c r="C40" s="25" t="s">
        <v>1</v>
      </c>
      <c r="D40" s="10" t="s">
        <v>32</v>
      </c>
      <c r="E40" s="10" t="s">
        <v>47</v>
      </c>
      <c r="F40" s="571" t="s">
        <v>36</v>
      </c>
      <c r="G40" s="572" t="s">
        <v>40</v>
      </c>
      <c r="H40" s="572" t="s">
        <v>34</v>
      </c>
      <c r="I40" s="573" t="s">
        <v>56</v>
      </c>
      <c r="J40" s="10" t="s">
        <v>51</v>
      </c>
      <c r="K40" s="26">
        <v>4.4000000000000004</v>
      </c>
      <c r="L40" s="26">
        <f>M40-K40</f>
        <v>0</v>
      </c>
      <c r="M40" s="26">
        <v>4.4000000000000004</v>
      </c>
    </row>
    <row r="41" spans="1:14" s="122" customFormat="1" ht="177.6" customHeight="1" x14ac:dyDescent="0.35">
      <c r="A41" s="11"/>
      <c r="B41" s="44" t="s">
        <v>365</v>
      </c>
      <c r="C41" s="25" t="s">
        <v>1</v>
      </c>
      <c r="D41" s="10" t="s">
        <v>32</v>
      </c>
      <c r="E41" s="10" t="s">
        <v>47</v>
      </c>
      <c r="F41" s="571" t="s">
        <v>36</v>
      </c>
      <c r="G41" s="572" t="s">
        <v>40</v>
      </c>
      <c r="H41" s="572" t="s">
        <v>34</v>
      </c>
      <c r="I41" s="573" t="s">
        <v>364</v>
      </c>
      <c r="J41" s="10"/>
      <c r="K41" s="26">
        <f>K42</f>
        <v>63</v>
      </c>
      <c r="L41" s="26">
        <f>L42</f>
        <v>0</v>
      </c>
      <c r="M41" s="26">
        <v>63</v>
      </c>
    </row>
    <row r="42" spans="1:14" s="122" customFormat="1" ht="56.25" customHeight="1" x14ac:dyDescent="0.35">
      <c r="A42" s="11"/>
      <c r="B42" s="24" t="s">
        <v>50</v>
      </c>
      <c r="C42" s="25" t="s">
        <v>1</v>
      </c>
      <c r="D42" s="10" t="s">
        <v>32</v>
      </c>
      <c r="E42" s="10" t="s">
        <v>47</v>
      </c>
      <c r="F42" s="571" t="s">
        <v>36</v>
      </c>
      <c r="G42" s="572" t="s">
        <v>40</v>
      </c>
      <c r="H42" s="572" t="s">
        <v>34</v>
      </c>
      <c r="I42" s="573" t="s">
        <v>364</v>
      </c>
      <c r="J42" s="10" t="s">
        <v>51</v>
      </c>
      <c r="K42" s="26">
        <v>63</v>
      </c>
      <c r="L42" s="26">
        <f>M42-K42</f>
        <v>0</v>
      </c>
      <c r="M42" s="26">
        <v>63</v>
      </c>
    </row>
    <row r="43" spans="1:14" s="122" customFormat="1" ht="76.8" customHeight="1" x14ac:dyDescent="0.35">
      <c r="A43" s="11"/>
      <c r="B43" s="24" t="s">
        <v>55</v>
      </c>
      <c r="C43" s="25" t="s">
        <v>1</v>
      </c>
      <c r="D43" s="10" t="s">
        <v>32</v>
      </c>
      <c r="E43" s="10" t="s">
        <v>47</v>
      </c>
      <c r="F43" s="571" t="s">
        <v>36</v>
      </c>
      <c r="G43" s="572" t="s">
        <v>40</v>
      </c>
      <c r="H43" s="572" t="s">
        <v>34</v>
      </c>
      <c r="I43" s="573" t="s">
        <v>530</v>
      </c>
      <c r="J43" s="10"/>
      <c r="K43" s="26">
        <f>SUM(K44:K45)</f>
        <v>3485.2</v>
      </c>
      <c r="L43" s="26">
        <f>SUM(L44:L45)</f>
        <v>0</v>
      </c>
      <c r="M43" s="26">
        <v>3485.2</v>
      </c>
    </row>
    <row r="44" spans="1:14" s="122" customFormat="1" ht="56.25" customHeight="1" x14ac:dyDescent="0.35">
      <c r="A44" s="11"/>
      <c r="B44" s="24" t="s">
        <v>44</v>
      </c>
      <c r="C44" s="25" t="s">
        <v>1</v>
      </c>
      <c r="D44" s="10" t="s">
        <v>32</v>
      </c>
      <c r="E44" s="10" t="s">
        <v>47</v>
      </c>
      <c r="F44" s="571" t="s">
        <v>36</v>
      </c>
      <c r="G44" s="572" t="s">
        <v>40</v>
      </c>
      <c r="H44" s="572" t="s">
        <v>34</v>
      </c>
      <c r="I44" s="573" t="s">
        <v>530</v>
      </c>
      <c r="J44" s="10" t="s">
        <v>45</v>
      </c>
      <c r="K44" s="26">
        <v>3293.6</v>
      </c>
      <c r="L44" s="26">
        <f>M44-K44</f>
        <v>0</v>
      </c>
      <c r="M44" s="26">
        <v>3293.6</v>
      </c>
    </row>
    <row r="45" spans="1:14" s="122" customFormat="1" ht="56.25" customHeight="1" x14ac:dyDescent="0.35">
      <c r="A45" s="11"/>
      <c r="B45" s="24" t="s">
        <v>50</v>
      </c>
      <c r="C45" s="25" t="s">
        <v>1</v>
      </c>
      <c r="D45" s="10" t="s">
        <v>32</v>
      </c>
      <c r="E45" s="10" t="s">
        <v>47</v>
      </c>
      <c r="F45" s="571" t="s">
        <v>36</v>
      </c>
      <c r="G45" s="572" t="s">
        <v>40</v>
      </c>
      <c r="H45" s="572" t="s">
        <v>34</v>
      </c>
      <c r="I45" s="573" t="s">
        <v>530</v>
      </c>
      <c r="J45" s="10" t="s">
        <v>51</v>
      </c>
      <c r="K45" s="26">
        <v>191.6</v>
      </c>
      <c r="L45" s="26">
        <f>M45-K45</f>
        <v>0</v>
      </c>
      <c r="M45" s="26">
        <v>191.6</v>
      </c>
    </row>
    <row r="46" spans="1:14" s="7" customFormat="1" ht="18.75" customHeight="1" x14ac:dyDescent="0.35">
      <c r="A46" s="11"/>
      <c r="B46" s="24" t="s">
        <v>57</v>
      </c>
      <c r="C46" s="25" t="s">
        <v>1</v>
      </c>
      <c r="D46" s="10" t="s">
        <v>32</v>
      </c>
      <c r="E46" s="10" t="s">
        <v>47</v>
      </c>
      <c r="F46" s="571" t="s">
        <v>36</v>
      </c>
      <c r="G46" s="572" t="s">
        <v>40</v>
      </c>
      <c r="H46" s="572" t="s">
        <v>58</v>
      </c>
      <c r="I46" s="573" t="s">
        <v>39</v>
      </c>
      <c r="J46" s="10"/>
      <c r="K46" s="26">
        <f t="shared" ref="K46:M46" si="3">K47</f>
        <v>15</v>
      </c>
      <c r="L46" s="26">
        <f t="shared" si="3"/>
        <v>0</v>
      </c>
      <c r="M46" s="26">
        <v>15</v>
      </c>
    </row>
    <row r="47" spans="1:14" s="117" customFormat="1" ht="37.5" customHeight="1" x14ac:dyDescent="0.35">
      <c r="A47" s="11"/>
      <c r="B47" s="24" t="s">
        <v>42</v>
      </c>
      <c r="C47" s="25" t="s">
        <v>1</v>
      </c>
      <c r="D47" s="10" t="s">
        <v>32</v>
      </c>
      <c r="E47" s="10" t="s">
        <v>47</v>
      </c>
      <c r="F47" s="571" t="s">
        <v>36</v>
      </c>
      <c r="G47" s="572" t="s">
        <v>40</v>
      </c>
      <c r="H47" s="572" t="s">
        <v>58</v>
      </c>
      <c r="I47" s="573" t="s">
        <v>43</v>
      </c>
      <c r="J47" s="10"/>
      <c r="K47" s="26">
        <f>K48</f>
        <v>15</v>
      </c>
      <c r="L47" s="26">
        <f>L48</f>
        <v>0</v>
      </c>
      <c r="M47" s="26">
        <v>15</v>
      </c>
    </row>
    <row r="48" spans="1:14" s="7" customFormat="1" ht="56.25" customHeight="1" x14ac:dyDescent="0.35">
      <c r="A48" s="11"/>
      <c r="B48" s="24" t="s">
        <v>50</v>
      </c>
      <c r="C48" s="25" t="s">
        <v>1</v>
      </c>
      <c r="D48" s="10" t="s">
        <v>32</v>
      </c>
      <c r="E48" s="10" t="s">
        <v>47</v>
      </c>
      <c r="F48" s="571" t="s">
        <v>36</v>
      </c>
      <c r="G48" s="572" t="s">
        <v>40</v>
      </c>
      <c r="H48" s="572" t="s">
        <v>58</v>
      </c>
      <c r="I48" s="573" t="s">
        <v>43</v>
      </c>
      <c r="J48" s="10" t="s">
        <v>51</v>
      </c>
      <c r="K48" s="26">
        <f>127.4-112.4</f>
        <v>15</v>
      </c>
      <c r="L48" s="26">
        <f>M48-K48</f>
        <v>0</v>
      </c>
      <c r="M48" s="26">
        <v>15</v>
      </c>
    </row>
    <row r="49" spans="1:13" s="7" customFormat="1" ht="18.75" customHeight="1" x14ac:dyDescent="0.35">
      <c r="A49" s="11"/>
      <c r="B49" s="24" t="s">
        <v>383</v>
      </c>
      <c r="C49" s="25" t="s">
        <v>1</v>
      </c>
      <c r="D49" s="10" t="s">
        <v>32</v>
      </c>
      <c r="E49" s="10" t="s">
        <v>60</v>
      </c>
      <c r="F49" s="571"/>
      <c r="G49" s="572"/>
      <c r="H49" s="572"/>
      <c r="I49" s="573"/>
      <c r="J49" s="10"/>
      <c r="K49" s="26">
        <f t="shared" ref="K49:M52" si="4">K50</f>
        <v>140</v>
      </c>
      <c r="L49" s="26">
        <f t="shared" si="4"/>
        <v>0</v>
      </c>
      <c r="M49" s="26">
        <v>140</v>
      </c>
    </row>
    <row r="50" spans="1:13" s="7" customFormat="1" ht="59.25" customHeight="1" x14ac:dyDescent="0.35">
      <c r="A50" s="11"/>
      <c r="B50" s="24" t="s">
        <v>48</v>
      </c>
      <c r="C50" s="25" t="s">
        <v>1</v>
      </c>
      <c r="D50" s="10" t="s">
        <v>32</v>
      </c>
      <c r="E50" s="10" t="s">
        <v>60</v>
      </c>
      <c r="F50" s="571" t="s">
        <v>36</v>
      </c>
      <c r="G50" s="572" t="s">
        <v>37</v>
      </c>
      <c r="H50" s="572" t="s">
        <v>38</v>
      </c>
      <c r="I50" s="573" t="s">
        <v>39</v>
      </c>
      <c r="J50" s="10"/>
      <c r="K50" s="26">
        <f t="shared" si="4"/>
        <v>140</v>
      </c>
      <c r="L50" s="26">
        <f t="shared" si="4"/>
        <v>0</v>
      </c>
      <c r="M50" s="26">
        <v>140</v>
      </c>
    </row>
    <row r="51" spans="1:13" s="7" customFormat="1" ht="37.5" customHeight="1" x14ac:dyDescent="0.35">
      <c r="A51" s="11"/>
      <c r="B51" s="24" t="s">
        <v>328</v>
      </c>
      <c r="C51" s="25" t="s">
        <v>1</v>
      </c>
      <c r="D51" s="10" t="s">
        <v>32</v>
      </c>
      <c r="E51" s="10" t="s">
        <v>60</v>
      </c>
      <c r="F51" s="571" t="s">
        <v>36</v>
      </c>
      <c r="G51" s="572" t="s">
        <v>40</v>
      </c>
      <c r="H51" s="572" t="s">
        <v>38</v>
      </c>
      <c r="I51" s="573" t="s">
        <v>39</v>
      </c>
      <c r="J51" s="10"/>
      <c r="K51" s="26">
        <f t="shared" si="4"/>
        <v>140</v>
      </c>
      <c r="L51" s="26">
        <f t="shared" si="4"/>
        <v>0</v>
      </c>
      <c r="M51" s="26">
        <v>140</v>
      </c>
    </row>
    <row r="52" spans="1:13" s="7" customFormat="1" ht="37.5" customHeight="1" x14ac:dyDescent="0.35">
      <c r="A52" s="11"/>
      <c r="B52" s="24" t="s">
        <v>49</v>
      </c>
      <c r="C52" s="25" t="s">
        <v>1</v>
      </c>
      <c r="D52" s="10" t="s">
        <v>32</v>
      </c>
      <c r="E52" s="10" t="s">
        <v>60</v>
      </c>
      <c r="F52" s="571" t="s">
        <v>36</v>
      </c>
      <c r="G52" s="572" t="s">
        <v>40</v>
      </c>
      <c r="H52" s="572" t="s">
        <v>34</v>
      </c>
      <c r="I52" s="573" t="s">
        <v>39</v>
      </c>
      <c r="J52" s="10"/>
      <c r="K52" s="26">
        <f t="shared" si="4"/>
        <v>140</v>
      </c>
      <c r="L52" s="26">
        <f t="shared" si="4"/>
        <v>0</v>
      </c>
      <c r="M52" s="26">
        <v>140</v>
      </c>
    </row>
    <row r="53" spans="1:13" s="7" customFormat="1" ht="72" x14ac:dyDescent="0.35">
      <c r="A53" s="11"/>
      <c r="B53" s="24" t="s">
        <v>385</v>
      </c>
      <c r="C53" s="25" t="s">
        <v>1</v>
      </c>
      <c r="D53" s="10" t="s">
        <v>32</v>
      </c>
      <c r="E53" s="10" t="s">
        <v>60</v>
      </c>
      <c r="F53" s="571" t="s">
        <v>36</v>
      </c>
      <c r="G53" s="572" t="s">
        <v>40</v>
      </c>
      <c r="H53" s="572" t="s">
        <v>34</v>
      </c>
      <c r="I53" s="573" t="s">
        <v>384</v>
      </c>
      <c r="J53" s="10"/>
      <c r="K53" s="26">
        <f>K54</f>
        <v>140</v>
      </c>
      <c r="L53" s="26">
        <f>L54</f>
        <v>0</v>
      </c>
      <c r="M53" s="26">
        <v>140</v>
      </c>
    </row>
    <row r="54" spans="1:13" s="7" customFormat="1" ht="56.25" customHeight="1" x14ac:dyDescent="0.35">
      <c r="A54" s="11"/>
      <c r="B54" s="24" t="s">
        <v>50</v>
      </c>
      <c r="C54" s="25" t="s">
        <v>1</v>
      </c>
      <c r="D54" s="10" t="s">
        <v>32</v>
      </c>
      <c r="E54" s="10" t="s">
        <v>60</v>
      </c>
      <c r="F54" s="571" t="s">
        <v>36</v>
      </c>
      <c r="G54" s="572" t="s">
        <v>40</v>
      </c>
      <c r="H54" s="572" t="s">
        <v>34</v>
      </c>
      <c r="I54" s="573" t="s">
        <v>384</v>
      </c>
      <c r="J54" s="10" t="s">
        <v>51</v>
      </c>
      <c r="K54" s="26">
        <f>105+35</f>
        <v>140</v>
      </c>
      <c r="L54" s="26">
        <f>M54-K54</f>
        <v>0</v>
      </c>
      <c r="M54" s="26">
        <v>140</v>
      </c>
    </row>
    <row r="55" spans="1:13" s="117" customFormat="1" ht="18.75" customHeight="1" x14ac:dyDescent="0.35">
      <c r="A55" s="11"/>
      <c r="B55" s="24" t="s">
        <v>61</v>
      </c>
      <c r="C55" s="25" t="s">
        <v>1</v>
      </c>
      <c r="D55" s="10" t="s">
        <v>32</v>
      </c>
      <c r="E55" s="10" t="s">
        <v>62</v>
      </c>
      <c r="F55" s="571"/>
      <c r="G55" s="572"/>
      <c r="H55" s="572"/>
      <c r="I55" s="573"/>
      <c r="J55" s="10"/>
      <c r="K55" s="26">
        <f t="shared" ref="K55:M56" si="5">K56</f>
        <v>5000</v>
      </c>
      <c r="L55" s="26">
        <f t="shared" si="5"/>
        <v>6000</v>
      </c>
      <c r="M55" s="26">
        <v>11000</v>
      </c>
    </row>
    <row r="56" spans="1:13" s="117" customFormat="1" ht="37.5" customHeight="1" x14ac:dyDescent="0.35">
      <c r="A56" s="11"/>
      <c r="B56" s="24" t="s">
        <v>423</v>
      </c>
      <c r="C56" s="25" t="s">
        <v>1</v>
      </c>
      <c r="D56" s="10" t="s">
        <v>32</v>
      </c>
      <c r="E56" s="10" t="s">
        <v>62</v>
      </c>
      <c r="F56" s="571" t="s">
        <v>63</v>
      </c>
      <c r="G56" s="572" t="s">
        <v>37</v>
      </c>
      <c r="H56" s="572" t="s">
        <v>38</v>
      </c>
      <c r="I56" s="573" t="s">
        <v>39</v>
      </c>
      <c r="J56" s="10"/>
      <c r="K56" s="26">
        <f t="shared" si="5"/>
        <v>5000</v>
      </c>
      <c r="L56" s="26">
        <f t="shared" si="5"/>
        <v>6000</v>
      </c>
      <c r="M56" s="26">
        <v>11000</v>
      </c>
    </row>
    <row r="57" spans="1:13" s="117" customFormat="1" ht="18.75" customHeight="1" x14ac:dyDescent="0.35">
      <c r="A57" s="11"/>
      <c r="B57" s="27" t="s">
        <v>424</v>
      </c>
      <c r="C57" s="25" t="s">
        <v>1</v>
      </c>
      <c r="D57" s="10" t="s">
        <v>32</v>
      </c>
      <c r="E57" s="10" t="s">
        <v>62</v>
      </c>
      <c r="F57" s="571" t="s">
        <v>63</v>
      </c>
      <c r="G57" s="572" t="s">
        <v>40</v>
      </c>
      <c r="H57" s="572" t="s">
        <v>38</v>
      </c>
      <c r="I57" s="573" t="s">
        <v>39</v>
      </c>
      <c r="J57" s="10"/>
      <c r="K57" s="26">
        <f t="shared" ref="K57:M58" si="6">K58</f>
        <v>5000</v>
      </c>
      <c r="L57" s="26">
        <f t="shared" si="6"/>
        <v>6000</v>
      </c>
      <c r="M57" s="26">
        <v>11000</v>
      </c>
    </row>
    <row r="58" spans="1:13" s="117" customFormat="1" ht="40.200000000000003" customHeight="1" x14ac:dyDescent="0.35">
      <c r="A58" s="11"/>
      <c r="B58" s="24" t="s">
        <v>422</v>
      </c>
      <c r="C58" s="25" t="s">
        <v>1</v>
      </c>
      <c r="D58" s="10" t="s">
        <v>32</v>
      </c>
      <c r="E58" s="10" t="s">
        <v>62</v>
      </c>
      <c r="F58" s="571" t="s">
        <v>63</v>
      </c>
      <c r="G58" s="572" t="s">
        <v>40</v>
      </c>
      <c r="H58" s="572" t="s">
        <v>38</v>
      </c>
      <c r="I58" s="573" t="s">
        <v>64</v>
      </c>
      <c r="J58" s="10"/>
      <c r="K58" s="26">
        <f t="shared" si="6"/>
        <v>5000</v>
      </c>
      <c r="L58" s="26">
        <f t="shared" si="6"/>
        <v>6000</v>
      </c>
      <c r="M58" s="26">
        <v>11000</v>
      </c>
    </row>
    <row r="59" spans="1:13" s="117" customFormat="1" ht="18.75" customHeight="1" x14ac:dyDescent="0.35">
      <c r="A59" s="11"/>
      <c r="B59" s="24" t="s">
        <v>52</v>
      </c>
      <c r="C59" s="25" t="s">
        <v>1</v>
      </c>
      <c r="D59" s="10" t="s">
        <v>32</v>
      </c>
      <c r="E59" s="10" t="s">
        <v>62</v>
      </c>
      <c r="F59" s="571" t="s">
        <v>63</v>
      </c>
      <c r="G59" s="572" t="s">
        <v>40</v>
      </c>
      <c r="H59" s="572" t="s">
        <v>38</v>
      </c>
      <c r="I59" s="573" t="s">
        <v>64</v>
      </c>
      <c r="J59" s="10" t="s">
        <v>53</v>
      </c>
      <c r="K59" s="26">
        <v>5000</v>
      </c>
      <c r="L59" s="26">
        <f>M59-K59</f>
        <v>6000</v>
      </c>
      <c r="M59" s="26">
        <v>11000</v>
      </c>
    </row>
    <row r="60" spans="1:13" s="117" customFormat="1" ht="18.75" customHeight="1" x14ac:dyDescent="0.35">
      <c r="A60" s="11"/>
      <c r="B60" s="24" t="s">
        <v>65</v>
      </c>
      <c r="C60" s="25" t="s">
        <v>1</v>
      </c>
      <c r="D60" s="10" t="s">
        <v>32</v>
      </c>
      <c r="E60" s="10" t="s">
        <v>66</v>
      </c>
      <c r="F60" s="571"/>
      <c r="G60" s="572"/>
      <c r="H60" s="572"/>
      <c r="I60" s="573"/>
      <c r="J60" s="10"/>
      <c r="K60" s="26">
        <f>K66+K61</f>
        <v>5126.3</v>
      </c>
      <c r="L60" s="26">
        <f>L66+L61</f>
        <v>210</v>
      </c>
      <c r="M60" s="26">
        <v>5336.3</v>
      </c>
    </row>
    <row r="61" spans="1:13" s="117" customFormat="1" ht="72" x14ac:dyDescent="0.35">
      <c r="A61" s="11"/>
      <c r="B61" s="24" t="s">
        <v>67</v>
      </c>
      <c r="C61" s="25" t="s">
        <v>1</v>
      </c>
      <c r="D61" s="10" t="s">
        <v>32</v>
      </c>
      <c r="E61" s="10" t="s">
        <v>66</v>
      </c>
      <c r="F61" s="571" t="s">
        <v>68</v>
      </c>
      <c r="G61" s="572" t="s">
        <v>37</v>
      </c>
      <c r="H61" s="572" t="s">
        <v>38</v>
      </c>
      <c r="I61" s="573" t="s">
        <v>39</v>
      </c>
      <c r="J61" s="10"/>
      <c r="K61" s="26">
        <f t="shared" ref="K61:M63" si="7">K62</f>
        <v>303.60000000000002</v>
      </c>
      <c r="L61" s="26">
        <f t="shared" si="7"/>
        <v>0</v>
      </c>
      <c r="M61" s="26">
        <v>303.60000000000002</v>
      </c>
    </row>
    <row r="62" spans="1:13" s="117" customFormat="1" ht="37.5" customHeight="1" x14ac:dyDescent="0.35">
      <c r="A62" s="11"/>
      <c r="B62" s="24" t="s">
        <v>328</v>
      </c>
      <c r="C62" s="25" t="s">
        <v>1</v>
      </c>
      <c r="D62" s="10" t="s">
        <v>32</v>
      </c>
      <c r="E62" s="10" t="s">
        <v>66</v>
      </c>
      <c r="F62" s="571" t="s">
        <v>68</v>
      </c>
      <c r="G62" s="572" t="s">
        <v>40</v>
      </c>
      <c r="H62" s="572" t="s">
        <v>38</v>
      </c>
      <c r="I62" s="573" t="s">
        <v>39</v>
      </c>
      <c r="J62" s="10"/>
      <c r="K62" s="26">
        <f t="shared" si="7"/>
        <v>303.60000000000002</v>
      </c>
      <c r="L62" s="26">
        <f t="shared" si="7"/>
        <v>0</v>
      </c>
      <c r="M62" s="26">
        <v>303.60000000000002</v>
      </c>
    </row>
    <row r="63" spans="1:13" s="117" customFormat="1" ht="56.25" customHeight="1" x14ac:dyDescent="0.35">
      <c r="A63" s="11"/>
      <c r="B63" s="27" t="s">
        <v>254</v>
      </c>
      <c r="C63" s="25" t="s">
        <v>1</v>
      </c>
      <c r="D63" s="10" t="s">
        <v>32</v>
      </c>
      <c r="E63" s="10" t="s">
        <v>66</v>
      </c>
      <c r="F63" s="571" t="s">
        <v>68</v>
      </c>
      <c r="G63" s="572" t="s">
        <v>40</v>
      </c>
      <c r="H63" s="572" t="s">
        <v>32</v>
      </c>
      <c r="I63" s="573" t="s">
        <v>39</v>
      </c>
      <c r="J63" s="10"/>
      <c r="K63" s="26">
        <f t="shared" si="7"/>
        <v>303.60000000000002</v>
      </c>
      <c r="L63" s="26">
        <f t="shared" si="7"/>
        <v>0</v>
      </c>
      <c r="M63" s="26">
        <v>303.60000000000002</v>
      </c>
    </row>
    <row r="64" spans="1:13" s="117" customFormat="1" ht="54" customHeight="1" x14ac:dyDescent="0.35">
      <c r="A64" s="11"/>
      <c r="B64" s="27" t="s">
        <v>69</v>
      </c>
      <c r="C64" s="25" t="s">
        <v>1</v>
      </c>
      <c r="D64" s="10" t="s">
        <v>32</v>
      </c>
      <c r="E64" s="10" t="s">
        <v>66</v>
      </c>
      <c r="F64" s="571" t="s">
        <v>68</v>
      </c>
      <c r="G64" s="572" t="s">
        <v>40</v>
      </c>
      <c r="H64" s="572" t="s">
        <v>32</v>
      </c>
      <c r="I64" s="573" t="s">
        <v>70</v>
      </c>
      <c r="J64" s="10"/>
      <c r="K64" s="26">
        <f>K65</f>
        <v>303.60000000000002</v>
      </c>
      <c r="L64" s="26">
        <f>L65</f>
        <v>0</v>
      </c>
      <c r="M64" s="26">
        <v>303.60000000000002</v>
      </c>
    </row>
    <row r="65" spans="1:13" s="117" customFormat="1" ht="56.25" customHeight="1" x14ac:dyDescent="0.35">
      <c r="A65" s="11"/>
      <c r="B65" s="28" t="s">
        <v>71</v>
      </c>
      <c r="C65" s="25" t="s">
        <v>1</v>
      </c>
      <c r="D65" s="10" t="s">
        <v>32</v>
      </c>
      <c r="E65" s="10" t="s">
        <v>66</v>
      </c>
      <c r="F65" s="571" t="s">
        <v>68</v>
      </c>
      <c r="G65" s="572" t="s">
        <v>40</v>
      </c>
      <c r="H65" s="572" t="s">
        <v>32</v>
      </c>
      <c r="I65" s="573" t="s">
        <v>70</v>
      </c>
      <c r="J65" s="10" t="s">
        <v>72</v>
      </c>
      <c r="K65" s="26">
        <v>303.60000000000002</v>
      </c>
      <c r="L65" s="26">
        <f>M65-K65</f>
        <v>0</v>
      </c>
      <c r="M65" s="26">
        <v>303.60000000000002</v>
      </c>
    </row>
    <row r="66" spans="1:13" s="117" customFormat="1" ht="60" customHeight="1" x14ac:dyDescent="0.35">
      <c r="A66" s="11"/>
      <c r="B66" s="24" t="s">
        <v>35</v>
      </c>
      <c r="C66" s="25" t="s">
        <v>1</v>
      </c>
      <c r="D66" s="10" t="s">
        <v>32</v>
      </c>
      <c r="E66" s="10" t="s">
        <v>66</v>
      </c>
      <c r="F66" s="571" t="s">
        <v>36</v>
      </c>
      <c r="G66" s="572" t="s">
        <v>37</v>
      </c>
      <c r="H66" s="572" t="s">
        <v>38</v>
      </c>
      <c r="I66" s="573" t="s">
        <v>39</v>
      </c>
      <c r="J66" s="10"/>
      <c r="K66" s="26">
        <f>K67</f>
        <v>4822.7</v>
      </c>
      <c r="L66" s="26">
        <f>L67</f>
        <v>210</v>
      </c>
      <c r="M66" s="26">
        <v>5032.7</v>
      </c>
    </row>
    <row r="67" spans="1:13" s="117" customFormat="1" ht="37.5" customHeight="1" x14ac:dyDescent="0.35">
      <c r="A67" s="11"/>
      <c r="B67" s="24" t="s">
        <v>328</v>
      </c>
      <c r="C67" s="25" t="s">
        <v>1</v>
      </c>
      <c r="D67" s="10" t="s">
        <v>32</v>
      </c>
      <c r="E67" s="10" t="s">
        <v>66</v>
      </c>
      <c r="F67" s="571" t="s">
        <v>36</v>
      </c>
      <c r="G67" s="572" t="s">
        <v>40</v>
      </c>
      <c r="H67" s="572" t="s">
        <v>38</v>
      </c>
      <c r="I67" s="573" t="s">
        <v>39</v>
      </c>
      <c r="J67" s="10"/>
      <c r="K67" s="26">
        <f>K75+K71+K80+K83+K68</f>
        <v>4822.7</v>
      </c>
      <c r="L67" s="26">
        <f>L75+L71+L80+L83+L68</f>
        <v>210</v>
      </c>
      <c r="M67" s="26">
        <v>5032.7</v>
      </c>
    </row>
    <row r="68" spans="1:13" s="117" customFormat="1" ht="37.5" customHeight="1" x14ac:dyDescent="0.35">
      <c r="A68" s="11"/>
      <c r="B68" s="24" t="s">
        <v>49</v>
      </c>
      <c r="C68" s="25" t="s">
        <v>1</v>
      </c>
      <c r="D68" s="10" t="s">
        <v>32</v>
      </c>
      <c r="E68" s="10" t="s">
        <v>66</v>
      </c>
      <c r="F68" s="571" t="s">
        <v>36</v>
      </c>
      <c r="G68" s="572" t="s">
        <v>40</v>
      </c>
      <c r="H68" s="572" t="s">
        <v>34</v>
      </c>
      <c r="I68" s="573" t="s">
        <v>39</v>
      </c>
      <c r="J68" s="10"/>
      <c r="K68" s="26">
        <f t="shared" ref="K68:M68" si="8">K69</f>
        <v>451.7</v>
      </c>
      <c r="L68" s="26">
        <f t="shared" si="8"/>
        <v>0</v>
      </c>
      <c r="M68" s="26">
        <v>451.7</v>
      </c>
    </row>
    <row r="69" spans="1:13" s="117" customFormat="1" ht="18" x14ac:dyDescent="0.35">
      <c r="A69" s="11"/>
      <c r="B69" s="24" t="s">
        <v>438</v>
      </c>
      <c r="C69" s="25" t="s">
        <v>1</v>
      </c>
      <c r="D69" s="10" t="s">
        <v>32</v>
      </c>
      <c r="E69" s="10" t="s">
        <v>66</v>
      </c>
      <c r="F69" s="571" t="s">
        <v>36</v>
      </c>
      <c r="G69" s="572" t="s">
        <v>40</v>
      </c>
      <c r="H69" s="572" t="s">
        <v>34</v>
      </c>
      <c r="I69" s="573" t="s">
        <v>376</v>
      </c>
      <c r="J69" s="10"/>
      <c r="K69" s="26">
        <f t="shared" ref="K69:M69" si="9">K70</f>
        <v>451.7</v>
      </c>
      <c r="L69" s="26">
        <f t="shared" si="9"/>
        <v>0</v>
      </c>
      <c r="M69" s="26">
        <v>451.7</v>
      </c>
    </row>
    <row r="70" spans="1:13" s="117" customFormat="1" ht="54" x14ac:dyDescent="0.35">
      <c r="A70" s="11"/>
      <c r="B70" s="24" t="s">
        <v>50</v>
      </c>
      <c r="C70" s="25" t="s">
        <v>1</v>
      </c>
      <c r="D70" s="10" t="s">
        <v>32</v>
      </c>
      <c r="E70" s="10" t="s">
        <v>66</v>
      </c>
      <c r="F70" s="571" t="s">
        <v>36</v>
      </c>
      <c r="G70" s="572" t="s">
        <v>40</v>
      </c>
      <c r="H70" s="572" t="s">
        <v>34</v>
      </c>
      <c r="I70" s="573" t="s">
        <v>376</v>
      </c>
      <c r="J70" s="10" t="s">
        <v>51</v>
      </c>
      <c r="K70" s="26">
        <v>451.7</v>
      </c>
      <c r="L70" s="26">
        <f>M70-K70</f>
        <v>0</v>
      </c>
      <c r="M70" s="26">
        <v>451.7</v>
      </c>
    </row>
    <row r="71" spans="1:13" s="117" customFormat="1" ht="18.75" customHeight="1" x14ac:dyDescent="0.35">
      <c r="A71" s="11"/>
      <c r="B71" s="28" t="s">
        <v>57</v>
      </c>
      <c r="C71" s="25" t="s">
        <v>1</v>
      </c>
      <c r="D71" s="10" t="s">
        <v>32</v>
      </c>
      <c r="E71" s="10" t="s">
        <v>66</v>
      </c>
      <c r="F71" s="571" t="s">
        <v>36</v>
      </c>
      <c r="G71" s="572" t="s">
        <v>40</v>
      </c>
      <c r="H71" s="572" t="s">
        <v>58</v>
      </c>
      <c r="I71" s="573" t="s">
        <v>39</v>
      </c>
      <c r="J71" s="10"/>
      <c r="K71" s="26">
        <f t="shared" ref="K71:M71" si="10">K72</f>
        <v>1247.8</v>
      </c>
      <c r="L71" s="26">
        <f t="shared" si="10"/>
        <v>210</v>
      </c>
      <c r="M71" s="26">
        <v>1457.8</v>
      </c>
    </row>
    <row r="72" spans="1:13" s="117" customFormat="1" ht="60" customHeight="1" x14ac:dyDescent="0.35">
      <c r="A72" s="11"/>
      <c r="B72" s="28" t="s">
        <v>375</v>
      </c>
      <c r="C72" s="25" t="s">
        <v>1</v>
      </c>
      <c r="D72" s="10" t="s">
        <v>32</v>
      </c>
      <c r="E72" s="10" t="s">
        <v>66</v>
      </c>
      <c r="F72" s="571" t="s">
        <v>36</v>
      </c>
      <c r="G72" s="572" t="s">
        <v>40</v>
      </c>
      <c r="H72" s="572" t="s">
        <v>58</v>
      </c>
      <c r="I72" s="573" t="s">
        <v>374</v>
      </c>
      <c r="J72" s="10"/>
      <c r="K72" s="26">
        <f>K73+K74</f>
        <v>1247.8</v>
      </c>
      <c r="L72" s="26">
        <f>L73+L74</f>
        <v>210</v>
      </c>
      <c r="M72" s="26">
        <v>1457.8</v>
      </c>
    </row>
    <row r="73" spans="1:13" s="117" customFormat="1" ht="56.25" customHeight="1" x14ac:dyDescent="0.35">
      <c r="A73" s="11"/>
      <c r="B73" s="24" t="s">
        <v>50</v>
      </c>
      <c r="C73" s="25" t="s">
        <v>1</v>
      </c>
      <c r="D73" s="10" t="s">
        <v>32</v>
      </c>
      <c r="E73" s="10" t="s">
        <v>66</v>
      </c>
      <c r="F73" s="571" t="s">
        <v>36</v>
      </c>
      <c r="G73" s="572" t="s">
        <v>40</v>
      </c>
      <c r="H73" s="572" t="s">
        <v>58</v>
      </c>
      <c r="I73" s="573" t="s">
        <v>374</v>
      </c>
      <c r="J73" s="10" t="s">
        <v>51</v>
      </c>
      <c r="K73" s="26">
        <v>1019.5</v>
      </c>
      <c r="L73" s="26">
        <f>M73-K73</f>
        <v>210</v>
      </c>
      <c r="M73" s="26">
        <v>1229.5</v>
      </c>
    </row>
    <row r="74" spans="1:13" s="117" customFormat="1" ht="18" x14ac:dyDescent="0.35">
      <c r="A74" s="11"/>
      <c r="B74" s="24" t="s">
        <v>52</v>
      </c>
      <c r="C74" s="25" t="s">
        <v>1</v>
      </c>
      <c r="D74" s="10" t="s">
        <v>32</v>
      </c>
      <c r="E74" s="10" t="s">
        <v>66</v>
      </c>
      <c r="F74" s="571" t="s">
        <v>36</v>
      </c>
      <c r="G74" s="572" t="s">
        <v>40</v>
      </c>
      <c r="H74" s="572" t="s">
        <v>58</v>
      </c>
      <c r="I74" s="573" t="s">
        <v>374</v>
      </c>
      <c r="J74" s="10" t="s">
        <v>53</v>
      </c>
      <c r="K74" s="26">
        <v>228.3</v>
      </c>
      <c r="L74" s="26">
        <f>M74-K74</f>
        <v>0</v>
      </c>
      <c r="M74" s="26">
        <v>228.3</v>
      </c>
    </row>
    <row r="75" spans="1:13" s="117" customFormat="1" ht="18.75" customHeight="1" x14ac:dyDescent="0.35">
      <c r="A75" s="11"/>
      <c r="B75" s="24" t="s">
        <v>59</v>
      </c>
      <c r="C75" s="25" t="s">
        <v>1</v>
      </c>
      <c r="D75" s="10" t="s">
        <v>32</v>
      </c>
      <c r="E75" s="10" t="s">
        <v>66</v>
      </c>
      <c r="F75" s="571" t="s">
        <v>36</v>
      </c>
      <c r="G75" s="572" t="s">
        <v>40</v>
      </c>
      <c r="H75" s="572" t="s">
        <v>47</v>
      </c>
      <c r="I75" s="573" t="s">
        <v>39</v>
      </c>
      <c r="J75" s="10"/>
      <c r="K75" s="26">
        <f>K76+K78</f>
        <v>2943.1</v>
      </c>
      <c r="L75" s="26">
        <f>L76+L78</f>
        <v>0</v>
      </c>
      <c r="M75" s="26">
        <v>2943.1</v>
      </c>
    </row>
    <row r="76" spans="1:13" s="117" customFormat="1" ht="58.5" customHeight="1" x14ac:dyDescent="0.35">
      <c r="A76" s="11"/>
      <c r="B76" s="29" t="s">
        <v>341</v>
      </c>
      <c r="C76" s="25" t="s">
        <v>1</v>
      </c>
      <c r="D76" s="10" t="s">
        <v>32</v>
      </c>
      <c r="E76" s="10" t="s">
        <v>66</v>
      </c>
      <c r="F76" s="571" t="s">
        <v>36</v>
      </c>
      <c r="G76" s="572" t="s">
        <v>40</v>
      </c>
      <c r="H76" s="572" t="s">
        <v>47</v>
      </c>
      <c r="I76" s="573" t="s">
        <v>100</v>
      </c>
      <c r="J76" s="10"/>
      <c r="K76" s="26">
        <f>K77</f>
        <v>948.3</v>
      </c>
      <c r="L76" s="26">
        <f>L77</f>
        <v>0</v>
      </c>
      <c r="M76" s="26">
        <v>948.3</v>
      </c>
    </row>
    <row r="77" spans="1:13" s="117" customFormat="1" ht="56.25" customHeight="1" x14ac:dyDescent="0.35">
      <c r="A77" s="11"/>
      <c r="B77" s="24" t="s">
        <v>50</v>
      </c>
      <c r="C77" s="25" t="s">
        <v>1</v>
      </c>
      <c r="D77" s="10" t="s">
        <v>32</v>
      </c>
      <c r="E77" s="10" t="s">
        <v>66</v>
      </c>
      <c r="F77" s="571" t="s">
        <v>36</v>
      </c>
      <c r="G77" s="572" t="s">
        <v>40</v>
      </c>
      <c r="H77" s="572" t="s">
        <v>47</v>
      </c>
      <c r="I77" s="573" t="s">
        <v>100</v>
      </c>
      <c r="J77" s="10" t="s">
        <v>51</v>
      </c>
      <c r="K77" s="26">
        <v>948.3</v>
      </c>
      <c r="L77" s="26">
        <f>M77-K77</f>
        <v>0</v>
      </c>
      <c r="M77" s="26">
        <v>948.3</v>
      </c>
    </row>
    <row r="78" spans="1:13" s="117" customFormat="1" ht="56.25" customHeight="1" x14ac:dyDescent="0.35">
      <c r="A78" s="11"/>
      <c r="B78" s="24" t="s">
        <v>343</v>
      </c>
      <c r="C78" s="25" t="s">
        <v>1</v>
      </c>
      <c r="D78" s="10" t="s">
        <v>32</v>
      </c>
      <c r="E78" s="10" t="s">
        <v>66</v>
      </c>
      <c r="F78" s="571" t="s">
        <v>36</v>
      </c>
      <c r="G78" s="572" t="s">
        <v>40</v>
      </c>
      <c r="H78" s="572" t="s">
        <v>47</v>
      </c>
      <c r="I78" s="573" t="s">
        <v>342</v>
      </c>
      <c r="J78" s="10"/>
      <c r="K78" s="26">
        <f>K79</f>
        <v>1994.8</v>
      </c>
      <c r="L78" s="26">
        <f>L79</f>
        <v>0</v>
      </c>
      <c r="M78" s="26">
        <v>1994.8</v>
      </c>
    </row>
    <row r="79" spans="1:13" s="117" customFormat="1" ht="56.25" customHeight="1" x14ac:dyDescent="0.35">
      <c r="A79" s="11"/>
      <c r="B79" s="24" t="s">
        <v>50</v>
      </c>
      <c r="C79" s="25" t="s">
        <v>1</v>
      </c>
      <c r="D79" s="10" t="s">
        <v>32</v>
      </c>
      <c r="E79" s="10" t="s">
        <v>66</v>
      </c>
      <c r="F79" s="571" t="s">
        <v>36</v>
      </c>
      <c r="G79" s="572" t="s">
        <v>40</v>
      </c>
      <c r="H79" s="572" t="s">
        <v>47</v>
      </c>
      <c r="I79" s="573" t="s">
        <v>342</v>
      </c>
      <c r="J79" s="10" t="s">
        <v>51</v>
      </c>
      <c r="K79" s="26">
        <v>1994.8</v>
      </c>
      <c r="L79" s="26">
        <f>M79-K79</f>
        <v>0</v>
      </c>
      <c r="M79" s="26">
        <v>1994.8</v>
      </c>
    </row>
    <row r="80" spans="1:13" s="117" customFormat="1" ht="35.25" customHeight="1" x14ac:dyDescent="0.35">
      <c r="A80" s="11"/>
      <c r="B80" s="24" t="s">
        <v>445</v>
      </c>
      <c r="C80" s="25" t="s">
        <v>1</v>
      </c>
      <c r="D80" s="10" t="s">
        <v>32</v>
      </c>
      <c r="E80" s="10" t="s">
        <v>66</v>
      </c>
      <c r="F80" s="571" t="s">
        <v>36</v>
      </c>
      <c r="G80" s="572" t="s">
        <v>40</v>
      </c>
      <c r="H80" s="572" t="s">
        <v>400</v>
      </c>
      <c r="I80" s="573" t="s">
        <v>39</v>
      </c>
      <c r="J80" s="10"/>
      <c r="K80" s="26">
        <f t="shared" ref="K80:M81" si="11">K81</f>
        <v>120.1</v>
      </c>
      <c r="L80" s="26">
        <f t="shared" si="11"/>
        <v>0</v>
      </c>
      <c r="M80" s="26">
        <v>120.1</v>
      </c>
    </row>
    <row r="81" spans="1:13" s="117" customFormat="1" ht="39" customHeight="1" x14ac:dyDescent="0.35">
      <c r="A81" s="11"/>
      <c r="B81" s="29" t="s">
        <v>122</v>
      </c>
      <c r="C81" s="25" t="s">
        <v>1</v>
      </c>
      <c r="D81" s="10" t="s">
        <v>32</v>
      </c>
      <c r="E81" s="10" t="s">
        <v>66</v>
      </c>
      <c r="F81" s="571" t="s">
        <v>36</v>
      </c>
      <c r="G81" s="572" t="s">
        <v>40</v>
      </c>
      <c r="H81" s="572" t="s">
        <v>400</v>
      </c>
      <c r="I81" s="573" t="s">
        <v>85</v>
      </c>
      <c r="J81" s="10"/>
      <c r="K81" s="26">
        <f t="shared" si="11"/>
        <v>120.1</v>
      </c>
      <c r="L81" s="26">
        <f t="shared" si="11"/>
        <v>0</v>
      </c>
      <c r="M81" s="26">
        <v>120.1</v>
      </c>
    </row>
    <row r="82" spans="1:13" s="117" customFormat="1" ht="56.25" customHeight="1" x14ac:dyDescent="0.35">
      <c r="A82" s="11"/>
      <c r="B82" s="24" t="s">
        <v>50</v>
      </c>
      <c r="C82" s="25" t="s">
        <v>1</v>
      </c>
      <c r="D82" s="10" t="s">
        <v>32</v>
      </c>
      <c r="E82" s="10" t="s">
        <v>66</v>
      </c>
      <c r="F82" s="571" t="s">
        <v>36</v>
      </c>
      <c r="G82" s="572" t="s">
        <v>40</v>
      </c>
      <c r="H82" s="572" t="s">
        <v>400</v>
      </c>
      <c r="I82" s="573" t="s">
        <v>85</v>
      </c>
      <c r="J82" s="10" t="s">
        <v>51</v>
      </c>
      <c r="K82" s="26">
        <v>120.1</v>
      </c>
      <c r="L82" s="26">
        <f>M82-K82</f>
        <v>0</v>
      </c>
      <c r="M82" s="26">
        <v>120.1</v>
      </c>
    </row>
    <row r="83" spans="1:13" s="117" customFormat="1" ht="35.25" customHeight="1" x14ac:dyDescent="0.35">
      <c r="A83" s="11"/>
      <c r="B83" s="24" t="s">
        <v>441</v>
      </c>
      <c r="C83" s="25" t="s">
        <v>1</v>
      </c>
      <c r="D83" s="10" t="s">
        <v>32</v>
      </c>
      <c r="E83" s="10" t="s">
        <v>66</v>
      </c>
      <c r="F83" s="571" t="s">
        <v>36</v>
      </c>
      <c r="G83" s="572" t="s">
        <v>40</v>
      </c>
      <c r="H83" s="572" t="s">
        <v>36</v>
      </c>
      <c r="I83" s="573" t="s">
        <v>39</v>
      </c>
      <c r="J83" s="10"/>
      <c r="K83" s="26">
        <f t="shared" ref="K83:M84" si="12">K84</f>
        <v>60</v>
      </c>
      <c r="L83" s="26">
        <f t="shared" si="12"/>
        <v>0</v>
      </c>
      <c r="M83" s="26">
        <v>60</v>
      </c>
    </row>
    <row r="84" spans="1:13" s="117" customFormat="1" ht="25.5" customHeight="1" x14ac:dyDescent="0.35">
      <c r="A84" s="11"/>
      <c r="B84" s="29" t="s">
        <v>439</v>
      </c>
      <c r="C84" s="25" t="s">
        <v>1</v>
      </c>
      <c r="D84" s="10" t="s">
        <v>32</v>
      </c>
      <c r="E84" s="10" t="s">
        <v>66</v>
      </c>
      <c r="F84" s="571" t="s">
        <v>36</v>
      </c>
      <c r="G84" s="572" t="s">
        <v>40</v>
      </c>
      <c r="H84" s="572" t="s">
        <v>36</v>
      </c>
      <c r="I84" s="573" t="s">
        <v>440</v>
      </c>
      <c r="J84" s="10"/>
      <c r="K84" s="26">
        <f t="shared" si="12"/>
        <v>60</v>
      </c>
      <c r="L84" s="26">
        <f t="shared" si="12"/>
        <v>0</v>
      </c>
      <c r="M84" s="26">
        <v>60</v>
      </c>
    </row>
    <row r="85" spans="1:13" s="117" customFormat="1" ht="56.25" customHeight="1" x14ac:dyDescent="0.35">
      <c r="A85" s="11"/>
      <c r="B85" s="24" t="s">
        <v>50</v>
      </c>
      <c r="C85" s="25" t="s">
        <v>1</v>
      </c>
      <c r="D85" s="10" t="s">
        <v>32</v>
      </c>
      <c r="E85" s="10" t="s">
        <v>66</v>
      </c>
      <c r="F85" s="571" t="s">
        <v>36</v>
      </c>
      <c r="G85" s="572" t="s">
        <v>40</v>
      </c>
      <c r="H85" s="572" t="s">
        <v>36</v>
      </c>
      <c r="I85" s="573" t="s">
        <v>440</v>
      </c>
      <c r="J85" s="10" t="s">
        <v>51</v>
      </c>
      <c r="K85" s="26">
        <v>60</v>
      </c>
      <c r="L85" s="26">
        <f>M85-K85</f>
        <v>0</v>
      </c>
      <c r="M85" s="26">
        <v>60</v>
      </c>
    </row>
    <row r="86" spans="1:13" s="117" customFormat="1" ht="37.5" customHeight="1" x14ac:dyDescent="0.35">
      <c r="A86" s="11"/>
      <c r="B86" s="24" t="s">
        <v>73</v>
      </c>
      <c r="C86" s="25" t="s">
        <v>1</v>
      </c>
      <c r="D86" s="10" t="s">
        <v>58</v>
      </c>
      <c r="E86" s="10"/>
      <c r="F86" s="571"/>
      <c r="G86" s="572"/>
      <c r="H86" s="572"/>
      <c r="I86" s="573"/>
      <c r="J86" s="10"/>
      <c r="K86" s="26">
        <f>K87+K99</f>
        <v>18574.3</v>
      </c>
      <c r="L86" s="26">
        <f>L87+L99</f>
        <v>542.5</v>
      </c>
      <c r="M86" s="26">
        <v>19116.8</v>
      </c>
    </row>
    <row r="87" spans="1:13" s="117" customFormat="1" ht="72.75" customHeight="1" x14ac:dyDescent="0.35">
      <c r="A87" s="11"/>
      <c r="B87" s="24" t="s">
        <v>436</v>
      </c>
      <c r="C87" s="25" t="s">
        <v>1</v>
      </c>
      <c r="D87" s="10" t="s">
        <v>58</v>
      </c>
      <c r="E87" s="10" t="s">
        <v>99</v>
      </c>
      <c r="F87" s="571"/>
      <c r="G87" s="572"/>
      <c r="H87" s="572"/>
      <c r="I87" s="573"/>
      <c r="J87" s="10"/>
      <c r="K87" s="26">
        <f>K88</f>
        <v>3610.0000000000005</v>
      </c>
      <c r="L87" s="26">
        <f>L88</f>
        <v>0</v>
      </c>
      <c r="M87" s="26">
        <v>3610.0000000000005</v>
      </c>
    </row>
    <row r="88" spans="1:13" s="117" customFormat="1" ht="57" customHeight="1" x14ac:dyDescent="0.35">
      <c r="A88" s="11"/>
      <c r="B88" s="24" t="s">
        <v>75</v>
      </c>
      <c r="C88" s="25" t="s">
        <v>1</v>
      </c>
      <c r="D88" s="10" t="s">
        <v>58</v>
      </c>
      <c r="E88" s="10" t="s">
        <v>99</v>
      </c>
      <c r="F88" s="571" t="s">
        <v>76</v>
      </c>
      <c r="G88" s="572" t="s">
        <v>37</v>
      </c>
      <c r="H88" s="572" t="s">
        <v>38</v>
      </c>
      <c r="I88" s="573" t="s">
        <v>39</v>
      </c>
      <c r="J88" s="10"/>
      <c r="K88" s="26">
        <f t="shared" ref="K88:M88" si="13">K89</f>
        <v>3610.0000000000005</v>
      </c>
      <c r="L88" s="26">
        <f t="shared" si="13"/>
        <v>0</v>
      </c>
      <c r="M88" s="26">
        <v>3610.0000000000005</v>
      </c>
    </row>
    <row r="89" spans="1:13" s="117" customFormat="1" ht="58.5" customHeight="1" x14ac:dyDescent="0.35">
      <c r="A89" s="11"/>
      <c r="B89" s="30" t="s">
        <v>77</v>
      </c>
      <c r="C89" s="25" t="s">
        <v>1</v>
      </c>
      <c r="D89" s="10" t="s">
        <v>58</v>
      </c>
      <c r="E89" s="10" t="s">
        <v>99</v>
      </c>
      <c r="F89" s="571" t="s">
        <v>76</v>
      </c>
      <c r="G89" s="572" t="s">
        <v>40</v>
      </c>
      <c r="H89" s="572" t="s">
        <v>38</v>
      </c>
      <c r="I89" s="573" t="s">
        <v>39</v>
      </c>
      <c r="J89" s="10"/>
      <c r="K89" s="26">
        <f>K90</f>
        <v>3610.0000000000005</v>
      </c>
      <c r="L89" s="26">
        <f>L90</f>
        <v>0</v>
      </c>
      <c r="M89" s="26">
        <v>3610.0000000000005</v>
      </c>
    </row>
    <row r="90" spans="1:13" s="117" customFormat="1" ht="78.75" customHeight="1" x14ac:dyDescent="0.35">
      <c r="A90" s="11"/>
      <c r="B90" s="24" t="s">
        <v>78</v>
      </c>
      <c r="C90" s="25" t="s">
        <v>1</v>
      </c>
      <c r="D90" s="10" t="s">
        <v>58</v>
      </c>
      <c r="E90" s="10" t="s">
        <v>99</v>
      </c>
      <c r="F90" s="571" t="s">
        <v>76</v>
      </c>
      <c r="G90" s="572" t="s">
        <v>40</v>
      </c>
      <c r="H90" s="572" t="s">
        <v>32</v>
      </c>
      <c r="I90" s="573" t="s">
        <v>39</v>
      </c>
      <c r="J90" s="10"/>
      <c r="K90" s="26">
        <f t="shared" ref="K90:L90" si="14">K91+K93+K95+K98</f>
        <v>3610.0000000000005</v>
      </c>
      <c r="L90" s="26">
        <f t="shared" si="14"/>
        <v>0</v>
      </c>
      <c r="M90" s="26">
        <v>3610.0000000000005</v>
      </c>
    </row>
    <row r="91" spans="1:13" s="117" customFormat="1" ht="37.5" customHeight="1" x14ac:dyDescent="0.35">
      <c r="A91" s="11"/>
      <c r="B91" s="30" t="s">
        <v>428</v>
      </c>
      <c r="C91" s="25" t="s">
        <v>1</v>
      </c>
      <c r="D91" s="10" t="s">
        <v>58</v>
      </c>
      <c r="E91" s="10" t="s">
        <v>99</v>
      </c>
      <c r="F91" s="571" t="s">
        <v>76</v>
      </c>
      <c r="G91" s="572" t="s">
        <v>40</v>
      </c>
      <c r="H91" s="572" t="s">
        <v>32</v>
      </c>
      <c r="I91" s="573" t="s">
        <v>79</v>
      </c>
      <c r="J91" s="10"/>
      <c r="K91" s="26">
        <f>K92</f>
        <v>298.39999999999998</v>
      </c>
      <c r="L91" s="26">
        <f>L92</f>
        <v>0</v>
      </c>
      <c r="M91" s="26">
        <v>298.39999999999998</v>
      </c>
    </row>
    <row r="92" spans="1:13" s="117" customFormat="1" ht="56.25" customHeight="1" x14ac:dyDescent="0.35">
      <c r="A92" s="11"/>
      <c r="B92" s="24" t="s">
        <v>50</v>
      </c>
      <c r="C92" s="25" t="s">
        <v>1</v>
      </c>
      <c r="D92" s="10" t="s">
        <v>58</v>
      </c>
      <c r="E92" s="10" t="s">
        <v>99</v>
      </c>
      <c r="F92" s="571" t="s">
        <v>76</v>
      </c>
      <c r="G92" s="572" t="s">
        <v>40</v>
      </c>
      <c r="H92" s="572" t="s">
        <v>32</v>
      </c>
      <c r="I92" s="573" t="s">
        <v>79</v>
      </c>
      <c r="J92" s="10" t="s">
        <v>51</v>
      </c>
      <c r="K92" s="26">
        <v>298.39999999999998</v>
      </c>
      <c r="L92" s="26">
        <f>M92-K92</f>
        <v>0</v>
      </c>
      <c r="M92" s="26">
        <v>298.39999999999998</v>
      </c>
    </row>
    <row r="93" spans="1:13" s="117" customFormat="1" ht="56.25" customHeight="1" x14ac:dyDescent="0.35">
      <c r="A93" s="11"/>
      <c r="B93" s="24" t="s">
        <v>80</v>
      </c>
      <c r="C93" s="25" t="s">
        <v>1</v>
      </c>
      <c r="D93" s="10" t="s">
        <v>58</v>
      </c>
      <c r="E93" s="10" t="s">
        <v>99</v>
      </c>
      <c r="F93" s="571" t="s">
        <v>76</v>
      </c>
      <c r="G93" s="572" t="s">
        <v>40</v>
      </c>
      <c r="H93" s="572" t="s">
        <v>32</v>
      </c>
      <c r="I93" s="573" t="s">
        <v>81</v>
      </c>
      <c r="J93" s="10"/>
      <c r="K93" s="26">
        <f>K94</f>
        <v>223.9</v>
      </c>
      <c r="L93" s="26">
        <f>L94</f>
        <v>0</v>
      </c>
      <c r="M93" s="26">
        <v>223.9</v>
      </c>
    </row>
    <row r="94" spans="1:13" s="117" customFormat="1" ht="56.25" customHeight="1" x14ac:dyDescent="0.35">
      <c r="A94" s="11"/>
      <c r="B94" s="24" t="s">
        <v>50</v>
      </c>
      <c r="C94" s="25" t="s">
        <v>1</v>
      </c>
      <c r="D94" s="10" t="s">
        <v>58</v>
      </c>
      <c r="E94" s="10" t="s">
        <v>99</v>
      </c>
      <c r="F94" s="571" t="s">
        <v>76</v>
      </c>
      <c r="G94" s="572" t="s">
        <v>40</v>
      </c>
      <c r="H94" s="572" t="s">
        <v>32</v>
      </c>
      <c r="I94" s="573" t="s">
        <v>81</v>
      </c>
      <c r="J94" s="10" t="s">
        <v>51</v>
      </c>
      <c r="K94" s="26">
        <v>223.9</v>
      </c>
      <c r="L94" s="26">
        <f>M94-K94</f>
        <v>0</v>
      </c>
      <c r="M94" s="26">
        <v>223.9</v>
      </c>
    </row>
    <row r="95" spans="1:13" s="117" customFormat="1" ht="94.5" customHeight="1" x14ac:dyDescent="0.35">
      <c r="A95" s="11"/>
      <c r="B95" s="24" t="s">
        <v>329</v>
      </c>
      <c r="C95" s="25" t="s">
        <v>1</v>
      </c>
      <c r="D95" s="10" t="s">
        <v>58</v>
      </c>
      <c r="E95" s="10" t="s">
        <v>99</v>
      </c>
      <c r="F95" s="571" t="s">
        <v>76</v>
      </c>
      <c r="G95" s="572" t="s">
        <v>40</v>
      </c>
      <c r="H95" s="572" t="s">
        <v>32</v>
      </c>
      <c r="I95" s="573" t="s">
        <v>317</v>
      </c>
      <c r="J95" s="10"/>
      <c r="K95" s="26">
        <f>K96</f>
        <v>3075.3</v>
      </c>
      <c r="L95" s="26">
        <f>L96</f>
        <v>0</v>
      </c>
      <c r="M95" s="26">
        <v>3075.3</v>
      </c>
    </row>
    <row r="96" spans="1:13" s="117" customFormat="1" ht="18.75" customHeight="1" x14ac:dyDescent="0.35">
      <c r="A96" s="11"/>
      <c r="B96" s="24" t="s">
        <v>118</v>
      </c>
      <c r="C96" s="25" t="s">
        <v>1</v>
      </c>
      <c r="D96" s="10" t="s">
        <v>58</v>
      </c>
      <c r="E96" s="10" t="s">
        <v>99</v>
      </c>
      <c r="F96" s="571" t="s">
        <v>76</v>
      </c>
      <c r="G96" s="572" t="s">
        <v>40</v>
      </c>
      <c r="H96" s="572" t="s">
        <v>32</v>
      </c>
      <c r="I96" s="573" t="s">
        <v>317</v>
      </c>
      <c r="J96" s="10" t="s">
        <v>119</v>
      </c>
      <c r="K96" s="26">
        <v>3075.3</v>
      </c>
      <c r="L96" s="26">
        <f>M96-K96</f>
        <v>0</v>
      </c>
      <c r="M96" s="26">
        <v>3075.3</v>
      </c>
    </row>
    <row r="97" spans="1:13" s="117" customFormat="1" ht="131.25" customHeight="1" x14ac:dyDescent="0.35">
      <c r="A97" s="11"/>
      <c r="B97" s="24" t="s">
        <v>331</v>
      </c>
      <c r="C97" s="25" t="s">
        <v>1</v>
      </c>
      <c r="D97" s="10" t="s">
        <v>58</v>
      </c>
      <c r="E97" s="10" t="s">
        <v>99</v>
      </c>
      <c r="F97" s="571" t="s">
        <v>76</v>
      </c>
      <c r="G97" s="572" t="s">
        <v>40</v>
      </c>
      <c r="H97" s="572" t="s">
        <v>32</v>
      </c>
      <c r="I97" s="573" t="s">
        <v>318</v>
      </c>
      <c r="J97" s="10"/>
      <c r="K97" s="26">
        <f>K98</f>
        <v>12.4</v>
      </c>
      <c r="L97" s="26">
        <f>L98</f>
        <v>0</v>
      </c>
      <c r="M97" s="26">
        <v>12.4</v>
      </c>
    </row>
    <row r="98" spans="1:13" s="117" customFormat="1" ht="18.75" customHeight="1" x14ac:dyDescent="0.35">
      <c r="A98" s="11"/>
      <c r="B98" s="24" t="s">
        <v>118</v>
      </c>
      <c r="C98" s="25" t="s">
        <v>1</v>
      </c>
      <c r="D98" s="10" t="s">
        <v>58</v>
      </c>
      <c r="E98" s="10" t="s">
        <v>99</v>
      </c>
      <c r="F98" s="571" t="s">
        <v>76</v>
      </c>
      <c r="G98" s="572" t="s">
        <v>40</v>
      </c>
      <c r="H98" s="572" t="s">
        <v>32</v>
      </c>
      <c r="I98" s="573" t="s">
        <v>318</v>
      </c>
      <c r="J98" s="10" t="s">
        <v>119</v>
      </c>
      <c r="K98" s="26">
        <v>12.4</v>
      </c>
      <c r="L98" s="26">
        <f>M98-K98</f>
        <v>0</v>
      </c>
      <c r="M98" s="26">
        <v>12.4</v>
      </c>
    </row>
    <row r="99" spans="1:13" s="117" customFormat="1" ht="56.25" customHeight="1" x14ac:dyDescent="0.35">
      <c r="A99" s="11"/>
      <c r="B99" s="29" t="s">
        <v>82</v>
      </c>
      <c r="C99" s="25" t="s">
        <v>1</v>
      </c>
      <c r="D99" s="10" t="s">
        <v>58</v>
      </c>
      <c r="E99" s="10" t="s">
        <v>83</v>
      </c>
      <c r="F99" s="571"/>
      <c r="G99" s="572"/>
      <c r="H99" s="572"/>
      <c r="I99" s="573"/>
      <c r="J99" s="10"/>
      <c r="K99" s="26">
        <f>K100</f>
        <v>14964.3</v>
      </c>
      <c r="L99" s="26">
        <f>L100</f>
        <v>542.5</v>
      </c>
      <c r="M99" s="26">
        <v>15506.8</v>
      </c>
    </row>
    <row r="100" spans="1:13" s="117" customFormat="1" ht="60.75" customHeight="1" x14ac:dyDescent="0.35">
      <c r="A100" s="11"/>
      <c r="B100" s="24" t="s">
        <v>75</v>
      </c>
      <c r="C100" s="25" t="s">
        <v>1</v>
      </c>
      <c r="D100" s="10" t="s">
        <v>58</v>
      </c>
      <c r="E100" s="10" t="s">
        <v>83</v>
      </c>
      <c r="F100" s="571" t="s">
        <v>76</v>
      </c>
      <c r="G100" s="572" t="s">
        <v>37</v>
      </c>
      <c r="H100" s="572" t="s">
        <v>38</v>
      </c>
      <c r="I100" s="573" t="s">
        <v>39</v>
      </c>
      <c r="J100" s="10"/>
      <c r="K100" s="26">
        <f>K101+K110+K116</f>
        <v>14964.3</v>
      </c>
      <c r="L100" s="26">
        <f>L101+L110+L116</f>
        <v>542.5</v>
      </c>
      <c r="M100" s="26">
        <v>15506.8</v>
      </c>
    </row>
    <row r="101" spans="1:13" s="117" customFormat="1" ht="37.5" customHeight="1" x14ac:dyDescent="0.35">
      <c r="A101" s="11"/>
      <c r="B101" s="29" t="s">
        <v>120</v>
      </c>
      <c r="C101" s="25" t="s">
        <v>1</v>
      </c>
      <c r="D101" s="10" t="s">
        <v>58</v>
      </c>
      <c r="E101" s="10" t="s">
        <v>83</v>
      </c>
      <c r="F101" s="571" t="s">
        <v>76</v>
      </c>
      <c r="G101" s="572" t="s">
        <v>84</v>
      </c>
      <c r="H101" s="572" t="s">
        <v>38</v>
      </c>
      <c r="I101" s="573" t="s">
        <v>39</v>
      </c>
      <c r="J101" s="10"/>
      <c r="K101" s="26">
        <f>K107+K102</f>
        <v>2151.5</v>
      </c>
      <c r="L101" s="26">
        <f>L107+L102</f>
        <v>0</v>
      </c>
      <c r="M101" s="26">
        <v>2151.5</v>
      </c>
    </row>
    <row r="102" spans="1:13" s="117" customFormat="1" ht="44.25" customHeight="1" x14ac:dyDescent="0.35">
      <c r="A102" s="11"/>
      <c r="B102" s="29" t="s">
        <v>259</v>
      </c>
      <c r="C102" s="25" t="s">
        <v>1</v>
      </c>
      <c r="D102" s="10" t="s">
        <v>58</v>
      </c>
      <c r="E102" s="10" t="s">
        <v>83</v>
      </c>
      <c r="F102" s="571" t="s">
        <v>76</v>
      </c>
      <c r="G102" s="572" t="s">
        <v>84</v>
      </c>
      <c r="H102" s="572" t="s">
        <v>32</v>
      </c>
      <c r="I102" s="573" t="s">
        <v>39</v>
      </c>
      <c r="J102" s="10"/>
      <c r="K102" s="26">
        <f>K105+K103</f>
        <v>1707.8999999999999</v>
      </c>
      <c r="L102" s="26">
        <f>L105+L103</f>
        <v>0</v>
      </c>
      <c r="M102" s="26">
        <v>1707.8999999999999</v>
      </c>
    </row>
    <row r="103" spans="1:13" s="117" customFormat="1" ht="37.5" customHeight="1" x14ac:dyDescent="0.35">
      <c r="A103" s="11"/>
      <c r="B103" s="27" t="s">
        <v>122</v>
      </c>
      <c r="C103" s="25" t="s">
        <v>1</v>
      </c>
      <c r="D103" s="10" t="s">
        <v>58</v>
      </c>
      <c r="E103" s="10" t="s">
        <v>83</v>
      </c>
      <c r="F103" s="571" t="s">
        <v>76</v>
      </c>
      <c r="G103" s="572" t="s">
        <v>84</v>
      </c>
      <c r="H103" s="572" t="s">
        <v>32</v>
      </c>
      <c r="I103" s="573" t="s">
        <v>85</v>
      </c>
      <c r="J103" s="10"/>
      <c r="K103" s="26">
        <f>K104</f>
        <v>1585.8</v>
      </c>
      <c r="L103" s="26">
        <f>L104</f>
        <v>0</v>
      </c>
      <c r="M103" s="26">
        <v>1585.8</v>
      </c>
    </row>
    <row r="104" spans="1:13" s="117" customFormat="1" ht="56.25" customHeight="1" x14ac:dyDescent="0.35">
      <c r="A104" s="11"/>
      <c r="B104" s="24" t="s">
        <v>50</v>
      </c>
      <c r="C104" s="25" t="s">
        <v>1</v>
      </c>
      <c r="D104" s="10" t="s">
        <v>58</v>
      </c>
      <c r="E104" s="10" t="s">
        <v>83</v>
      </c>
      <c r="F104" s="571" t="s">
        <v>76</v>
      </c>
      <c r="G104" s="572" t="s">
        <v>84</v>
      </c>
      <c r="H104" s="572" t="s">
        <v>32</v>
      </c>
      <c r="I104" s="573" t="s">
        <v>85</v>
      </c>
      <c r="J104" s="10" t="s">
        <v>51</v>
      </c>
      <c r="K104" s="26">
        <f>1370.8+215</f>
        <v>1585.8</v>
      </c>
      <c r="L104" s="26">
        <f>M104-K104</f>
        <v>0</v>
      </c>
      <c r="M104" s="26">
        <v>1585.8</v>
      </c>
    </row>
    <row r="105" spans="1:13" s="117" customFormat="1" ht="107.4" customHeight="1" x14ac:dyDescent="0.35">
      <c r="A105" s="11"/>
      <c r="B105" s="29" t="s">
        <v>330</v>
      </c>
      <c r="C105" s="25" t="s">
        <v>1</v>
      </c>
      <c r="D105" s="10" t="s">
        <v>58</v>
      </c>
      <c r="E105" s="10" t="s">
        <v>83</v>
      </c>
      <c r="F105" s="571" t="s">
        <v>76</v>
      </c>
      <c r="G105" s="572" t="s">
        <v>84</v>
      </c>
      <c r="H105" s="572" t="s">
        <v>32</v>
      </c>
      <c r="I105" s="573" t="s">
        <v>319</v>
      </c>
      <c r="J105" s="10"/>
      <c r="K105" s="26">
        <f>K106</f>
        <v>122.1</v>
      </c>
      <c r="L105" s="26">
        <f>L106</f>
        <v>0</v>
      </c>
      <c r="M105" s="26">
        <v>122.1</v>
      </c>
    </row>
    <row r="106" spans="1:13" s="117" customFormat="1" ht="18.75" customHeight="1" x14ac:dyDescent="0.35">
      <c r="A106" s="11"/>
      <c r="B106" s="29" t="s">
        <v>118</v>
      </c>
      <c r="C106" s="25" t="s">
        <v>1</v>
      </c>
      <c r="D106" s="10" t="s">
        <v>58</v>
      </c>
      <c r="E106" s="10" t="s">
        <v>83</v>
      </c>
      <c r="F106" s="571" t="s">
        <v>76</v>
      </c>
      <c r="G106" s="572" t="s">
        <v>84</v>
      </c>
      <c r="H106" s="572" t="s">
        <v>32</v>
      </c>
      <c r="I106" s="573" t="s">
        <v>319</v>
      </c>
      <c r="J106" s="10" t="s">
        <v>119</v>
      </c>
      <c r="K106" s="26">
        <v>122.1</v>
      </c>
      <c r="L106" s="26">
        <f>M106-K106</f>
        <v>0</v>
      </c>
      <c r="M106" s="26">
        <v>122.1</v>
      </c>
    </row>
    <row r="107" spans="1:13" s="117" customFormat="1" ht="56.25" customHeight="1" x14ac:dyDescent="0.35">
      <c r="A107" s="11"/>
      <c r="B107" s="27" t="s">
        <v>121</v>
      </c>
      <c r="C107" s="25" t="s">
        <v>1</v>
      </c>
      <c r="D107" s="10" t="s">
        <v>58</v>
      </c>
      <c r="E107" s="10" t="s">
        <v>83</v>
      </c>
      <c r="F107" s="571" t="s">
        <v>76</v>
      </c>
      <c r="G107" s="572" t="s">
        <v>84</v>
      </c>
      <c r="H107" s="572" t="s">
        <v>34</v>
      </c>
      <c r="I107" s="573" t="s">
        <v>39</v>
      </c>
      <c r="J107" s="10"/>
      <c r="K107" s="26">
        <f t="shared" ref="K107:M108" si="15">K108</f>
        <v>443.6</v>
      </c>
      <c r="L107" s="26">
        <f t="shared" si="15"/>
        <v>0</v>
      </c>
      <c r="M107" s="26">
        <v>443.6</v>
      </c>
    </row>
    <row r="108" spans="1:13" s="117" customFormat="1" ht="37.5" customHeight="1" x14ac:dyDescent="0.35">
      <c r="A108" s="11"/>
      <c r="B108" s="27" t="s">
        <v>122</v>
      </c>
      <c r="C108" s="25" t="s">
        <v>1</v>
      </c>
      <c r="D108" s="10" t="s">
        <v>58</v>
      </c>
      <c r="E108" s="10" t="s">
        <v>83</v>
      </c>
      <c r="F108" s="571" t="s">
        <v>76</v>
      </c>
      <c r="G108" s="572" t="s">
        <v>84</v>
      </c>
      <c r="H108" s="572" t="s">
        <v>34</v>
      </c>
      <c r="I108" s="573" t="s">
        <v>85</v>
      </c>
      <c r="J108" s="10"/>
      <c r="K108" s="26">
        <f t="shared" si="15"/>
        <v>443.6</v>
      </c>
      <c r="L108" s="26">
        <f t="shared" si="15"/>
        <v>0</v>
      </c>
      <c r="M108" s="26">
        <v>443.6</v>
      </c>
    </row>
    <row r="109" spans="1:13" s="117" customFormat="1" ht="56.25" customHeight="1" x14ac:dyDescent="0.35">
      <c r="A109" s="11"/>
      <c r="B109" s="24" t="s">
        <v>50</v>
      </c>
      <c r="C109" s="25" t="s">
        <v>1</v>
      </c>
      <c r="D109" s="10" t="s">
        <v>58</v>
      </c>
      <c r="E109" s="10" t="s">
        <v>83</v>
      </c>
      <c r="F109" s="571" t="s">
        <v>76</v>
      </c>
      <c r="G109" s="572" t="s">
        <v>84</v>
      </c>
      <c r="H109" s="572" t="s">
        <v>34</v>
      </c>
      <c r="I109" s="573" t="s">
        <v>85</v>
      </c>
      <c r="J109" s="10" t="s">
        <v>51</v>
      </c>
      <c r="K109" s="26">
        <v>443.6</v>
      </c>
      <c r="L109" s="26">
        <f>M109-K109</f>
        <v>0</v>
      </c>
      <c r="M109" s="26">
        <v>443.6</v>
      </c>
    </row>
    <row r="110" spans="1:13" s="117" customFormat="1" ht="75" customHeight="1" x14ac:dyDescent="0.35">
      <c r="A110" s="11"/>
      <c r="B110" s="29" t="s">
        <v>357</v>
      </c>
      <c r="C110" s="25" t="s">
        <v>1</v>
      </c>
      <c r="D110" s="10" t="s">
        <v>58</v>
      </c>
      <c r="E110" s="10" t="s">
        <v>83</v>
      </c>
      <c r="F110" s="571" t="s">
        <v>76</v>
      </c>
      <c r="G110" s="572" t="s">
        <v>25</v>
      </c>
      <c r="H110" s="572" t="s">
        <v>38</v>
      </c>
      <c r="I110" s="573" t="s">
        <v>39</v>
      </c>
      <c r="J110" s="10"/>
      <c r="K110" s="26">
        <f t="shared" ref="K110:M111" si="16">K111</f>
        <v>12791</v>
      </c>
      <c r="L110" s="26">
        <f t="shared" si="16"/>
        <v>542.5</v>
      </c>
      <c r="M110" s="26">
        <v>13333.5</v>
      </c>
    </row>
    <row r="111" spans="1:13" s="117" customFormat="1" ht="75.599999999999994" customHeight="1" x14ac:dyDescent="0.35">
      <c r="A111" s="11"/>
      <c r="B111" s="27" t="s">
        <v>310</v>
      </c>
      <c r="C111" s="25" t="s">
        <v>1</v>
      </c>
      <c r="D111" s="10" t="s">
        <v>58</v>
      </c>
      <c r="E111" s="10" t="s">
        <v>83</v>
      </c>
      <c r="F111" s="571" t="s">
        <v>76</v>
      </c>
      <c r="G111" s="572" t="s">
        <v>25</v>
      </c>
      <c r="H111" s="572" t="s">
        <v>32</v>
      </c>
      <c r="I111" s="573" t="s">
        <v>39</v>
      </c>
      <c r="J111" s="10"/>
      <c r="K111" s="26">
        <f t="shared" si="16"/>
        <v>12791</v>
      </c>
      <c r="L111" s="26">
        <f t="shared" si="16"/>
        <v>542.5</v>
      </c>
      <c r="M111" s="26">
        <v>13333.5</v>
      </c>
    </row>
    <row r="112" spans="1:13" s="117" customFormat="1" ht="45.75" customHeight="1" x14ac:dyDescent="0.35">
      <c r="A112" s="11"/>
      <c r="B112" s="27" t="s">
        <v>437</v>
      </c>
      <c r="C112" s="25" t="s">
        <v>1</v>
      </c>
      <c r="D112" s="10" t="s">
        <v>58</v>
      </c>
      <c r="E112" s="10" t="s">
        <v>83</v>
      </c>
      <c r="F112" s="571" t="s">
        <v>76</v>
      </c>
      <c r="G112" s="572" t="s">
        <v>25</v>
      </c>
      <c r="H112" s="572" t="s">
        <v>32</v>
      </c>
      <c r="I112" s="573" t="s">
        <v>86</v>
      </c>
      <c r="J112" s="10"/>
      <c r="K112" s="26">
        <f>K113+K114+K115</f>
        <v>12791</v>
      </c>
      <c r="L112" s="26">
        <f>L113+L114+L115</f>
        <v>542.5</v>
      </c>
      <c r="M112" s="26">
        <v>13333.5</v>
      </c>
    </row>
    <row r="113" spans="1:13" s="117" customFormat="1" ht="112.5" customHeight="1" x14ac:dyDescent="0.35">
      <c r="A113" s="11"/>
      <c r="B113" s="24" t="s">
        <v>44</v>
      </c>
      <c r="C113" s="25" t="s">
        <v>1</v>
      </c>
      <c r="D113" s="10" t="s">
        <v>58</v>
      </c>
      <c r="E113" s="10" t="s">
        <v>83</v>
      </c>
      <c r="F113" s="571" t="s">
        <v>76</v>
      </c>
      <c r="G113" s="572" t="s">
        <v>25</v>
      </c>
      <c r="H113" s="572" t="s">
        <v>32</v>
      </c>
      <c r="I113" s="573" t="s">
        <v>86</v>
      </c>
      <c r="J113" s="10" t="s">
        <v>45</v>
      </c>
      <c r="K113" s="26">
        <f>10298.6+40.2+413</f>
        <v>10751.800000000001</v>
      </c>
      <c r="L113" s="26">
        <f>M113-K113</f>
        <v>542.5</v>
      </c>
      <c r="M113" s="26">
        <v>11294.300000000001</v>
      </c>
    </row>
    <row r="114" spans="1:13" s="117" customFormat="1" ht="56.25" customHeight="1" x14ac:dyDescent="0.35">
      <c r="A114" s="11"/>
      <c r="B114" s="24" t="s">
        <v>50</v>
      </c>
      <c r="C114" s="25" t="s">
        <v>1</v>
      </c>
      <c r="D114" s="10" t="s">
        <v>58</v>
      </c>
      <c r="E114" s="10" t="s">
        <v>83</v>
      </c>
      <c r="F114" s="571" t="s">
        <v>76</v>
      </c>
      <c r="G114" s="572" t="s">
        <v>25</v>
      </c>
      <c r="H114" s="572" t="s">
        <v>32</v>
      </c>
      <c r="I114" s="573" t="s">
        <v>86</v>
      </c>
      <c r="J114" s="10" t="s">
        <v>51</v>
      </c>
      <c r="K114" s="26">
        <v>2032.9</v>
      </c>
      <c r="L114" s="26">
        <f>M114-K114</f>
        <v>0</v>
      </c>
      <c r="M114" s="26">
        <v>2032.9</v>
      </c>
    </row>
    <row r="115" spans="1:13" s="117" customFormat="1" ht="18.75" customHeight="1" x14ac:dyDescent="0.35">
      <c r="A115" s="11"/>
      <c r="B115" s="24" t="s">
        <v>52</v>
      </c>
      <c r="C115" s="25" t="s">
        <v>1</v>
      </c>
      <c r="D115" s="10" t="s">
        <v>58</v>
      </c>
      <c r="E115" s="10" t="s">
        <v>83</v>
      </c>
      <c r="F115" s="571" t="s">
        <v>76</v>
      </c>
      <c r="G115" s="572" t="s">
        <v>25</v>
      </c>
      <c r="H115" s="572" t="s">
        <v>32</v>
      </c>
      <c r="I115" s="573" t="s">
        <v>86</v>
      </c>
      <c r="J115" s="10" t="s">
        <v>53</v>
      </c>
      <c r="K115" s="26">
        <v>6.3</v>
      </c>
      <c r="L115" s="26">
        <f>M115-K115</f>
        <v>0</v>
      </c>
      <c r="M115" s="26">
        <v>6.3</v>
      </c>
    </row>
    <row r="116" spans="1:13" s="117" customFormat="1" ht="53.25" customHeight="1" x14ac:dyDescent="0.35">
      <c r="A116" s="11"/>
      <c r="B116" s="262" t="s">
        <v>465</v>
      </c>
      <c r="C116" s="25" t="s">
        <v>1</v>
      </c>
      <c r="D116" s="10" t="s">
        <v>58</v>
      </c>
      <c r="E116" s="10" t="s">
        <v>83</v>
      </c>
      <c r="F116" s="571" t="s">
        <v>76</v>
      </c>
      <c r="G116" s="572" t="s">
        <v>26</v>
      </c>
      <c r="H116" s="572" t="s">
        <v>38</v>
      </c>
      <c r="I116" s="573" t="s">
        <v>39</v>
      </c>
      <c r="J116" s="10"/>
      <c r="K116" s="26">
        <f t="shared" ref="K116:M118" si="17">K117</f>
        <v>21.8</v>
      </c>
      <c r="L116" s="26">
        <f t="shared" si="17"/>
        <v>0</v>
      </c>
      <c r="M116" s="26">
        <v>21.8</v>
      </c>
    </row>
    <row r="117" spans="1:13" s="117" customFormat="1" ht="72" customHeight="1" x14ac:dyDescent="0.35">
      <c r="A117" s="11"/>
      <c r="B117" s="263" t="s">
        <v>466</v>
      </c>
      <c r="C117" s="25" t="s">
        <v>1</v>
      </c>
      <c r="D117" s="10" t="s">
        <v>58</v>
      </c>
      <c r="E117" s="10" t="s">
        <v>83</v>
      </c>
      <c r="F117" s="571" t="s">
        <v>76</v>
      </c>
      <c r="G117" s="572" t="s">
        <v>26</v>
      </c>
      <c r="H117" s="572" t="s">
        <v>32</v>
      </c>
      <c r="I117" s="573" t="s">
        <v>39</v>
      </c>
      <c r="J117" s="10"/>
      <c r="K117" s="26">
        <f t="shared" si="17"/>
        <v>21.8</v>
      </c>
      <c r="L117" s="26">
        <f t="shared" si="17"/>
        <v>0</v>
      </c>
      <c r="M117" s="26">
        <v>21.8</v>
      </c>
    </row>
    <row r="118" spans="1:13" s="117" customFormat="1" ht="53.25" customHeight="1" x14ac:dyDescent="0.35">
      <c r="A118" s="11"/>
      <c r="B118" s="260" t="s">
        <v>80</v>
      </c>
      <c r="C118" s="25" t="s">
        <v>1</v>
      </c>
      <c r="D118" s="10" t="s">
        <v>58</v>
      </c>
      <c r="E118" s="10" t="s">
        <v>83</v>
      </c>
      <c r="F118" s="571" t="s">
        <v>76</v>
      </c>
      <c r="G118" s="572" t="s">
        <v>26</v>
      </c>
      <c r="H118" s="572" t="s">
        <v>32</v>
      </c>
      <c r="I118" s="573" t="s">
        <v>81</v>
      </c>
      <c r="J118" s="10"/>
      <c r="K118" s="26">
        <f t="shared" si="17"/>
        <v>21.8</v>
      </c>
      <c r="L118" s="26">
        <f t="shared" si="17"/>
        <v>0</v>
      </c>
      <c r="M118" s="26">
        <v>21.8</v>
      </c>
    </row>
    <row r="119" spans="1:13" s="117" customFormat="1" ht="53.25" customHeight="1" x14ac:dyDescent="0.35">
      <c r="A119" s="11"/>
      <c r="B119" s="261" t="s">
        <v>50</v>
      </c>
      <c r="C119" s="25" t="s">
        <v>1</v>
      </c>
      <c r="D119" s="10" t="s">
        <v>58</v>
      </c>
      <c r="E119" s="10" t="s">
        <v>83</v>
      </c>
      <c r="F119" s="571" t="s">
        <v>76</v>
      </c>
      <c r="G119" s="572" t="s">
        <v>26</v>
      </c>
      <c r="H119" s="572" t="s">
        <v>32</v>
      </c>
      <c r="I119" s="573" t="s">
        <v>81</v>
      </c>
      <c r="J119" s="10" t="s">
        <v>51</v>
      </c>
      <c r="K119" s="26">
        <v>21.8</v>
      </c>
      <c r="L119" s="26">
        <f>M119-K119</f>
        <v>0</v>
      </c>
      <c r="M119" s="26">
        <v>21.8</v>
      </c>
    </row>
    <row r="120" spans="1:13" s="117" customFormat="1" ht="18.75" customHeight="1" x14ac:dyDescent="0.35">
      <c r="A120" s="11"/>
      <c r="B120" s="24" t="s">
        <v>87</v>
      </c>
      <c r="C120" s="25" t="s">
        <v>1</v>
      </c>
      <c r="D120" s="10" t="s">
        <v>47</v>
      </c>
      <c r="E120" s="10"/>
      <c r="F120" s="571"/>
      <c r="G120" s="572"/>
      <c r="H120" s="572"/>
      <c r="I120" s="573"/>
      <c r="J120" s="10"/>
      <c r="K120" s="26">
        <f>K121+K130+K136</f>
        <v>44773.9</v>
      </c>
      <c r="L120" s="26">
        <f>L121+L130+L136</f>
        <v>0</v>
      </c>
      <c r="M120" s="26">
        <v>51381.200000000004</v>
      </c>
    </row>
    <row r="121" spans="1:13" s="7" customFormat="1" ht="18.75" customHeight="1" x14ac:dyDescent="0.35">
      <c r="A121" s="11"/>
      <c r="B121" s="24" t="s">
        <v>88</v>
      </c>
      <c r="C121" s="25" t="s">
        <v>1</v>
      </c>
      <c r="D121" s="10" t="s">
        <v>47</v>
      </c>
      <c r="E121" s="10" t="s">
        <v>60</v>
      </c>
      <c r="F121" s="571"/>
      <c r="G121" s="572"/>
      <c r="H121" s="572"/>
      <c r="I121" s="573"/>
      <c r="J121" s="10"/>
      <c r="K121" s="26">
        <f t="shared" ref="K121:M122" si="18">K122</f>
        <v>12646.2</v>
      </c>
      <c r="L121" s="26">
        <f t="shared" si="18"/>
        <v>0</v>
      </c>
      <c r="M121" s="26">
        <v>12646.2</v>
      </c>
    </row>
    <row r="122" spans="1:13" s="117" customFormat="1" ht="60" customHeight="1" x14ac:dyDescent="0.35">
      <c r="A122" s="11"/>
      <c r="B122" s="24" t="s">
        <v>89</v>
      </c>
      <c r="C122" s="25" t="s">
        <v>1</v>
      </c>
      <c r="D122" s="10" t="s">
        <v>47</v>
      </c>
      <c r="E122" s="10" t="s">
        <v>60</v>
      </c>
      <c r="F122" s="571" t="s">
        <v>62</v>
      </c>
      <c r="G122" s="572" t="s">
        <v>37</v>
      </c>
      <c r="H122" s="572" t="s">
        <v>38</v>
      </c>
      <c r="I122" s="573" t="s">
        <v>39</v>
      </c>
      <c r="J122" s="10"/>
      <c r="K122" s="26">
        <f t="shared" si="18"/>
        <v>12646.2</v>
      </c>
      <c r="L122" s="26">
        <f t="shared" si="18"/>
        <v>0</v>
      </c>
      <c r="M122" s="26">
        <v>12646.2</v>
      </c>
    </row>
    <row r="123" spans="1:13" s="7" customFormat="1" ht="37.5" customHeight="1" x14ac:dyDescent="0.35">
      <c r="A123" s="11"/>
      <c r="B123" s="24" t="s">
        <v>328</v>
      </c>
      <c r="C123" s="25" t="s">
        <v>1</v>
      </c>
      <c r="D123" s="10" t="s">
        <v>47</v>
      </c>
      <c r="E123" s="10" t="s">
        <v>60</v>
      </c>
      <c r="F123" s="571" t="s">
        <v>62</v>
      </c>
      <c r="G123" s="572" t="s">
        <v>40</v>
      </c>
      <c r="H123" s="572" t="s">
        <v>38</v>
      </c>
      <c r="I123" s="573" t="s">
        <v>39</v>
      </c>
      <c r="J123" s="10"/>
      <c r="K123" s="26">
        <f>K124+K127</f>
        <v>12646.2</v>
      </c>
      <c r="L123" s="26">
        <f>L124+L127</f>
        <v>0</v>
      </c>
      <c r="M123" s="26">
        <v>12646.2</v>
      </c>
    </row>
    <row r="124" spans="1:13" s="7" customFormat="1" ht="56.25" customHeight="1" x14ac:dyDescent="0.35">
      <c r="A124" s="11"/>
      <c r="B124" s="24" t="s">
        <v>90</v>
      </c>
      <c r="C124" s="25" t="s">
        <v>1</v>
      </c>
      <c r="D124" s="10" t="s">
        <v>47</v>
      </c>
      <c r="E124" s="10" t="s">
        <v>60</v>
      </c>
      <c r="F124" s="571" t="s">
        <v>62</v>
      </c>
      <c r="G124" s="572" t="s">
        <v>40</v>
      </c>
      <c r="H124" s="572" t="s">
        <v>32</v>
      </c>
      <c r="I124" s="573" t="s">
        <v>39</v>
      </c>
      <c r="J124" s="10"/>
      <c r="K124" s="26">
        <f t="shared" ref="K124:M124" si="19">K125</f>
        <v>11095.300000000001</v>
      </c>
      <c r="L124" s="26">
        <f t="shared" si="19"/>
        <v>0</v>
      </c>
      <c r="M124" s="26">
        <v>11095.300000000001</v>
      </c>
    </row>
    <row r="125" spans="1:13" s="7" customFormat="1" ht="71.400000000000006" customHeight="1" x14ac:dyDescent="0.35">
      <c r="A125" s="11"/>
      <c r="B125" s="44" t="s">
        <v>397</v>
      </c>
      <c r="C125" s="25" t="s">
        <v>1</v>
      </c>
      <c r="D125" s="10" t="s">
        <v>47</v>
      </c>
      <c r="E125" s="10" t="s">
        <v>60</v>
      </c>
      <c r="F125" s="571" t="s">
        <v>62</v>
      </c>
      <c r="G125" s="572" t="s">
        <v>40</v>
      </c>
      <c r="H125" s="572" t="s">
        <v>32</v>
      </c>
      <c r="I125" s="573" t="s">
        <v>56</v>
      </c>
      <c r="J125" s="10"/>
      <c r="K125" s="26">
        <f>K126</f>
        <v>11095.300000000001</v>
      </c>
      <c r="L125" s="26">
        <f>L126</f>
        <v>0</v>
      </c>
      <c r="M125" s="26">
        <v>11095.300000000001</v>
      </c>
    </row>
    <row r="126" spans="1:13" s="117" customFormat="1" ht="18.75" customHeight="1" x14ac:dyDescent="0.35">
      <c r="A126" s="11"/>
      <c r="B126" s="24" t="s">
        <v>52</v>
      </c>
      <c r="C126" s="25" t="s">
        <v>1</v>
      </c>
      <c r="D126" s="10" t="s">
        <v>47</v>
      </c>
      <c r="E126" s="10" t="s">
        <v>60</v>
      </c>
      <c r="F126" s="571" t="s">
        <v>62</v>
      </c>
      <c r="G126" s="572" t="s">
        <v>40</v>
      </c>
      <c r="H126" s="572" t="s">
        <v>32</v>
      </c>
      <c r="I126" s="573" t="s">
        <v>56</v>
      </c>
      <c r="J126" s="10" t="s">
        <v>53</v>
      </c>
      <c r="K126" s="26">
        <f>11070.6+24.7</f>
        <v>11095.300000000001</v>
      </c>
      <c r="L126" s="26">
        <f>M126-K126</f>
        <v>0</v>
      </c>
      <c r="M126" s="26">
        <v>11095.300000000001</v>
      </c>
    </row>
    <row r="127" spans="1:13" s="7" customFormat="1" ht="63.75" customHeight="1" x14ac:dyDescent="0.35">
      <c r="A127" s="11"/>
      <c r="B127" s="24" t="s">
        <v>91</v>
      </c>
      <c r="C127" s="25" t="s">
        <v>1</v>
      </c>
      <c r="D127" s="10" t="s">
        <v>47</v>
      </c>
      <c r="E127" s="10" t="s">
        <v>60</v>
      </c>
      <c r="F127" s="571" t="s">
        <v>62</v>
      </c>
      <c r="G127" s="572" t="s">
        <v>40</v>
      </c>
      <c r="H127" s="572" t="s">
        <v>34</v>
      </c>
      <c r="I127" s="573" t="s">
        <v>39</v>
      </c>
      <c r="J127" s="10"/>
      <c r="K127" s="26">
        <f>K128</f>
        <v>1550.9</v>
      </c>
      <c r="L127" s="26">
        <f>L128</f>
        <v>0</v>
      </c>
      <c r="M127" s="26">
        <v>1550.9</v>
      </c>
    </row>
    <row r="128" spans="1:13" s="7" customFormat="1" ht="180" x14ac:dyDescent="0.35">
      <c r="A128" s="11"/>
      <c r="B128" s="24" t="s">
        <v>514</v>
      </c>
      <c r="C128" s="25" t="s">
        <v>1</v>
      </c>
      <c r="D128" s="10" t="s">
        <v>47</v>
      </c>
      <c r="E128" s="10" t="s">
        <v>60</v>
      </c>
      <c r="F128" s="571" t="s">
        <v>62</v>
      </c>
      <c r="G128" s="572" t="s">
        <v>40</v>
      </c>
      <c r="H128" s="572" t="s">
        <v>34</v>
      </c>
      <c r="I128" s="573" t="s">
        <v>92</v>
      </c>
      <c r="J128" s="10"/>
      <c r="K128" s="26">
        <f t="shared" ref="K128:M128" si="20">K129</f>
        <v>1550.9</v>
      </c>
      <c r="L128" s="26">
        <f t="shared" si="20"/>
        <v>0</v>
      </c>
      <c r="M128" s="26">
        <v>1550.9</v>
      </c>
    </row>
    <row r="129" spans="1:13" s="117" customFormat="1" ht="56.25" customHeight="1" x14ac:dyDescent="0.35">
      <c r="A129" s="11"/>
      <c r="B129" s="24" t="s">
        <v>50</v>
      </c>
      <c r="C129" s="25" t="s">
        <v>1</v>
      </c>
      <c r="D129" s="10" t="s">
        <v>47</v>
      </c>
      <c r="E129" s="10" t="s">
        <v>60</v>
      </c>
      <c r="F129" s="571" t="s">
        <v>62</v>
      </c>
      <c r="G129" s="572" t="s">
        <v>40</v>
      </c>
      <c r="H129" s="572" t="s">
        <v>34</v>
      </c>
      <c r="I129" s="573" t="s">
        <v>92</v>
      </c>
      <c r="J129" s="10" t="s">
        <v>51</v>
      </c>
      <c r="K129" s="26">
        <v>1550.9</v>
      </c>
      <c r="L129" s="26">
        <f>M129-K129</f>
        <v>0</v>
      </c>
      <c r="M129" s="26">
        <v>1550.9</v>
      </c>
    </row>
    <row r="130" spans="1:13" s="7" customFormat="1" ht="18.75" customHeight="1" x14ac:dyDescent="0.35">
      <c r="A130" s="11"/>
      <c r="B130" s="29" t="s">
        <v>93</v>
      </c>
      <c r="C130" s="25" t="s">
        <v>1</v>
      </c>
      <c r="D130" s="10" t="s">
        <v>47</v>
      </c>
      <c r="E130" s="10" t="s">
        <v>74</v>
      </c>
      <c r="F130" s="571"/>
      <c r="G130" s="572"/>
      <c r="H130" s="572"/>
      <c r="I130" s="573"/>
      <c r="J130" s="10"/>
      <c r="K130" s="26">
        <f t="shared" ref="K130:M134" si="21">K131</f>
        <v>6255.7</v>
      </c>
      <c r="L130" s="26">
        <f t="shared" si="21"/>
        <v>0</v>
      </c>
      <c r="M130" s="26">
        <v>6255.7</v>
      </c>
    </row>
    <row r="131" spans="1:13" s="117" customFormat="1" ht="56.25" customHeight="1" x14ac:dyDescent="0.35">
      <c r="A131" s="11"/>
      <c r="B131" s="24" t="s">
        <v>94</v>
      </c>
      <c r="C131" s="25" t="s">
        <v>1</v>
      </c>
      <c r="D131" s="10" t="s">
        <v>47</v>
      </c>
      <c r="E131" s="10" t="s">
        <v>74</v>
      </c>
      <c r="F131" s="571" t="s">
        <v>95</v>
      </c>
      <c r="G131" s="572" t="s">
        <v>37</v>
      </c>
      <c r="H131" s="572" t="s">
        <v>38</v>
      </c>
      <c r="I131" s="573" t="s">
        <v>39</v>
      </c>
      <c r="J131" s="10"/>
      <c r="K131" s="26">
        <f t="shared" si="21"/>
        <v>6255.7</v>
      </c>
      <c r="L131" s="26">
        <f t="shared" si="21"/>
        <v>0</v>
      </c>
      <c r="M131" s="26">
        <v>6255.7</v>
      </c>
    </row>
    <row r="132" spans="1:13" s="7" customFormat="1" ht="37.5" customHeight="1" x14ac:dyDescent="0.35">
      <c r="A132" s="11"/>
      <c r="B132" s="24" t="s">
        <v>328</v>
      </c>
      <c r="C132" s="25" t="s">
        <v>1</v>
      </c>
      <c r="D132" s="10" t="s">
        <v>47</v>
      </c>
      <c r="E132" s="10" t="s">
        <v>74</v>
      </c>
      <c r="F132" s="571" t="s">
        <v>95</v>
      </c>
      <c r="G132" s="572" t="s">
        <v>40</v>
      </c>
      <c r="H132" s="572" t="s">
        <v>38</v>
      </c>
      <c r="I132" s="573" t="s">
        <v>39</v>
      </c>
      <c r="J132" s="10"/>
      <c r="K132" s="26">
        <f t="shared" si="21"/>
        <v>6255.7</v>
      </c>
      <c r="L132" s="26">
        <f t="shared" si="21"/>
        <v>0</v>
      </c>
      <c r="M132" s="26">
        <v>6255.7</v>
      </c>
    </row>
    <row r="133" spans="1:13" s="7" customFormat="1" ht="93.75" customHeight="1" x14ac:dyDescent="0.35">
      <c r="A133" s="11"/>
      <c r="B133" s="24" t="s">
        <v>96</v>
      </c>
      <c r="C133" s="25" t="s">
        <v>1</v>
      </c>
      <c r="D133" s="10" t="s">
        <v>47</v>
      </c>
      <c r="E133" s="10" t="s">
        <v>74</v>
      </c>
      <c r="F133" s="571" t="s">
        <v>95</v>
      </c>
      <c r="G133" s="572" t="s">
        <v>40</v>
      </c>
      <c r="H133" s="572" t="s">
        <v>32</v>
      </c>
      <c r="I133" s="573" t="s">
        <v>39</v>
      </c>
      <c r="J133" s="10"/>
      <c r="K133" s="26">
        <f t="shared" si="21"/>
        <v>6255.7</v>
      </c>
      <c r="L133" s="26">
        <f t="shared" si="21"/>
        <v>0</v>
      </c>
      <c r="M133" s="26">
        <v>6255.7</v>
      </c>
    </row>
    <row r="134" spans="1:13" s="7" customFormat="1" ht="75.75" customHeight="1" x14ac:dyDescent="0.35">
      <c r="A134" s="11"/>
      <c r="B134" s="30" t="s">
        <v>97</v>
      </c>
      <c r="C134" s="25" t="s">
        <v>1</v>
      </c>
      <c r="D134" s="10" t="s">
        <v>47</v>
      </c>
      <c r="E134" s="10" t="s">
        <v>74</v>
      </c>
      <c r="F134" s="571" t="s">
        <v>95</v>
      </c>
      <c r="G134" s="572" t="s">
        <v>40</v>
      </c>
      <c r="H134" s="572" t="s">
        <v>32</v>
      </c>
      <c r="I134" s="573" t="s">
        <v>98</v>
      </c>
      <c r="J134" s="10"/>
      <c r="K134" s="26">
        <f t="shared" si="21"/>
        <v>6255.7</v>
      </c>
      <c r="L134" s="26">
        <f t="shared" si="21"/>
        <v>0</v>
      </c>
      <c r="M134" s="26">
        <v>6255.7</v>
      </c>
    </row>
    <row r="135" spans="1:13" s="117" customFormat="1" ht="56.25" customHeight="1" x14ac:dyDescent="0.35">
      <c r="A135" s="11"/>
      <c r="B135" s="24" t="s">
        <v>50</v>
      </c>
      <c r="C135" s="25" t="s">
        <v>1</v>
      </c>
      <c r="D135" s="10" t="s">
        <v>47</v>
      </c>
      <c r="E135" s="10" t="s">
        <v>74</v>
      </c>
      <c r="F135" s="571" t="s">
        <v>95</v>
      </c>
      <c r="G135" s="572" t="s">
        <v>40</v>
      </c>
      <c r="H135" s="572" t="s">
        <v>32</v>
      </c>
      <c r="I135" s="573" t="s">
        <v>98</v>
      </c>
      <c r="J135" s="10" t="s">
        <v>51</v>
      </c>
      <c r="K135" s="26">
        <v>6255.7</v>
      </c>
      <c r="L135" s="26">
        <f>M135-K135</f>
        <v>0</v>
      </c>
      <c r="M135" s="26">
        <v>6255.7</v>
      </c>
    </row>
    <row r="136" spans="1:13" s="7" customFormat="1" ht="37.5" customHeight="1" x14ac:dyDescent="0.35">
      <c r="A136" s="11"/>
      <c r="B136" s="29" t="s">
        <v>101</v>
      </c>
      <c r="C136" s="25" t="s">
        <v>1</v>
      </c>
      <c r="D136" s="10" t="s">
        <v>47</v>
      </c>
      <c r="E136" s="10" t="s">
        <v>95</v>
      </c>
      <c r="F136" s="571"/>
      <c r="G136" s="572"/>
      <c r="H136" s="572"/>
      <c r="I136" s="573"/>
      <c r="J136" s="10"/>
      <c r="K136" s="26">
        <f>K137+K146+K153</f>
        <v>25872</v>
      </c>
      <c r="L136" s="26">
        <f>L137+L146+L153</f>
        <v>0</v>
      </c>
      <c r="M136" s="26">
        <v>32479.300000000003</v>
      </c>
    </row>
    <row r="137" spans="1:13" s="117" customFormat="1" ht="75" customHeight="1" x14ac:dyDescent="0.35">
      <c r="A137" s="11"/>
      <c r="B137" s="24" t="s">
        <v>102</v>
      </c>
      <c r="C137" s="25" t="s">
        <v>1</v>
      </c>
      <c r="D137" s="10" t="s">
        <v>47</v>
      </c>
      <c r="E137" s="10" t="s">
        <v>95</v>
      </c>
      <c r="F137" s="571" t="s">
        <v>66</v>
      </c>
      <c r="G137" s="572" t="s">
        <v>37</v>
      </c>
      <c r="H137" s="572" t="s">
        <v>38</v>
      </c>
      <c r="I137" s="573" t="s">
        <v>39</v>
      </c>
      <c r="J137" s="10"/>
      <c r="K137" s="26">
        <f>K138+K142</f>
        <v>1025.0999999999999</v>
      </c>
      <c r="L137" s="26">
        <f>L138+L142</f>
        <v>0</v>
      </c>
      <c r="M137" s="26">
        <v>1025.0999999999999</v>
      </c>
    </row>
    <row r="138" spans="1:13" s="117" customFormat="1" ht="56.25" customHeight="1" x14ac:dyDescent="0.35">
      <c r="A138" s="11"/>
      <c r="B138" s="29" t="s">
        <v>103</v>
      </c>
      <c r="C138" s="25" t="s">
        <v>1</v>
      </c>
      <c r="D138" s="10" t="s">
        <v>47</v>
      </c>
      <c r="E138" s="10" t="s">
        <v>95</v>
      </c>
      <c r="F138" s="571" t="s">
        <v>66</v>
      </c>
      <c r="G138" s="572" t="s">
        <v>40</v>
      </c>
      <c r="H138" s="572" t="s">
        <v>38</v>
      </c>
      <c r="I138" s="573" t="s">
        <v>39</v>
      </c>
      <c r="J138" s="10"/>
      <c r="K138" s="26">
        <f t="shared" ref="K138:M139" si="22">K139</f>
        <v>310</v>
      </c>
      <c r="L138" s="26">
        <f t="shared" si="22"/>
        <v>0</v>
      </c>
      <c r="M138" s="26">
        <v>310</v>
      </c>
    </row>
    <row r="139" spans="1:13" s="7" customFormat="1" ht="37.5" customHeight="1" x14ac:dyDescent="0.35">
      <c r="A139" s="11"/>
      <c r="B139" s="24" t="s">
        <v>104</v>
      </c>
      <c r="C139" s="25" t="s">
        <v>1</v>
      </c>
      <c r="D139" s="10" t="s">
        <v>47</v>
      </c>
      <c r="E139" s="10" t="s">
        <v>95</v>
      </c>
      <c r="F139" s="571" t="s">
        <v>66</v>
      </c>
      <c r="G139" s="572" t="s">
        <v>40</v>
      </c>
      <c r="H139" s="572" t="s">
        <v>32</v>
      </c>
      <c r="I139" s="573" t="s">
        <v>39</v>
      </c>
      <c r="J139" s="10"/>
      <c r="K139" s="26">
        <f t="shared" si="22"/>
        <v>310</v>
      </c>
      <c r="L139" s="26">
        <f t="shared" si="22"/>
        <v>0</v>
      </c>
      <c r="M139" s="26">
        <v>310</v>
      </c>
    </row>
    <row r="140" spans="1:13" s="117" customFormat="1" ht="37.5" customHeight="1" x14ac:dyDescent="0.35">
      <c r="A140" s="11"/>
      <c r="B140" s="29" t="s">
        <v>105</v>
      </c>
      <c r="C140" s="25" t="s">
        <v>1</v>
      </c>
      <c r="D140" s="10" t="s">
        <v>47</v>
      </c>
      <c r="E140" s="10" t="s">
        <v>95</v>
      </c>
      <c r="F140" s="571" t="s">
        <v>66</v>
      </c>
      <c r="G140" s="572" t="s">
        <v>40</v>
      </c>
      <c r="H140" s="572" t="s">
        <v>32</v>
      </c>
      <c r="I140" s="573" t="s">
        <v>106</v>
      </c>
      <c r="J140" s="10"/>
      <c r="K140" s="26">
        <f>K141</f>
        <v>310</v>
      </c>
      <c r="L140" s="26">
        <f>L141</f>
        <v>0</v>
      </c>
      <c r="M140" s="26">
        <v>310</v>
      </c>
    </row>
    <row r="141" spans="1:13" s="7" customFormat="1" ht="56.25" customHeight="1" x14ac:dyDescent="0.35">
      <c r="A141" s="11"/>
      <c r="B141" s="24" t="s">
        <v>50</v>
      </c>
      <c r="C141" s="25" t="s">
        <v>1</v>
      </c>
      <c r="D141" s="10" t="s">
        <v>47</v>
      </c>
      <c r="E141" s="10" t="s">
        <v>95</v>
      </c>
      <c r="F141" s="571" t="s">
        <v>66</v>
      </c>
      <c r="G141" s="572" t="s">
        <v>40</v>
      </c>
      <c r="H141" s="572" t="s">
        <v>32</v>
      </c>
      <c r="I141" s="573" t="s">
        <v>106</v>
      </c>
      <c r="J141" s="10" t="s">
        <v>51</v>
      </c>
      <c r="K141" s="26">
        <v>310</v>
      </c>
      <c r="L141" s="26">
        <f>M141-K141</f>
        <v>0</v>
      </c>
      <c r="M141" s="26">
        <v>310</v>
      </c>
    </row>
    <row r="142" spans="1:13" s="117" customFormat="1" ht="37.5" customHeight="1" x14ac:dyDescent="0.35">
      <c r="A142" s="11"/>
      <c r="B142" s="29" t="s">
        <v>107</v>
      </c>
      <c r="C142" s="25" t="s">
        <v>1</v>
      </c>
      <c r="D142" s="10" t="s">
        <v>47</v>
      </c>
      <c r="E142" s="10" t="s">
        <v>95</v>
      </c>
      <c r="F142" s="571" t="s">
        <v>66</v>
      </c>
      <c r="G142" s="572" t="s">
        <v>84</v>
      </c>
      <c r="H142" s="572" t="s">
        <v>38</v>
      </c>
      <c r="I142" s="573" t="s">
        <v>39</v>
      </c>
      <c r="J142" s="10"/>
      <c r="K142" s="26">
        <f t="shared" ref="K142:M144" si="23">K143</f>
        <v>715.1</v>
      </c>
      <c r="L142" s="26">
        <f t="shared" si="23"/>
        <v>0</v>
      </c>
      <c r="M142" s="26">
        <v>715.1</v>
      </c>
    </row>
    <row r="143" spans="1:13" s="7" customFormat="1" ht="56.25" customHeight="1" x14ac:dyDescent="0.35">
      <c r="A143" s="11"/>
      <c r="B143" s="29" t="s">
        <v>108</v>
      </c>
      <c r="C143" s="25" t="s">
        <v>1</v>
      </c>
      <c r="D143" s="10" t="s">
        <v>47</v>
      </c>
      <c r="E143" s="10" t="s">
        <v>95</v>
      </c>
      <c r="F143" s="571" t="s">
        <v>66</v>
      </c>
      <c r="G143" s="572" t="s">
        <v>84</v>
      </c>
      <c r="H143" s="572" t="s">
        <v>32</v>
      </c>
      <c r="I143" s="573" t="s">
        <v>39</v>
      </c>
      <c r="J143" s="10"/>
      <c r="K143" s="26">
        <f t="shared" si="23"/>
        <v>715.1</v>
      </c>
      <c r="L143" s="26">
        <f t="shared" si="23"/>
        <v>0</v>
      </c>
      <c r="M143" s="26">
        <v>715.1</v>
      </c>
    </row>
    <row r="144" spans="1:13" s="117" customFormat="1" ht="79.5" customHeight="1" x14ac:dyDescent="0.35">
      <c r="A144" s="11"/>
      <c r="B144" s="29" t="s">
        <v>109</v>
      </c>
      <c r="C144" s="25" t="s">
        <v>1</v>
      </c>
      <c r="D144" s="10" t="s">
        <v>47</v>
      </c>
      <c r="E144" s="10" t="s">
        <v>95</v>
      </c>
      <c r="F144" s="571" t="s">
        <v>66</v>
      </c>
      <c r="G144" s="572" t="s">
        <v>84</v>
      </c>
      <c r="H144" s="572" t="s">
        <v>32</v>
      </c>
      <c r="I144" s="573" t="s">
        <v>110</v>
      </c>
      <c r="J144" s="10"/>
      <c r="K144" s="26">
        <f t="shared" si="23"/>
        <v>715.1</v>
      </c>
      <c r="L144" s="26">
        <f t="shared" si="23"/>
        <v>0</v>
      </c>
      <c r="M144" s="26">
        <v>715.1</v>
      </c>
    </row>
    <row r="145" spans="1:13" s="7" customFormat="1" ht="56.25" customHeight="1" x14ac:dyDescent="0.35">
      <c r="A145" s="11"/>
      <c r="B145" s="24" t="s">
        <v>50</v>
      </c>
      <c r="C145" s="25" t="s">
        <v>1</v>
      </c>
      <c r="D145" s="10" t="s">
        <v>47</v>
      </c>
      <c r="E145" s="10" t="s">
        <v>95</v>
      </c>
      <c r="F145" s="571" t="s">
        <v>66</v>
      </c>
      <c r="G145" s="572" t="s">
        <v>84</v>
      </c>
      <c r="H145" s="572" t="s">
        <v>32</v>
      </c>
      <c r="I145" s="573" t="s">
        <v>110</v>
      </c>
      <c r="J145" s="10" t="s">
        <v>51</v>
      </c>
      <c r="K145" s="26">
        <v>715.1</v>
      </c>
      <c r="L145" s="26">
        <f>M145-K145</f>
        <v>0</v>
      </c>
      <c r="M145" s="26">
        <v>715.1</v>
      </c>
    </row>
    <row r="146" spans="1:13" s="117" customFormat="1" ht="75" customHeight="1" x14ac:dyDescent="0.35">
      <c r="A146" s="11"/>
      <c r="B146" s="24" t="s">
        <v>111</v>
      </c>
      <c r="C146" s="25" t="s">
        <v>1</v>
      </c>
      <c r="D146" s="10" t="s">
        <v>47</v>
      </c>
      <c r="E146" s="10" t="s">
        <v>95</v>
      </c>
      <c r="F146" s="571" t="s">
        <v>83</v>
      </c>
      <c r="G146" s="572" t="s">
        <v>37</v>
      </c>
      <c r="H146" s="572" t="s">
        <v>38</v>
      </c>
      <c r="I146" s="573" t="s">
        <v>39</v>
      </c>
      <c r="J146" s="10"/>
      <c r="K146" s="26">
        <f t="shared" ref="K146:M149" si="24">K147</f>
        <v>5731.2000000000007</v>
      </c>
      <c r="L146" s="26">
        <f t="shared" si="24"/>
        <v>0</v>
      </c>
      <c r="M146" s="26">
        <v>5731.2000000000007</v>
      </c>
    </row>
    <row r="147" spans="1:13" s="117" customFormat="1" ht="37.5" customHeight="1" x14ac:dyDescent="0.35">
      <c r="A147" s="11"/>
      <c r="B147" s="24" t="s">
        <v>328</v>
      </c>
      <c r="C147" s="25" t="s">
        <v>1</v>
      </c>
      <c r="D147" s="10" t="s">
        <v>47</v>
      </c>
      <c r="E147" s="10" t="s">
        <v>95</v>
      </c>
      <c r="F147" s="571" t="s">
        <v>83</v>
      </c>
      <c r="G147" s="572" t="s">
        <v>40</v>
      </c>
      <c r="H147" s="572" t="s">
        <v>38</v>
      </c>
      <c r="I147" s="573" t="s">
        <v>39</v>
      </c>
      <c r="J147" s="10"/>
      <c r="K147" s="26">
        <f t="shared" si="24"/>
        <v>5731.2000000000007</v>
      </c>
      <c r="L147" s="26">
        <f t="shared" si="24"/>
        <v>0</v>
      </c>
      <c r="M147" s="26">
        <v>5731.2000000000007</v>
      </c>
    </row>
    <row r="148" spans="1:13" s="7" customFormat="1" ht="75" customHeight="1" x14ac:dyDescent="0.35">
      <c r="A148" s="11"/>
      <c r="B148" s="29" t="s">
        <v>295</v>
      </c>
      <c r="C148" s="25" t="s">
        <v>1</v>
      </c>
      <c r="D148" s="10" t="s">
        <v>47</v>
      </c>
      <c r="E148" s="10" t="s">
        <v>95</v>
      </c>
      <c r="F148" s="571" t="s">
        <v>83</v>
      </c>
      <c r="G148" s="572" t="s">
        <v>40</v>
      </c>
      <c r="H148" s="572" t="s">
        <v>32</v>
      </c>
      <c r="I148" s="573" t="s">
        <v>39</v>
      </c>
      <c r="J148" s="10"/>
      <c r="K148" s="26">
        <f>K149+K151</f>
        <v>5731.2000000000007</v>
      </c>
      <c r="L148" s="26">
        <f>L149+L151</f>
        <v>0</v>
      </c>
      <c r="M148" s="26">
        <v>5731.2000000000007</v>
      </c>
    </row>
    <row r="149" spans="1:13" s="117" customFormat="1" ht="56.25" customHeight="1" x14ac:dyDescent="0.35">
      <c r="A149" s="11"/>
      <c r="B149" s="29" t="s">
        <v>112</v>
      </c>
      <c r="C149" s="25" t="s">
        <v>1</v>
      </c>
      <c r="D149" s="10" t="s">
        <v>47</v>
      </c>
      <c r="E149" s="10" t="s">
        <v>95</v>
      </c>
      <c r="F149" s="571" t="s">
        <v>83</v>
      </c>
      <c r="G149" s="572" t="s">
        <v>40</v>
      </c>
      <c r="H149" s="572" t="s">
        <v>32</v>
      </c>
      <c r="I149" s="573" t="s">
        <v>113</v>
      </c>
      <c r="J149" s="10"/>
      <c r="K149" s="26">
        <f t="shared" si="24"/>
        <v>4952.2000000000007</v>
      </c>
      <c r="L149" s="26">
        <f t="shared" si="24"/>
        <v>0</v>
      </c>
      <c r="M149" s="26">
        <v>4952.2000000000007</v>
      </c>
    </row>
    <row r="150" spans="1:13" s="7" customFormat="1" ht="56.25" customHeight="1" x14ac:dyDescent="0.35">
      <c r="A150" s="11"/>
      <c r="B150" s="24" t="s">
        <v>50</v>
      </c>
      <c r="C150" s="25" t="s">
        <v>1</v>
      </c>
      <c r="D150" s="10" t="s">
        <v>47</v>
      </c>
      <c r="E150" s="10" t="s">
        <v>95</v>
      </c>
      <c r="F150" s="571" t="s">
        <v>83</v>
      </c>
      <c r="G150" s="572" t="s">
        <v>40</v>
      </c>
      <c r="H150" s="572" t="s">
        <v>32</v>
      </c>
      <c r="I150" s="573" t="s">
        <v>113</v>
      </c>
      <c r="J150" s="10" t="s">
        <v>51</v>
      </c>
      <c r="K150" s="26">
        <f>4927.6+24.6</f>
        <v>4952.2000000000007</v>
      </c>
      <c r="L150" s="26">
        <f>M150-K150</f>
        <v>0</v>
      </c>
      <c r="M150" s="26">
        <v>4952.2000000000007</v>
      </c>
    </row>
    <row r="151" spans="1:13" s="7" customFormat="1" ht="90" x14ac:dyDescent="0.35">
      <c r="A151" s="11"/>
      <c r="B151" s="24" t="s">
        <v>515</v>
      </c>
      <c r="C151" s="25" t="s">
        <v>1</v>
      </c>
      <c r="D151" s="10" t="s">
        <v>47</v>
      </c>
      <c r="E151" s="10" t="s">
        <v>95</v>
      </c>
      <c r="F151" s="571" t="s">
        <v>83</v>
      </c>
      <c r="G151" s="572" t="s">
        <v>40</v>
      </c>
      <c r="H151" s="572" t="s">
        <v>32</v>
      </c>
      <c r="I151" s="573" t="s">
        <v>513</v>
      </c>
      <c r="J151" s="10"/>
      <c r="K151" s="26">
        <f t="shared" ref="K151:M151" si="25">K152</f>
        <v>779</v>
      </c>
      <c r="L151" s="26">
        <f t="shared" si="25"/>
        <v>0</v>
      </c>
      <c r="M151" s="26">
        <v>779</v>
      </c>
    </row>
    <row r="152" spans="1:13" s="7" customFormat="1" ht="56.25" customHeight="1" x14ac:dyDescent="0.35">
      <c r="A152" s="11"/>
      <c r="B152" s="24" t="s">
        <v>50</v>
      </c>
      <c r="C152" s="25" t="s">
        <v>1</v>
      </c>
      <c r="D152" s="10" t="s">
        <v>47</v>
      </c>
      <c r="E152" s="10" t="s">
        <v>95</v>
      </c>
      <c r="F152" s="571" t="s">
        <v>83</v>
      </c>
      <c r="G152" s="572" t="s">
        <v>40</v>
      </c>
      <c r="H152" s="572" t="s">
        <v>32</v>
      </c>
      <c r="I152" s="573" t="s">
        <v>513</v>
      </c>
      <c r="J152" s="10" t="s">
        <v>51</v>
      </c>
      <c r="K152" s="26">
        <v>779</v>
      </c>
      <c r="L152" s="26">
        <f>M152-K152</f>
        <v>0</v>
      </c>
      <c r="M152" s="26">
        <v>779</v>
      </c>
    </row>
    <row r="153" spans="1:13" s="7" customFormat="1" ht="57.75" customHeight="1" x14ac:dyDescent="0.35">
      <c r="A153" s="11"/>
      <c r="B153" s="24" t="s">
        <v>35</v>
      </c>
      <c r="C153" s="25" t="s">
        <v>1</v>
      </c>
      <c r="D153" s="10" t="s">
        <v>47</v>
      </c>
      <c r="E153" s="10" t="s">
        <v>95</v>
      </c>
      <c r="F153" s="571" t="s">
        <v>36</v>
      </c>
      <c r="G153" s="572" t="s">
        <v>37</v>
      </c>
      <c r="H153" s="572" t="s">
        <v>38</v>
      </c>
      <c r="I153" s="573" t="s">
        <v>39</v>
      </c>
      <c r="J153" s="10"/>
      <c r="K153" s="26">
        <f t="shared" ref="K153:M154" si="26">K154</f>
        <v>19115.7</v>
      </c>
      <c r="L153" s="26">
        <f t="shared" si="26"/>
        <v>0</v>
      </c>
      <c r="M153" s="26">
        <v>25723</v>
      </c>
    </row>
    <row r="154" spans="1:13" s="7" customFormat="1" ht="37.5" customHeight="1" x14ac:dyDescent="0.35">
      <c r="A154" s="11"/>
      <c r="B154" s="24" t="s">
        <v>328</v>
      </c>
      <c r="C154" s="25" t="s">
        <v>1</v>
      </c>
      <c r="D154" s="10" t="s">
        <v>47</v>
      </c>
      <c r="E154" s="10" t="s">
        <v>95</v>
      </c>
      <c r="F154" s="571" t="s">
        <v>36</v>
      </c>
      <c r="G154" s="572" t="s">
        <v>40</v>
      </c>
      <c r="H154" s="572" t="s">
        <v>38</v>
      </c>
      <c r="I154" s="573" t="s">
        <v>39</v>
      </c>
      <c r="J154" s="10"/>
      <c r="K154" s="26">
        <f t="shared" si="26"/>
        <v>19115.7</v>
      </c>
      <c r="L154" s="26">
        <f t="shared" si="26"/>
        <v>0</v>
      </c>
      <c r="M154" s="26">
        <v>25723</v>
      </c>
    </row>
    <row r="155" spans="1:13" s="7" customFormat="1" ht="56.25" customHeight="1" x14ac:dyDescent="0.35">
      <c r="A155" s="11"/>
      <c r="B155" s="24" t="s">
        <v>320</v>
      </c>
      <c r="C155" s="25" t="s">
        <v>1</v>
      </c>
      <c r="D155" s="10" t="s">
        <v>47</v>
      </c>
      <c r="E155" s="10" t="s">
        <v>95</v>
      </c>
      <c r="F155" s="571" t="s">
        <v>36</v>
      </c>
      <c r="G155" s="572" t="s">
        <v>40</v>
      </c>
      <c r="H155" s="572" t="s">
        <v>83</v>
      </c>
      <c r="I155" s="573" t="s">
        <v>39</v>
      </c>
      <c r="J155" s="10"/>
      <c r="K155" s="26">
        <f>K156+K161</f>
        <v>19115.7</v>
      </c>
      <c r="L155" s="26">
        <f>L156+L161</f>
        <v>0</v>
      </c>
      <c r="M155" s="26">
        <v>25723</v>
      </c>
    </row>
    <row r="156" spans="1:13" s="7" customFormat="1" ht="36.75" customHeight="1" x14ac:dyDescent="0.35">
      <c r="A156" s="11"/>
      <c r="B156" s="27" t="s">
        <v>437</v>
      </c>
      <c r="C156" s="25" t="s">
        <v>1</v>
      </c>
      <c r="D156" s="10" t="s">
        <v>47</v>
      </c>
      <c r="E156" s="10" t="s">
        <v>95</v>
      </c>
      <c r="F156" s="571" t="s">
        <v>36</v>
      </c>
      <c r="G156" s="572" t="s">
        <v>40</v>
      </c>
      <c r="H156" s="572" t="s">
        <v>83</v>
      </c>
      <c r="I156" s="573" t="s">
        <v>86</v>
      </c>
      <c r="J156" s="10"/>
      <c r="K156" s="26">
        <f>K157+K158</f>
        <v>5759.7</v>
      </c>
      <c r="L156" s="26">
        <f>L157+L158</f>
        <v>0</v>
      </c>
      <c r="M156" s="26">
        <v>5759.7</v>
      </c>
    </row>
    <row r="157" spans="1:13" s="7" customFormat="1" ht="112.5" customHeight="1" x14ac:dyDescent="0.35">
      <c r="A157" s="11"/>
      <c r="B157" s="24" t="s">
        <v>44</v>
      </c>
      <c r="C157" s="25" t="s">
        <v>1</v>
      </c>
      <c r="D157" s="10" t="s">
        <v>47</v>
      </c>
      <c r="E157" s="10" t="s">
        <v>95</v>
      </c>
      <c r="F157" s="571" t="s">
        <v>36</v>
      </c>
      <c r="G157" s="572" t="s">
        <v>40</v>
      </c>
      <c r="H157" s="572" t="s">
        <v>83</v>
      </c>
      <c r="I157" s="573" t="s">
        <v>86</v>
      </c>
      <c r="J157" s="10" t="s">
        <v>45</v>
      </c>
      <c r="K157" s="26">
        <f>5398+216.4</f>
        <v>5614.4</v>
      </c>
      <c r="L157" s="26">
        <f>M157-K157</f>
        <v>0</v>
      </c>
      <c r="M157" s="26">
        <v>5614.4</v>
      </c>
    </row>
    <row r="158" spans="1:13" s="7" customFormat="1" ht="56.25" customHeight="1" x14ac:dyDescent="0.35">
      <c r="A158" s="11"/>
      <c r="B158" s="24" t="s">
        <v>50</v>
      </c>
      <c r="C158" s="25" t="s">
        <v>1</v>
      </c>
      <c r="D158" s="10" t="s">
        <v>47</v>
      </c>
      <c r="E158" s="10" t="s">
        <v>95</v>
      </c>
      <c r="F158" s="571" t="s">
        <v>36</v>
      </c>
      <c r="G158" s="572" t="s">
        <v>40</v>
      </c>
      <c r="H158" s="572" t="s">
        <v>83</v>
      </c>
      <c r="I158" s="573" t="s">
        <v>86</v>
      </c>
      <c r="J158" s="10" t="s">
        <v>51</v>
      </c>
      <c r="K158" s="26">
        <v>145.30000000000001</v>
      </c>
      <c r="L158" s="26">
        <f>M158-K158</f>
        <v>0</v>
      </c>
      <c r="M158" s="26">
        <v>145.30000000000001</v>
      </c>
    </row>
    <row r="159" spans="1:13" s="7" customFormat="1" ht="54" x14ac:dyDescent="0.35">
      <c r="A159" s="11"/>
      <c r="B159" s="24" t="s">
        <v>557</v>
      </c>
      <c r="C159" s="25" t="s">
        <v>1</v>
      </c>
      <c r="D159" s="10" t="s">
        <v>47</v>
      </c>
      <c r="E159" s="10" t="s">
        <v>95</v>
      </c>
      <c r="F159" s="571" t="s">
        <v>36</v>
      </c>
      <c r="G159" s="572" t="s">
        <v>40</v>
      </c>
      <c r="H159" s="572" t="s">
        <v>83</v>
      </c>
      <c r="I159" s="573" t="s">
        <v>558</v>
      </c>
      <c r="J159" s="10"/>
      <c r="K159" s="26"/>
      <c r="L159" s="26"/>
      <c r="M159" s="26">
        <v>6607.3</v>
      </c>
    </row>
    <row r="160" spans="1:13" s="7" customFormat="1" ht="54" x14ac:dyDescent="0.35">
      <c r="A160" s="11"/>
      <c r="B160" s="24" t="s">
        <v>50</v>
      </c>
      <c r="C160" s="25" t="s">
        <v>1</v>
      </c>
      <c r="D160" s="10" t="s">
        <v>47</v>
      </c>
      <c r="E160" s="10" t="s">
        <v>95</v>
      </c>
      <c r="F160" s="571" t="s">
        <v>36</v>
      </c>
      <c r="G160" s="572" t="s">
        <v>40</v>
      </c>
      <c r="H160" s="572" t="s">
        <v>83</v>
      </c>
      <c r="I160" s="573" t="s">
        <v>558</v>
      </c>
      <c r="J160" s="10" t="s">
        <v>51</v>
      </c>
      <c r="K160" s="26"/>
      <c r="L160" s="26">
        <f>M160-K160</f>
        <v>6607.3</v>
      </c>
      <c r="M160" s="26">
        <v>6607.3</v>
      </c>
    </row>
    <row r="161" spans="1:13" s="7" customFormat="1" ht="56.25" customHeight="1" x14ac:dyDescent="0.35">
      <c r="A161" s="11"/>
      <c r="B161" s="24" t="s">
        <v>529</v>
      </c>
      <c r="C161" s="25" t="s">
        <v>1</v>
      </c>
      <c r="D161" s="10" t="s">
        <v>47</v>
      </c>
      <c r="E161" s="10" t="s">
        <v>95</v>
      </c>
      <c r="F161" s="571" t="s">
        <v>36</v>
      </c>
      <c r="G161" s="572" t="s">
        <v>40</v>
      </c>
      <c r="H161" s="572" t="s">
        <v>83</v>
      </c>
      <c r="I161" s="573" t="s">
        <v>528</v>
      </c>
      <c r="J161" s="10"/>
      <c r="K161" s="26">
        <f>K162</f>
        <v>13356</v>
      </c>
      <c r="L161" s="26">
        <f>L162</f>
        <v>0</v>
      </c>
      <c r="M161" s="26">
        <v>13356</v>
      </c>
    </row>
    <row r="162" spans="1:13" s="7" customFormat="1" ht="56.25" customHeight="1" x14ac:dyDescent="0.35">
      <c r="A162" s="11"/>
      <c r="B162" s="24" t="s">
        <v>50</v>
      </c>
      <c r="C162" s="25" t="s">
        <v>1</v>
      </c>
      <c r="D162" s="10" t="s">
        <v>47</v>
      </c>
      <c r="E162" s="10" t="s">
        <v>95</v>
      </c>
      <c r="F162" s="571" t="s">
        <v>36</v>
      </c>
      <c r="G162" s="572" t="s">
        <v>40</v>
      </c>
      <c r="H162" s="572" t="s">
        <v>83</v>
      </c>
      <c r="I162" s="573" t="s">
        <v>528</v>
      </c>
      <c r="J162" s="10" t="s">
        <v>51</v>
      </c>
      <c r="K162" s="26">
        <f>400.7+12955.3</f>
        <v>13356</v>
      </c>
      <c r="L162" s="26">
        <f>M162-K162</f>
        <v>0</v>
      </c>
      <c r="M162" s="26">
        <v>13356</v>
      </c>
    </row>
    <row r="163" spans="1:13" s="7" customFormat="1" ht="18.75" customHeight="1" x14ac:dyDescent="0.35">
      <c r="A163" s="11"/>
      <c r="B163" s="24" t="s">
        <v>172</v>
      </c>
      <c r="C163" s="25" t="s">
        <v>1</v>
      </c>
      <c r="D163" s="10" t="s">
        <v>60</v>
      </c>
      <c r="E163" s="10"/>
      <c r="F163" s="571"/>
      <c r="G163" s="572"/>
      <c r="H163" s="572"/>
      <c r="I163" s="573"/>
      <c r="J163" s="10"/>
      <c r="K163" s="288">
        <f>K164+K174</f>
        <v>46753.399999999994</v>
      </c>
      <c r="L163" s="288">
        <f>L164+L174</f>
        <v>0</v>
      </c>
      <c r="M163" s="288">
        <v>46753.399999999994</v>
      </c>
    </row>
    <row r="164" spans="1:13" s="7" customFormat="1" ht="18" x14ac:dyDescent="0.35">
      <c r="A164" s="11"/>
      <c r="B164" s="24" t="s">
        <v>453</v>
      </c>
      <c r="C164" s="25" t="s">
        <v>1</v>
      </c>
      <c r="D164" s="10" t="s">
        <v>60</v>
      </c>
      <c r="E164" s="10" t="s">
        <v>32</v>
      </c>
      <c r="F164" s="571"/>
      <c r="G164" s="572"/>
      <c r="H164" s="572"/>
      <c r="I164" s="573"/>
      <c r="J164" s="10"/>
      <c r="K164" s="288">
        <f>K165</f>
        <v>43419.7</v>
      </c>
      <c r="L164" s="288">
        <f>L165</f>
        <v>0</v>
      </c>
      <c r="M164" s="288">
        <v>43419.7</v>
      </c>
    </row>
    <row r="165" spans="1:13" s="7" customFormat="1" ht="72" x14ac:dyDescent="0.35">
      <c r="A165" s="11"/>
      <c r="B165" s="380" t="s">
        <v>321</v>
      </c>
      <c r="C165" s="25" t="s">
        <v>1</v>
      </c>
      <c r="D165" s="10" t="s">
        <v>60</v>
      </c>
      <c r="E165" s="10" t="s">
        <v>32</v>
      </c>
      <c r="F165" s="571" t="s">
        <v>99</v>
      </c>
      <c r="G165" s="572" t="s">
        <v>37</v>
      </c>
      <c r="H165" s="572" t="s">
        <v>38</v>
      </c>
      <c r="I165" s="573" t="s">
        <v>39</v>
      </c>
      <c r="J165" s="10"/>
      <c r="K165" s="26">
        <f>K167</f>
        <v>43419.7</v>
      </c>
      <c r="L165" s="26">
        <f>L167</f>
        <v>0</v>
      </c>
      <c r="M165" s="26">
        <v>43419.7</v>
      </c>
    </row>
    <row r="166" spans="1:13" s="7" customFormat="1" ht="36" x14ac:dyDescent="0.35">
      <c r="A166" s="11"/>
      <c r="B166" s="379" t="s">
        <v>459</v>
      </c>
      <c r="C166" s="25" t="s">
        <v>1</v>
      </c>
      <c r="D166" s="10" t="s">
        <v>60</v>
      </c>
      <c r="E166" s="10" t="s">
        <v>32</v>
      </c>
      <c r="F166" s="571" t="s">
        <v>99</v>
      </c>
      <c r="G166" s="572" t="s">
        <v>460</v>
      </c>
      <c r="H166" s="572" t="s">
        <v>38</v>
      </c>
      <c r="I166" s="573" t="s">
        <v>39</v>
      </c>
      <c r="J166" s="10"/>
      <c r="K166" s="26">
        <f>K167</f>
        <v>43419.7</v>
      </c>
      <c r="L166" s="26">
        <f>L167</f>
        <v>0</v>
      </c>
      <c r="M166" s="26">
        <v>43419.7</v>
      </c>
    </row>
    <row r="167" spans="1:13" s="7" customFormat="1" ht="54" x14ac:dyDescent="0.35">
      <c r="A167" s="11"/>
      <c r="B167" s="24" t="s">
        <v>451</v>
      </c>
      <c r="C167" s="25" t="s">
        <v>1</v>
      </c>
      <c r="D167" s="10" t="s">
        <v>60</v>
      </c>
      <c r="E167" s="10" t="s">
        <v>32</v>
      </c>
      <c r="F167" s="571" t="s">
        <v>99</v>
      </c>
      <c r="G167" s="572" t="s">
        <v>460</v>
      </c>
      <c r="H167" s="572" t="s">
        <v>448</v>
      </c>
      <c r="I167" s="573" t="s">
        <v>39</v>
      </c>
      <c r="J167" s="10"/>
      <c r="K167" s="26">
        <f>K168+K170+K172</f>
        <v>43419.7</v>
      </c>
      <c r="L167" s="26">
        <f>L168+L170+L172</f>
        <v>0</v>
      </c>
      <c r="M167" s="26">
        <v>43419.7</v>
      </c>
    </row>
    <row r="168" spans="1:13" s="7" customFormat="1" ht="108" x14ac:dyDescent="0.35">
      <c r="A168" s="11"/>
      <c r="B168" s="24" t="s">
        <v>452</v>
      </c>
      <c r="C168" s="25" t="s">
        <v>1</v>
      </c>
      <c r="D168" s="10" t="s">
        <v>60</v>
      </c>
      <c r="E168" s="10" t="s">
        <v>32</v>
      </c>
      <c r="F168" s="571" t="s">
        <v>99</v>
      </c>
      <c r="G168" s="572" t="s">
        <v>460</v>
      </c>
      <c r="H168" s="572" t="s">
        <v>448</v>
      </c>
      <c r="I168" s="573" t="s">
        <v>449</v>
      </c>
      <c r="J168" s="10"/>
      <c r="K168" s="26">
        <f>K169</f>
        <v>21532.7</v>
      </c>
      <c r="L168" s="26">
        <f>L169</f>
        <v>0</v>
      </c>
      <c r="M168" s="26">
        <v>21532.7</v>
      </c>
    </row>
    <row r="169" spans="1:13" s="7" customFormat="1" ht="54" x14ac:dyDescent="0.35">
      <c r="A169" s="11"/>
      <c r="B169" s="24" t="s">
        <v>198</v>
      </c>
      <c r="C169" s="25" t="s">
        <v>1</v>
      </c>
      <c r="D169" s="10" t="s">
        <v>60</v>
      </c>
      <c r="E169" s="10" t="s">
        <v>32</v>
      </c>
      <c r="F169" s="571" t="s">
        <v>99</v>
      </c>
      <c r="G169" s="572" t="s">
        <v>460</v>
      </c>
      <c r="H169" s="572" t="s">
        <v>448</v>
      </c>
      <c r="I169" s="573" t="s">
        <v>449</v>
      </c>
      <c r="J169" s="10" t="s">
        <v>199</v>
      </c>
      <c r="K169" s="26">
        <v>21532.7</v>
      </c>
      <c r="L169" s="26">
        <f>M169-K169</f>
        <v>0</v>
      </c>
      <c r="M169" s="26">
        <v>21532.7</v>
      </c>
    </row>
    <row r="170" spans="1:13" s="7" customFormat="1" ht="108" x14ac:dyDescent="0.35">
      <c r="A170" s="11"/>
      <c r="B170" s="24" t="s">
        <v>452</v>
      </c>
      <c r="C170" s="25" t="s">
        <v>1</v>
      </c>
      <c r="D170" s="10" t="s">
        <v>60</v>
      </c>
      <c r="E170" s="10" t="s">
        <v>32</v>
      </c>
      <c r="F170" s="571" t="s">
        <v>99</v>
      </c>
      <c r="G170" s="572" t="s">
        <v>460</v>
      </c>
      <c r="H170" s="572" t="s">
        <v>448</v>
      </c>
      <c r="I170" s="573" t="s">
        <v>450</v>
      </c>
      <c r="J170" s="10"/>
      <c r="K170" s="26">
        <f>K171</f>
        <v>15225.8</v>
      </c>
      <c r="L170" s="26">
        <f>L171</f>
        <v>0</v>
      </c>
      <c r="M170" s="26">
        <v>15225.8</v>
      </c>
    </row>
    <row r="171" spans="1:13" s="7" customFormat="1" ht="54" x14ac:dyDescent="0.35">
      <c r="A171" s="11"/>
      <c r="B171" s="231" t="s">
        <v>198</v>
      </c>
      <c r="C171" s="25" t="s">
        <v>1</v>
      </c>
      <c r="D171" s="10" t="s">
        <v>60</v>
      </c>
      <c r="E171" s="10" t="s">
        <v>32</v>
      </c>
      <c r="F171" s="571" t="s">
        <v>99</v>
      </c>
      <c r="G171" s="572" t="s">
        <v>460</v>
      </c>
      <c r="H171" s="572" t="s">
        <v>448</v>
      </c>
      <c r="I171" s="573" t="s">
        <v>450</v>
      </c>
      <c r="J171" s="10" t="s">
        <v>199</v>
      </c>
      <c r="K171" s="26">
        <v>15225.8</v>
      </c>
      <c r="L171" s="26">
        <f>M171-K171</f>
        <v>0</v>
      </c>
      <c r="M171" s="26">
        <v>15225.8</v>
      </c>
    </row>
    <row r="172" spans="1:13" s="7" customFormat="1" ht="108" x14ac:dyDescent="0.35">
      <c r="A172" s="11"/>
      <c r="B172" s="24" t="s">
        <v>452</v>
      </c>
      <c r="C172" s="25" t="s">
        <v>1</v>
      </c>
      <c r="D172" s="10" t="s">
        <v>60</v>
      </c>
      <c r="E172" s="10" t="s">
        <v>32</v>
      </c>
      <c r="F172" s="571" t="s">
        <v>99</v>
      </c>
      <c r="G172" s="572" t="s">
        <v>460</v>
      </c>
      <c r="H172" s="572" t="s">
        <v>448</v>
      </c>
      <c r="I172" s="573" t="s">
        <v>506</v>
      </c>
      <c r="J172" s="10"/>
      <c r="K172" s="26">
        <f>K173</f>
        <v>6661.2000000000007</v>
      </c>
      <c r="L172" s="26">
        <f>L173</f>
        <v>0</v>
      </c>
      <c r="M172" s="26">
        <v>6661.2000000000007</v>
      </c>
    </row>
    <row r="173" spans="1:13" s="7" customFormat="1" ht="54" x14ac:dyDescent="0.35">
      <c r="A173" s="11"/>
      <c r="B173" s="24" t="s">
        <v>198</v>
      </c>
      <c r="C173" s="25" t="s">
        <v>1</v>
      </c>
      <c r="D173" s="10" t="s">
        <v>60</v>
      </c>
      <c r="E173" s="10" t="s">
        <v>32</v>
      </c>
      <c r="F173" s="571" t="s">
        <v>99</v>
      </c>
      <c r="G173" s="572" t="s">
        <v>460</v>
      </c>
      <c r="H173" s="572" t="s">
        <v>448</v>
      </c>
      <c r="I173" s="573" t="s">
        <v>506</v>
      </c>
      <c r="J173" s="10" t="s">
        <v>199</v>
      </c>
      <c r="K173" s="26">
        <f>1213.9+5447.3</f>
        <v>6661.2000000000007</v>
      </c>
      <c r="L173" s="26">
        <f>M173-K173</f>
        <v>0</v>
      </c>
      <c r="M173" s="26">
        <v>6661.2000000000007</v>
      </c>
    </row>
    <row r="174" spans="1:13" s="7" customFormat="1" ht="18.75" customHeight="1" x14ac:dyDescent="0.35">
      <c r="A174" s="11"/>
      <c r="B174" s="24" t="s">
        <v>475</v>
      </c>
      <c r="C174" s="25" t="s">
        <v>1</v>
      </c>
      <c r="D174" s="10" t="s">
        <v>60</v>
      </c>
      <c r="E174" s="10" t="s">
        <v>58</v>
      </c>
      <c r="F174" s="571"/>
      <c r="G174" s="572"/>
      <c r="H174" s="572"/>
      <c r="I174" s="573"/>
      <c r="J174" s="10"/>
      <c r="K174" s="288">
        <f>K175</f>
        <v>3333.7</v>
      </c>
      <c r="L174" s="288">
        <f>L175</f>
        <v>0</v>
      </c>
      <c r="M174" s="288">
        <v>3333.7</v>
      </c>
    </row>
    <row r="175" spans="1:13" s="7" customFormat="1" ht="75" customHeight="1" x14ac:dyDescent="0.35">
      <c r="A175" s="11"/>
      <c r="B175" s="24" t="s">
        <v>476</v>
      </c>
      <c r="C175" s="25" t="s">
        <v>1</v>
      </c>
      <c r="D175" s="10" t="s">
        <v>60</v>
      </c>
      <c r="E175" s="10" t="s">
        <v>58</v>
      </c>
      <c r="F175" s="571" t="s">
        <v>99</v>
      </c>
      <c r="G175" s="572" t="s">
        <v>37</v>
      </c>
      <c r="H175" s="572" t="s">
        <v>38</v>
      </c>
      <c r="I175" s="573" t="s">
        <v>39</v>
      </c>
      <c r="J175" s="10"/>
      <c r="K175" s="288">
        <f>K176+K180</f>
        <v>3333.7</v>
      </c>
      <c r="L175" s="288">
        <f>L176+L180</f>
        <v>0</v>
      </c>
      <c r="M175" s="288">
        <v>3333.7</v>
      </c>
    </row>
    <row r="176" spans="1:13" s="7" customFormat="1" ht="36" x14ac:dyDescent="0.35">
      <c r="A176" s="11"/>
      <c r="B176" s="378" t="s">
        <v>328</v>
      </c>
      <c r="C176" s="25" t="s">
        <v>1</v>
      </c>
      <c r="D176" s="10" t="s">
        <v>60</v>
      </c>
      <c r="E176" s="10" t="s">
        <v>58</v>
      </c>
      <c r="F176" s="571" t="s">
        <v>99</v>
      </c>
      <c r="G176" s="572" t="s">
        <v>25</v>
      </c>
      <c r="H176" s="572" t="s">
        <v>38</v>
      </c>
      <c r="I176" s="573" t="s">
        <v>39</v>
      </c>
      <c r="J176" s="10"/>
      <c r="K176" s="26">
        <f>K177</f>
        <v>2109.1999999999998</v>
      </c>
      <c r="L176" s="26">
        <f>L177</f>
        <v>0</v>
      </c>
      <c r="M176" s="26">
        <v>2109.1999999999998</v>
      </c>
    </row>
    <row r="177" spans="1:13" s="7" customFormat="1" ht="36" x14ac:dyDescent="0.35">
      <c r="A177" s="11"/>
      <c r="B177" s="314" t="s">
        <v>486</v>
      </c>
      <c r="C177" s="25" t="s">
        <v>1</v>
      </c>
      <c r="D177" s="10" t="s">
        <v>60</v>
      </c>
      <c r="E177" s="10" t="s">
        <v>58</v>
      </c>
      <c r="F177" s="571" t="s">
        <v>99</v>
      </c>
      <c r="G177" s="572" t="s">
        <v>25</v>
      </c>
      <c r="H177" s="572" t="s">
        <v>221</v>
      </c>
      <c r="I177" s="573" t="s">
        <v>39</v>
      </c>
      <c r="J177" s="10"/>
      <c r="K177" s="26">
        <f t="shared" ref="K177:M178" si="27">K178</f>
        <v>2109.1999999999998</v>
      </c>
      <c r="L177" s="26">
        <f t="shared" si="27"/>
        <v>0</v>
      </c>
      <c r="M177" s="26">
        <v>2109.1999999999998</v>
      </c>
    </row>
    <row r="178" spans="1:13" s="7" customFormat="1" ht="18" x14ac:dyDescent="0.35">
      <c r="A178" s="11"/>
      <c r="B178" s="314" t="s">
        <v>487</v>
      </c>
      <c r="C178" s="25" t="s">
        <v>1</v>
      </c>
      <c r="D178" s="10" t="s">
        <v>60</v>
      </c>
      <c r="E178" s="10" t="s">
        <v>58</v>
      </c>
      <c r="F178" s="571" t="s">
        <v>99</v>
      </c>
      <c r="G178" s="572" t="s">
        <v>25</v>
      </c>
      <c r="H178" s="572" t="s">
        <v>221</v>
      </c>
      <c r="I178" s="573" t="s">
        <v>485</v>
      </c>
      <c r="J178" s="10"/>
      <c r="K178" s="26">
        <f t="shared" si="27"/>
        <v>2109.1999999999998</v>
      </c>
      <c r="L178" s="26">
        <f t="shared" si="27"/>
        <v>0</v>
      </c>
      <c r="M178" s="26">
        <v>2109.1999999999998</v>
      </c>
    </row>
    <row r="179" spans="1:13" s="7" customFormat="1" ht="54" x14ac:dyDescent="0.35">
      <c r="A179" s="11"/>
      <c r="B179" s="314" t="s">
        <v>50</v>
      </c>
      <c r="C179" s="25" t="s">
        <v>1</v>
      </c>
      <c r="D179" s="10" t="s">
        <v>60</v>
      </c>
      <c r="E179" s="10" t="s">
        <v>58</v>
      </c>
      <c r="F179" s="571" t="s">
        <v>99</v>
      </c>
      <c r="G179" s="572" t="s">
        <v>25</v>
      </c>
      <c r="H179" s="572" t="s">
        <v>221</v>
      </c>
      <c r="I179" s="573" t="s">
        <v>485</v>
      </c>
      <c r="J179" s="10" t="s">
        <v>51</v>
      </c>
      <c r="K179" s="26">
        <v>2109.1999999999998</v>
      </c>
      <c r="L179" s="26">
        <f>M179-K179</f>
        <v>0</v>
      </c>
      <c r="M179" s="26">
        <v>2109.1999999999998</v>
      </c>
    </row>
    <row r="180" spans="1:13" s="7" customFormat="1" ht="56.25" customHeight="1" x14ac:dyDescent="0.35">
      <c r="A180" s="11"/>
      <c r="B180" s="24" t="s">
        <v>477</v>
      </c>
      <c r="C180" s="25" t="s">
        <v>1</v>
      </c>
      <c r="D180" s="10" t="s">
        <v>60</v>
      </c>
      <c r="E180" s="10" t="s">
        <v>58</v>
      </c>
      <c r="F180" s="571" t="s">
        <v>99</v>
      </c>
      <c r="G180" s="572" t="s">
        <v>29</v>
      </c>
      <c r="H180" s="572" t="s">
        <v>38</v>
      </c>
      <c r="I180" s="573" t="s">
        <v>39</v>
      </c>
      <c r="J180" s="10"/>
      <c r="K180" s="288">
        <f t="shared" ref="K180:M182" si="28">K181</f>
        <v>1224.5</v>
      </c>
      <c r="L180" s="288">
        <f t="shared" si="28"/>
        <v>0</v>
      </c>
      <c r="M180" s="288">
        <v>1224.5</v>
      </c>
    </row>
    <row r="181" spans="1:13" s="7" customFormat="1" ht="56.25" customHeight="1" x14ac:dyDescent="0.35">
      <c r="A181" s="11"/>
      <c r="B181" s="24" t="s">
        <v>478</v>
      </c>
      <c r="C181" s="25" t="s">
        <v>1</v>
      </c>
      <c r="D181" s="10" t="s">
        <v>60</v>
      </c>
      <c r="E181" s="10" t="s">
        <v>58</v>
      </c>
      <c r="F181" s="571" t="s">
        <v>99</v>
      </c>
      <c r="G181" s="572" t="s">
        <v>29</v>
      </c>
      <c r="H181" s="572" t="s">
        <v>32</v>
      </c>
      <c r="I181" s="573" t="s">
        <v>39</v>
      </c>
      <c r="J181" s="10"/>
      <c r="K181" s="288">
        <f t="shared" si="28"/>
        <v>1224.5</v>
      </c>
      <c r="L181" s="288">
        <f t="shared" si="28"/>
        <v>0</v>
      </c>
      <c r="M181" s="288">
        <v>1224.5</v>
      </c>
    </row>
    <row r="182" spans="1:13" s="7" customFormat="1" ht="36" x14ac:dyDescent="0.35">
      <c r="A182" s="11"/>
      <c r="B182" s="24" t="s">
        <v>479</v>
      </c>
      <c r="C182" s="25" t="s">
        <v>1</v>
      </c>
      <c r="D182" s="10" t="s">
        <v>60</v>
      </c>
      <c r="E182" s="10" t="s">
        <v>58</v>
      </c>
      <c r="F182" s="571" t="s">
        <v>99</v>
      </c>
      <c r="G182" s="572" t="s">
        <v>29</v>
      </c>
      <c r="H182" s="572" t="s">
        <v>32</v>
      </c>
      <c r="I182" s="573" t="s">
        <v>480</v>
      </c>
      <c r="J182" s="10"/>
      <c r="K182" s="288">
        <f t="shared" si="28"/>
        <v>1224.5</v>
      </c>
      <c r="L182" s="288">
        <f t="shared" si="28"/>
        <v>0</v>
      </c>
      <c r="M182" s="288">
        <v>1224.5</v>
      </c>
    </row>
    <row r="183" spans="1:13" s="7" customFormat="1" ht="56.25" customHeight="1" x14ac:dyDescent="0.35">
      <c r="A183" s="11"/>
      <c r="B183" s="24" t="s">
        <v>50</v>
      </c>
      <c r="C183" s="25" t="s">
        <v>1</v>
      </c>
      <c r="D183" s="10" t="s">
        <v>60</v>
      </c>
      <c r="E183" s="10" t="s">
        <v>58</v>
      </c>
      <c r="F183" s="571" t="s">
        <v>99</v>
      </c>
      <c r="G183" s="572" t="s">
        <v>29</v>
      </c>
      <c r="H183" s="572" t="s">
        <v>32</v>
      </c>
      <c r="I183" s="573" t="s">
        <v>480</v>
      </c>
      <c r="J183" s="10" t="s">
        <v>51</v>
      </c>
      <c r="K183" s="26">
        <v>1224.5</v>
      </c>
      <c r="L183" s="26">
        <f>M183-K183</f>
        <v>0</v>
      </c>
      <c r="M183" s="26">
        <v>1224.5</v>
      </c>
    </row>
    <row r="184" spans="1:13" s="7" customFormat="1" ht="18" x14ac:dyDescent="0.35">
      <c r="A184" s="11"/>
      <c r="B184" s="24" t="s">
        <v>174</v>
      </c>
      <c r="C184" s="25" t="s">
        <v>1</v>
      </c>
      <c r="D184" s="10" t="s">
        <v>219</v>
      </c>
      <c r="E184" s="10"/>
      <c r="F184" s="571"/>
      <c r="G184" s="572"/>
      <c r="H184" s="572"/>
      <c r="I184" s="573"/>
      <c r="J184" s="10"/>
      <c r="K184" s="26">
        <f>K185</f>
        <v>112.4</v>
      </c>
      <c r="L184" s="26">
        <f>L185</f>
        <v>0</v>
      </c>
      <c r="M184" s="26">
        <v>112.4</v>
      </c>
    </row>
    <row r="185" spans="1:13" s="7" customFormat="1" ht="36" x14ac:dyDescent="0.35">
      <c r="A185" s="11"/>
      <c r="B185" s="24" t="s">
        <v>523</v>
      </c>
      <c r="C185" s="25" t="s">
        <v>1</v>
      </c>
      <c r="D185" s="10" t="s">
        <v>219</v>
      </c>
      <c r="E185" s="10" t="s">
        <v>60</v>
      </c>
      <c r="F185" s="571"/>
      <c r="G185" s="572"/>
      <c r="H185" s="572"/>
      <c r="I185" s="573"/>
      <c r="J185" s="10"/>
      <c r="K185" s="26">
        <f t="shared" ref="K185:M189" si="29">K186</f>
        <v>112.4</v>
      </c>
      <c r="L185" s="26">
        <f t="shared" si="29"/>
        <v>0</v>
      </c>
      <c r="M185" s="26">
        <v>112.4</v>
      </c>
    </row>
    <row r="186" spans="1:13" s="7" customFormat="1" ht="56.25" customHeight="1" x14ac:dyDescent="0.35">
      <c r="A186" s="11"/>
      <c r="B186" s="24" t="s">
        <v>35</v>
      </c>
      <c r="C186" s="25" t="s">
        <v>1</v>
      </c>
      <c r="D186" s="10" t="s">
        <v>219</v>
      </c>
      <c r="E186" s="10" t="s">
        <v>60</v>
      </c>
      <c r="F186" s="571" t="s">
        <v>36</v>
      </c>
      <c r="G186" s="572" t="s">
        <v>37</v>
      </c>
      <c r="H186" s="572" t="s">
        <v>38</v>
      </c>
      <c r="I186" s="573" t="s">
        <v>39</v>
      </c>
      <c r="J186" s="10"/>
      <c r="K186" s="26">
        <f t="shared" si="29"/>
        <v>112.4</v>
      </c>
      <c r="L186" s="26">
        <f t="shared" si="29"/>
        <v>0</v>
      </c>
      <c r="M186" s="26">
        <v>112.4</v>
      </c>
    </row>
    <row r="187" spans="1:13" s="7" customFormat="1" ht="36" customHeight="1" x14ac:dyDescent="0.35">
      <c r="A187" s="11"/>
      <c r="B187" s="24" t="s">
        <v>328</v>
      </c>
      <c r="C187" s="25" t="s">
        <v>1</v>
      </c>
      <c r="D187" s="10" t="s">
        <v>219</v>
      </c>
      <c r="E187" s="10" t="s">
        <v>60</v>
      </c>
      <c r="F187" s="571" t="s">
        <v>36</v>
      </c>
      <c r="G187" s="572" t="s">
        <v>40</v>
      </c>
      <c r="H187" s="572" t="s">
        <v>38</v>
      </c>
      <c r="I187" s="573" t="s">
        <v>39</v>
      </c>
      <c r="J187" s="10"/>
      <c r="K187" s="26">
        <f t="shared" si="29"/>
        <v>112.4</v>
      </c>
      <c r="L187" s="26">
        <f t="shared" si="29"/>
        <v>0</v>
      </c>
      <c r="M187" s="26">
        <v>112.4</v>
      </c>
    </row>
    <row r="188" spans="1:13" s="7" customFormat="1" ht="18" x14ac:dyDescent="0.35">
      <c r="A188" s="11"/>
      <c r="B188" s="24" t="s">
        <v>57</v>
      </c>
      <c r="C188" s="25" t="s">
        <v>1</v>
      </c>
      <c r="D188" s="10" t="s">
        <v>219</v>
      </c>
      <c r="E188" s="10" t="s">
        <v>60</v>
      </c>
      <c r="F188" s="571" t="s">
        <v>36</v>
      </c>
      <c r="G188" s="572" t="s">
        <v>40</v>
      </c>
      <c r="H188" s="572" t="s">
        <v>58</v>
      </c>
      <c r="I188" s="573" t="s">
        <v>39</v>
      </c>
      <c r="J188" s="10"/>
      <c r="K188" s="26">
        <f t="shared" si="29"/>
        <v>112.4</v>
      </c>
      <c r="L188" s="26">
        <f t="shared" si="29"/>
        <v>0</v>
      </c>
      <c r="M188" s="26">
        <v>112.4</v>
      </c>
    </row>
    <row r="189" spans="1:13" s="7" customFormat="1" ht="36" x14ac:dyDescent="0.35">
      <c r="A189" s="11"/>
      <c r="B189" s="24" t="s">
        <v>525</v>
      </c>
      <c r="C189" s="25" t="s">
        <v>1</v>
      </c>
      <c r="D189" s="10" t="s">
        <v>219</v>
      </c>
      <c r="E189" s="10" t="s">
        <v>60</v>
      </c>
      <c r="F189" s="571" t="s">
        <v>36</v>
      </c>
      <c r="G189" s="572" t="s">
        <v>40</v>
      </c>
      <c r="H189" s="572" t="s">
        <v>58</v>
      </c>
      <c r="I189" s="573" t="s">
        <v>524</v>
      </c>
      <c r="J189" s="10"/>
      <c r="K189" s="26">
        <f t="shared" si="29"/>
        <v>112.4</v>
      </c>
      <c r="L189" s="26">
        <f t="shared" si="29"/>
        <v>0</v>
      </c>
      <c r="M189" s="26">
        <v>112.4</v>
      </c>
    </row>
    <row r="190" spans="1:13" s="7" customFormat="1" ht="56.25" customHeight="1" x14ac:dyDescent="0.35">
      <c r="A190" s="11"/>
      <c r="B190" s="24" t="s">
        <v>50</v>
      </c>
      <c r="C190" s="25" t="s">
        <v>1</v>
      </c>
      <c r="D190" s="10" t="s">
        <v>219</v>
      </c>
      <c r="E190" s="10" t="s">
        <v>60</v>
      </c>
      <c r="F190" s="571" t="s">
        <v>36</v>
      </c>
      <c r="G190" s="572" t="s">
        <v>40</v>
      </c>
      <c r="H190" s="572" t="s">
        <v>58</v>
      </c>
      <c r="I190" s="573" t="s">
        <v>524</v>
      </c>
      <c r="J190" s="10" t="s">
        <v>51</v>
      </c>
      <c r="K190" s="26">
        <v>112.4</v>
      </c>
      <c r="L190" s="26">
        <f>M190-K190</f>
        <v>0</v>
      </c>
      <c r="M190" s="26">
        <v>112.4</v>
      </c>
    </row>
    <row r="191" spans="1:13" s="117" customFormat="1" ht="18.75" customHeight="1" x14ac:dyDescent="0.35">
      <c r="A191" s="11"/>
      <c r="B191" s="24" t="s">
        <v>114</v>
      </c>
      <c r="C191" s="25" t="s">
        <v>1</v>
      </c>
      <c r="D191" s="10" t="s">
        <v>99</v>
      </c>
      <c r="E191" s="10"/>
      <c r="F191" s="571"/>
      <c r="G191" s="572"/>
      <c r="H191" s="572"/>
      <c r="I191" s="573"/>
      <c r="J191" s="10"/>
      <c r="K191" s="26">
        <f>K192+K198</f>
        <v>1531.7</v>
      </c>
      <c r="L191" s="26">
        <f>L192+L198</f>
        <v>696</v>
      </c>
      <c r="M191" s="26">
        <v>2227.6999999999998</v>
      </c>
    </row>
    <row r="192" spans="1:13" s="117" customFormat="1" ht="18.75" customHeight="1" x14ac:dyDescent="0.35">
      <c r="A192" s="11"/>
      <c r="B192" s="24" t="s">
        <v>344</v>
      </c>
      <c r="C192" s="25" t="s">
        <v>1</v>
      </c>
      <c r="D192" s="10" t="s">
        <v>99</v>
      </c>
      <c r="E192" s="10" t="s">
        <v>32</v>
      </c>
      <c r="F192" s="571"/>
      <c r="G192" s="572"/>
      <c r="H192" s="572"/>
      <c r="I192" s="573"/>
      <c r="J192" s="10"/>
      <c r="K192" s="26">
        <f t="shared" ref="K192:M196" si="30">K193</f>
        <v>504</v>
      </c>
      <c r="L192" s="26">
        <f t="shared" si="30"/>
        <v>696</v>
      </c>
      <c r="M192" s="26">
        <v>1200</v>
      </c>
    </row>
    <row r="193" spans="1:13" s="117" customFormat="1" ht="56.25" customHeight="1" x14ac:dyDescent="0.35">
      <c r="A193" s="11"/>
      <c r="B193" s="31" t="s">
        <v>284</v>
      </c>
      <c r="C193" s="25" t="s">
        <v>1</v>
      </c>
      <c r="D193" s="10" t="s">
        <v>99</v>
      </c>
      <c r="E193" s="10" t="s">
        <v>32</v>
      </c>
      <c r="F193" s="571" t="s">
        <v>74</v>
      </c>
      <c r="G193" s="572" t="s">
        <v>37</v>
      </c>
      <c r="H193" s="572" t="s">
        <v>38</v>
      </c>
      <c r="I193" s="573" t="s">
        <v>39</v>
      </c>
      <c r="J193" s="10"/>
      <c r="K193" s="26">
        <f t="shared" si="30"/>
        <v>504</v>
      </c>
      <c r="L193" s="26">
        <f t="shared" si="30"/>
        <v>696</v>
      </c>
      <c r="M193" s="26">
        <v>1200</v>
      </c>
    </row>
    <row r="194" spans="1:13" s="117" customFormat="1" ht="37.5" customHeight="1" x14ac:dyDescent="0.35">
      <c r="A194" s="11"/>
      <c r="B194" s="24" t="s">
        <v>328</v>
      </c>
      <c r="C194" s="25" t="s">
        <v>1</v>
      </c>
      <c r="D194" s="10" t="s">
        <v>99</v>
      </c>
      <c r="E194" s="10" t="s">
        <v>32</v>
      </c>
      <c r="F194" s="571" t="s">
        <v>74</v>
      </c>
      <c r="G194" s="572" t="s">
        <v>40</v>
      </c>
      <c r="H194" s="572" t="s">
        <v>38</v>
      </c>
      <c r="I194" s="573" t="s">
        <v>39</v>
      </c>
      <c r="J194" s="10"/>
      <c r="K194" s="26">
        <f t="shared" si="30"/>
        <v>504</v>
      </c>
      <c r="L194" s="26">
        <f t="shared" si="30"/>
        <v>696</v>
      </c>
      <c r="M194" s="26">
        <v>1200</v>
      </c>
    </row>
    <row r="195" spans="1:13" s="117" customFormat="1" ht="93.75" customHeight="1" x14ac:dyDescent="0.35">
      <c r="A195" s="11"/>
      <c r="B195" s="27" t="s">
        <v>425</v>
      </c>
      <c r="C195" s="25" t="s">
        <v>1</v>
      </c>
      <c r="D195" s="10" t="s">
        <v>99</v>
      </c>
      <c r="E195" s="10" t="s">
        <v>32</v>
      </c>
      <c r="F195" s="571" t="s">
        <v>74</v>
      </c>
      <c r="G195" s="572" t="s">
        <v>40</v>
      </c>
      <c r="H195" s="572" t="s">
        <v>47</v>
      </c>
      <c r="I195" s="573" t="s">
        <v>39</v>
      </c>
      <c r="J195" s="10"/>
      <c r="K195" s="26">
        <f t="shared" si="30"/>
        <v>504</v>
      </c>
      <c r="L195" s="26">
        <f t="shared" si="30"/>
        <v>696</v>
      </c>
      <c r="M195" s="26">
        <v>1200</v>
      </c>
    </row>
    <row r="196" spans="1:13" s="117" customFormat="1" ht="72" x14ac:dyDescent="0.35">
      <c r="A196" s="11"/>
      <c r="B196" s="27" t="s">
        <v>420</v>
      </c>
      <c r="C196" s="25" t="s">
        <v>1</v>
      </c>
      <c r="D196" s="10" t="s">
        <v>99</v>
      </c>
      <c r="E196" s="10" t="s">
        <v>32</v>
      </c>
      <c r="F196" s="571" t="s">
        <v>74</v>
      </c>
      <c r="G196" s="572" t="s">
        <v>40</v>
      </c>
      <c r="H196" s="572" t="s">
        <v>47</v>
      </c>
      <c r="I196" s="573" t="s">
        <v>345</v>
      </c>
      <c r="J196" s="10"/>
      <c r="K196" s="26">
        <f t="shared" si="30"/>
        <v>504</v>
      </c>
      <c r="L196" s="26">
        <f t="shared" si="30"/>
        <v>696</v>
      </c>
      <c r="M196" s="26">
        <v>1200</v>
      </c>
    </row>
    <row r="197" spans="1:13" s="117" customFormat="1" ht="37.5" customHeight="1" x14ac:dyDescent="0.35">
      <c r="A197" s="11"/>
      <c r="B197" s="28" t="s">
        <v>115</v>
      </c>
      <c r="C197" s="25" t="s">
        <v>1</v>
      </c>
      <c r="D197" s="10" t="s">
        <v>99</v>
      </c>
      <c r="E197" s="10" t="s">
        <v>32</v>
      </c>
      <c r="F197" s="571" t="s">
        <v>74</v>
      </c>
      <c r="G197" s="572" t="s">
        <v>40</v>
      </c>
      <c r="H197" s="572" t="s">
        <v>47</v>
      </c>
      <c r="I197" s="573" t="s">
        <v>345</v>
      </c>
      <c r="J197" s="10" t="s">
        <v>116</v>
      </c>
      <c r="K197" s="26">
        <v>504</v>
      </c>
      <c r="L197" s="26">
        <f>M197-K197</f>
        <v>696</v>
      </c>
      <c r="M197" s="26">
        <v>1200</v>
      </c>
    </row>
    <row r="198" spans="1:13" s="117" customFormat="1" ht="37.5" customHeight="1" x14ac:dyDescent="0.35">
      <c r="A198" s="11"/>
      <c r="B198" s="24" t="s">
        <v>117</v>
      </c>
      <c r="C198" s="25" t="s">
        <v>1</v>
      </c>
      <c r="D198" s="10" t="s">
        <v>99</v>
      </c>
      <c r="E198" s="10" t="s">
        <v>76</v>
      </c>
      <c r="F198" s="571"/>
      <c r="G198" s="572"/>
      <c r="H198" s="572"/>
      <c r="I198" s="573"/>
      <c r="J198" s="10"/>
      <c r="K198" s="26">
        <f>K199</f>
        <v>1027.7</v>
      </c>
      <c r="L198" s="26">
        <f>L199</f>
        <v>0</v>
      </c>
      <c r="M198" s="26">
        <v>1027.7</v>
      </c>
    </row>
    <row r="199" spans="1:13" s="117" customFormat="1" ht="78" customHeight="1" x14ac:dyDescent="0.35">
      <c r="A199" s="11"/>
      <c r="B199" s="24" t="s">
        <v>67</v>
      </c>
      <c r="C199" s="25" t="s">
        <v>1</v>
      </c>
      <c r="D199" s="10" t="s">
        <v>99</v>
      </c>
      <c r="E199" s="10" t="s">
        <v>76</v>
      </c>
      <c r="F199" s="571" t="s">
        <v>68</v>
      </c>
      <c r="G199" s="572" t="s">
        <v>37</v>
      </c>
      <c r="H199" s="572" t="s">
        <v>38</v>
      </c>
      <c r="I199" s="573" t="s">
        <v>39</v>
      </c>
      <c r="J199" s="10"/>
      <c r="K199" s="26">
        <f t="shared" ref="K199:M202" si="31">K200</f>
        <v>1027.7</v>
      </c>
      <c r="L199" s="26">
        <f t="shared" si="31"/>
        <v>0</v>
      </c>
      <c r="M199" s="26">
        <v>1027.7</v>
      </c>
    </row>
    <row r="200" spans="1:13" s="117" customFormat="1" ht="37.5" customHeight="1" x14ac:dyDescent="0.35">
      <c r="A200" s="11"/>
      <c r="B200" s="24" t="s">
        <v>328</v>
      </c>
      <c r="C200" s="25" t="s">
        <v>1</v>
      </c>
      <c r="D200" s="10" t="s">
        <v>99</v>
      </c>
      <c r="E200" s="10" t="s">
        <v>76</v>
      </c>
      <c r="F200" s="571" t="s">
        <v>68</v>
      </c>
      <c r="G200" s="572" t="s">
        <v>40</v>
      </c>
      <c r="H200" s="572" t="s">
        <v>38</v>
      </c>
      <c r="I200" s="573" t="s">
        <v>39</v>
      </c>
      <c r="J200" s="10"/>
      <c r="K200" s="26">
        <f t="shared" si="31"/>
        <v>1027.7</v>
      </c>
      <c r="L200" s="26">
        <f t="shared" si="31"/>
        <v>0</v>
      </c>
      <c r="M200" s="26">
        <v>1027.7</v>
      </c>
    </row>
    <row r="201" spans="1:13" s="117" customFormat="1" ht="56.25" customHeight="1" x14ac:dyDescent="0.35">
      <c r="A201" s="11"/>
      <c r="B201" s="27" t="s">
        <v>254</v>
      </c>
      <c r="C201" s="25" t="s">
        <v>1</v>
      </c>
      <c r="D201" s="10" t="s">
        <v>99</v>
      </c>
      <c r="E201" s="10" t="s">
        <v>76</v>
      </c>
      <c r="F201" s="571" t="s">
        <v>68</v>
      </c>
      <c r="G201" s="572" t="s">
        <v>40</v>
      </c>
      <c r="H201" s="572" t="s">
        <v>32</v>
      </c>
      <c r="I201" s="573" t="s">
        <v>39</v>
      </c>
      <c r="J201" s="10"/>
      <c r="K201" s="26">
        <f t="shared" si="31"/>
        <v>1027.7</v>
      </c>
      <c r="L201" s="26">
        <f t="shared" si="31"/>
        <v>0</v>
      </c>
      <c r="M201" s="26">
        <v>1027.7</v>
      </c>
    </row>
    <row r="202" spans="1:13" s="117" customFormat="1" ht="53.4" customHeight="1" x14ac:dyDescent="0.35">
      <c r="A202" s="11"/>
      <c r="B202" s="27" t="s">
        <v>69</v>
      </c>
      <c r="C202" s="25" t="s">
        <v>1</v>
      </c>
      <c r="D202" s="10" t="s">
        <v>99</v>
      </c>
      <c r="E202" s="10" t="s">
        <v>76</v>
      </c>
      <c r="F202" s="571" t="s">
        <v>68</v>
      </c>
      <c r="G202" s="572" t="s">
        <v>40</v>
      </c>
      <c r="H202" s="572" t="s">
        <v>32</v>
      </c>
      <c r="I202" s="573" t="s">
        <v>70</v>
      </c>
      <c r="J202" s="10"/>
      <c r="K202" s="26">
        <f t="shared" si="31"/>
        <v>1027.7</v>
      </c>
      <c r="L202" s="26">
        <f t="shared" si="31"/>
        <v>0</v>
      </c>
      <c r="M202" s="26">
        <v>1027.7</v>
      </c>
    </row>
    <row r="203" spans="1:13" s="117" customFormat="1" ht="56.25" customHeight="1" x14ac:dyDescent="0.35">
      <c r="A203" s="11"/>
      <c r="B203" s="28" t="s">
        <v>71</v>
      </c>
      <c r="C203" s="25" t="s">
        <v>1</v>
      </c>
      <c r="D203" s="10" t="s">
        <v>99</v>
      </c>
      <c r="E203" s="10" t="s">
        <v>76</v>
      </c>
      <c r="F203" s="571" t="s">
        <v>68</v>
      </c>
      <c r="G203" s="572" t="s">
        <v>40</v>
      </c>
      <c r="H203" s="572" t="s">
        <v>32</v>
      </c>
      <c r="I203" s="573" t="s">
        <v>70</v>
      </c>
      <c r="J203" s="10" t="s">
        <v>72</v>
      </c>
      <c r="K203" s="26">
        <v>1027.7</v>
      </c>
      <c r="L203" s="26">
        <f>M203-K203</f>
        <v>0</v>
      </c>
      <c r="M203" s="26">
        <v>1027.7</v>
      </c>
    </row>
    <row r="204" spans="1:13" s="117" customFormat="1" ht="37.5" customHeight="1" x14ac:dyDescent="0.35">
      <c r="A204" s="11"/>
      <c r="B204" s="264" t="s">
        <v>372</v>
      </c>
      <c r="C204" s="25" t="s">
        <v>1</v>
      </c>
      <c r="D204" s="10" t="s">
        <v>66</v>
      </c>
      <c r="E204" s="10"/>
      <c r="F204" s="571"/>
      <c r="G204" s="572"/>
      <c r="H204" s="572"/>
      <c r="I204" s="573"/>
      <c r="J204" s="10"/>
      <c r="K204" s="26">
        <f t="shared" ref="K204:M209" si="32">K205</f>
        <v>9.4</v>
      </c>
      <c r="L204" s="26">
        <f t="shared" si="32"/>
        <v>0</v>
      </c>
      <c r="M204" s="26">
        <v>9.4</v>
      </c>
    </row>
    <row r="205" spans="1:13" s="117" customFormat="1" ht="37.5" customHeight="1" x14ac:dyDescent="0.35">
      <c r="A205" s="11"/>
      <c r="B205" s="253" t="s">
        <v>432</v>
      </c>
      <c r="C205" s="25" t="s">
        <v>1</v>
      </c>
      <c r="D205" s="10" t="s">
        <v>66</v>
      </c>
      <c r="E205" s="10" t="s">
        <v>32</v>
      </c>
      <c r="F205" s="571"/>
      <c r="G205" s="572"/>
      <c r="H205" s="572"/>
      <c r="I205" s="573"/>
      <c r="J205" s="10"/>
      <c r="K205" s="26">
        <f t="shared" si="32"/>
        <v>9.4</v>
      </c>
      <c r="L205" s="26">
        <f t="shared" si="32"/>
        <v>0</v>
      </c>
      <c r="M205" s="26">
        <v>9.4</v>
      </c>
    </row>
    <row r="206" spans="1:13" s="117" customFormat="1" ht="61.5" customHeight="1" x14ac:dyDescent="0.35">
      <c r="A206" s="11"/>
      <c r="B206" s="24" t="s">
        <v>35</v>
      </c>
      <c r="C206" s="25" t="s">
        <v>1</v>
      </c>
      <c r="D206" s="10" t="s">
        <v>66</v>
      </c>
      <c r="E206" s="10" t="s">
        <v>32</v>
      </c>
      <c r="F206" s="571" t="s">
        <v>36</v>
      </c>
      <c r="G206" s="572" t="s">
        <v>37</v>
      </c>
      <c r="H206" s="572" t="s">
        <v>38</v>
      </c>
      <c r="I206" s="573" t="s">
        <v>39</v>
      </c>
      <c r="J206" s="10"/>
      <c r="K206" s="26">
        <f t="shared" si="32"/>
        <v>9.4</v>
      </c>
      <c r="L206" s="26">
        <f t="shared" si="32"/>
        <v>0</v>
      </c>
      <c r="M206" s="26">
        <v>9.4</v>
      </c>
    </row>
    <row r="207" spans="1:13" s="117" customFormat="1" ht="37.5" customHeight="1" x14ac:dyDescent="0.35">
      <c r="A207" s="11"/>
      <c r="B207" s="24" t="s">
        <v>328</v>
      </c>
      <c r="C207" s="25" t="s">
        <v>1</v>
      </c>
      <c r="D207" s="10" t="s">
        <v>66</v>
      </c>
      <c r="E207" s="10" t="s">
        <v>32</v>
      </c>
      <c r="F207" s="571" t="s">
        <v>36</v>
      </c>
      <c r="G207" s="572" t="s">
        <v>40</v>
      </c>
      <c r="H207" s="572" t="s">
        <v>38</v>
      </c>
      <c r="I207" s="573" t="s">
        <v>39</v>
      </c>
      <c r="J207" s="10"/>
      <c r="K207" s="26">
        <f t="shared" si="32"/>
        <v>9.4</v>
      </c>
      <c r="L207" s="26">
        <f t="shared" si="32"/>
        <v>0</v>
      </c>
      <c r="M207" s="26">
        <v>9.4</v>
      </c>
    </row>
    <row r="208" spans="1:13" s="117" customFormat="1" ht="56.25" customHeight="1" x14ac:dyDescent="0.35">
      <c r="A208" s="11"/>
      <c r="B208" s="28" t="s">
        <v>369</v>
      </c>
      <c r="C208" s="25" t="s">
        <v>1</v>
      </c>
      <c r="D208" s="10" t="s">
        <v>66</v>
      </c>
      <c r="E208" s="10" t="s">
        <v>32</v>
      </c>
      <c r="F208" s="571" t="s">
        <v>36</v>
      </c>
      <c r="G208" s="572" t="s">
        <v>40</v>
      </c>
      <c r="H208" s="572" t="s">
        <v>74</v>
      </c>
      <c r="I208" s="573" t="s">
        <v>39</v>
      </c>
      <c r="J208" s="10"/>
      <c r="K208" s="26">
        <f t="shared" si="32"/>
        <v>9.4</v>
      </c>
      <c r="L208" s="26">
        <f t="shared" si="32"/>
        <v>0</v>
      </c>
      <c r="M208" s="26">
        <v>9.4</v>
      </c>
    </row>
    <row r="209" spans="1:13" s="117" customFormat="1" ht="37.5" customHeight="1" x14ac:dyDescent="0.35">
      <c r="A209" s="11"/>
      <c r="B209" s="28" t="s">
        <v>370</v>
      </c>
      <c r="C209" s="25" t="s">
        <v>1</v>
      </c>
      <c r="D209" s="10" t="s">
        <v>66</v>
      </c>
      <c r="E209" s="10" t="s">
        <v>32</v>
      </c>
      <c r="F209" s="571" t="s">
        <v>36</v>
      </c>
      <c r="G209" s="572" t="s">
        <v>40</v>
      </c>
      <c r="H209" s="572" t="s">
        <v>74</v>
      </c>
      <c r="I209" s="573" t="s">
        <v>371</v>
      </c>
      <c r="J209" s="10"/>
      <c r="K209" s="26">
        <f t="shared" si="32"/>
        <v>9.4</v>
      </c>
      <c r="L209" s="26">
        <f t="shared" si="32"/>
        <v>0</v>
      </c>
      <c r="M209" s="26">
        <v>9.4</v>
      </c>
    </row>
    <row r="210" spans="1:13" s="117" customFormat="1" ht="37.5" customHeight="1" x14ac:dyDescent="0.35">
      <c r="A210" s="11"/>
      <c r="B210" s="28" t="s">
        <v>372</v>
      </c>
      <c r="C210" s="25" t="s">
        <v>1</v>
      </c>
      <c r="D210" s="10" t="s">
        <v>66</v>
      </c>
      <c r="E210" s="10" t="s">
        <v>32</v>
      </c>
      <c r="F210" s="571" t="s">
        <v>36</v>
      </c>
      <c r="G210" s="572" t="s">
        <v>40</v>
      </c>
      <c r="H210" s="572" t="s">
        <v>74</v>
      </c>
      <c r="I210" s="573" t="s">
        <v>371</v>
      </c>
      <c r="J210" s="10" t="s">
        <v>373</v>
      </c>
      <c r="K210" s="26">
        <v>9.4</v>
      </c>
      <c r="L210" s="26">
        <f>M210-K210</f>
        <v>0</v>
      </c>
      <c r="M210" s="26">
        <v>9.4</v>
      </c>
    </row>
    <row r="211" spans="1:13" ht="18.75" customHeight="1" x14ac:dyDescent="0.35">
      <c r="A211" s="11"/>
      <c r="B211" s="24"/>
      <c r="C211" s="25"/>
      <c r="D211" s="10"/>
      <c r="E211" s="10"/>
      <c r="F211" s="571"/>
      <c r="G211" s="572"/>
      <c r="H211" s="572"/>
      <c r="I211" s="573"/>
      <c r="J211" s="304"/>
      <c r="K211" s="26"/>
      <c r="L211" s="26"/>
      <c r="M211" s="26"/>
    </row>
    <row r="212" spans="1:13" ht="56.25" customHeight="1" x14ac:dyDescent="0.3">
      <c r="A212" s="116">
        <v>2</v>
      </c>
      <c r="B212" s="12" t="s">
        <v>2</v>
      </c>
      <c r="C212" s="19" t="s">
        <v>291</v>
      </c>
      <c r="D212" s="20"/>
      <c r="E212" s="20"/>
      <c r="F212" s="21"/>
      <c r="G212" s="22"/>
      <c r="H212" s="22"/>
      <c r="I212" s="23"/>
      <c r="J212" s="20"/>
      <c r="K212" s="40">
        <f>K213+K241+K234</f>
        <v>39625.4</v>
      </c>
      <c r="L212" s="40">
        <f>L213+L241+L234</f>
        <v>0</v>
      </c>
      <c r="M212" s="40">
        <v>39625.4</v>
      </c>
    </row>
    <row r="213" spans="1:13" s="121" customFormat="1" ht="18.75" customHeight="1" x14ac:dyDescent="0.35">
      <c r="A213" s="11"/>
      <c r="B213" s="24" t="s">
        <v>31</v>
      </c>
      <c r="C213" s="25" t="s">
        <v>291</v>
      </c>
      <c r="D213" s="10" t="s">
        <v>32</v>
      </c>
      <c r="E213" s="10"/>
      <c r="F213" s="571"/>
      <c r="G213" s="572"/>
      <c r="H213" s="572"/>
      <c r="I213" s="573"/>
      <c r="J213" s="10"/>
      <c r="K213" s="26">
        <f>K214+K225</f>
        <v>32526.6</v>
      </c>
      <c r="L213" s="26">
        <f>L214+L225</f>
        <v>0</v>
      </c>
      <c r="M213" s="26">
        <v>32526.6</v>
      </c>
    </row>
    <row r="214" spans="1:13" s="122" customFormat="1" ht="70.2" customHeight="1" x14ac:dyDescent="0.35">
      <c r="A214" s="11"/>
      <c r="B214" s="24" t="s">
        <v>124</v>
      </c>
      <c r="C214" s="25" t="s">
        <v>291</v>
      </c>
      <c r="D214" s="10" t="s">
        <v>32</v>
      </c>
      <c r="E214" s="10" t="s">
        <v>76</v>
      </c>
      <c r="F214" s="571"/>
      <c r="G214" s="572"/>
      <c r="H214" s="572"/>
      <c r="I214" s="573"/>
      <c r="J214" s="10"/>
      <c r="K214" s="26">
        <f t="shared" ref="K214:M217" si="33">K215</f>
        <v>29218.5</v>
      </c>
      <c r="L214" s="26">
        <f t="shared" si="33"/>
        <v>0</v>
      </c>
      <c r="M214" s="26">
        <v>29218.5</v>
      </c>
    </row>
    <row r="215" spans="1:13" s="117" customFormat="1" ht="59.25" customHeight="1" x14ac:dyDescent="0.35">
      <c r="A215" s="11"/>
      <c r="B215" s="24" t="s">
        <v>218</v>
      </c>
      <c r="C215" s="25" t="s">
        <v>291</v>
      </c>
      <c r="D215" s="10" t="s">
        <v>32</v>
      </c>
      <c r="E215" s="10" t="s">
        <v>76</v>
      </c>
      <c r="F215" s="571" t="s">
        <v>219</v>
      </c>
      <c r="G215" s="572" t="s">
        <v>37</v>
      </c>
      <c r="H215" s="572" t="s">
        <v>38</v>
      </c>
      <c r="I215" s="573" t="s">
        <v>39</v>
      </c>
      <c r="J215" s="10"/>
      <c r="K215" s="26">
        <f t="shared" si="33"/>
        <v>29218.5</v>
      </c>
      <c r="L215" s="26">
        <f t="shared" si="33"/>
        <v>0</v>
      </c>
      <c r="M215" s="26">
        <v>29218.5</v>
      </c>
    </row>
    <row r="216" spans="1:13" s="117" customFormat="1" ht="37.5" customHeight="1" x14ac:dyDescent="0.35">
      <c r="A216" s="11"/>
      <c r="B216" s="24" t="s">
        <v>328</v>
      </c>
      <c r="C216" s="25" t="s">
        <v>291</v>
      </c>
      <c r="D216" s="10" t="s">
        <v>32</v>
      </c>
      <c r="E216" s="10" t="s">
        <v>76</v>
      </c>
      <c r="F216" s="32" t="s">
        <v>219</v>
      </c>
      <c r="G216" s="33" t="s">
        <v>40</v>
      </c>
      <c r="H216" s="572" t="s">
        <v>38</v>
      </c>
      <c r="I216" s="573" t="s">
        <v>39</v>
      </c>
      <c r="J216" s="10"/>
      <c r="K216" s="26">
        <f t="shared" ref="K216:L216" si="34">K217+K222</f>
        <v>29218.5</v>
      </c>
      <c r="L216" s="26">
        <f t="shared" si="34"/>
        <v>0</v>
      </c>
      <c r="M216" s="26">
        <v>29218.5</v>
      </c>
    </row>
    <row r="217" spans="1:13" s="117" customFormat="1" ht="56.25" customHeight="1" x14ac:dyDescent="0.35">
      <c r="A217" s="11"/>
      <c r="B217" s="24" t="s">
        <v>292</v>
      </c>
      <c r="C217" s="25" t="s">
        <v>291</v>
      </c>
      <c r="D217" s="10" t="s">
        <v>32</v>
      </c>
      <c r="E217" s="10" t="s">
        <v>76</v>
      </c>
      <c r="F217" s="32" t="s">
        <v>219</v>
      </c>
      <c r="G217" s="33" t="s">
        <v>40</v>
      </c>
      <c r="H217" s="572" t="s">
        <v>32</v>
      </c>
      <c r="I217" s="573" t="s">
        <v>39</v>
      </c>
      <c r="J217" s="10"/>
      <c r="K217" s="26">
        <f t="shared" si="33"/>
        <v>28483</v>
      </c>
      <c r="L217" s="26">
        <f t="shared" si="33"/>
        <v>0</v>
      </c>
      <c r="M217" s="26">
        <v>28483</v>
      </c>
    </row>
    <row r="218" spans="1:13" s="117" customFormat="1" ht="37.5" customHeight="1" x14ac:dyDescent="0.35">
      <c r="A218" s="11"/>
      <c r="B218" s="24" t="s">
        <v>42</v>
      </c>
      <c r="C218" s="25" t="s">
        <v>291</v>
      </c>
      <c r="D218" s="10" t="s">
        <v>32</v>
      </c>
      <c r="E218" s="10" t="s">
        <v>76</v>
      </c>
      <c r="F218" s="32" t="s">
        <v>219</v>
      </c>
      <c r="G218" s="33" t="s">
        <v>40</v>
      </c>
      <c r="H218" s="572" t="s">
        <v>32</v>
      </c>
      <c r="I218" s="573" t="s">
        <v>43</v>
      </c>
      <c r="J218" s="10"/>
      <c r="K218" s="26">
        <f>SUM(K219:K221)</f>
        <v>28483</v>
      </c>
      <c r="L218" s="26">
        <f>SUM(L219:L221)</f>
        <v>0</v>
      </c>
      <c r="M218" s="26">
        <v>28483</v>
      </c>
    </row>
    <row r="219" spans="1:13" s="117" customFormat="1" ht="112.5" customHeight="1" x14ac:dyDescent="0.35">
      <c r="A219" s="11"/>
      <c r="B219" s="24" t="s">
        <v>44</v>
      </c>
      <c r="C219" s="25" t="s">
        <v>291</v>
      </c>
      <c r="D219" s="10" t="s">
        <v>32</v>
      </c>
      <c r="E219" s="10" t="s">
        <v>76</v>
      </c>
      <c r="F219" s="32" t="s">
        <v>219</v>
      </c>
      <c r="G219" s="33" t="s">
        <v>40</v>
      </c>
      <c r="H219" s="572" t="s">
        <v>32</v>
      </c>
      <c r="I219" s="573" t="s">
        <v>43</v>
      </c>
      <c r="J219" s="10" t="s">
        <v>45</v>
      </c>
      <c r="K219" s="26">
        <f>23639.5+4127.8</f>
        <v>27767.3</v>
      </c>
      <c r="L219" s="26">
        <f>M219-K219</f>
        <v>0</v>
      </c>
      <c r="M219" s="26">
        <v>27767.3</v>
      </c>
    </row>
    <row r="220" spans="1:13" s="117" customFormat="1" ht="56.25" customHeight="1" x14ac:dyDescent="0.35">
      <c r="A220" s="11"/>
      <c r="B220" s="24" t="s">
        <v>50</v>
      </c>
      <c r="C220" s="25" t="s">
        <v>291</v>
      </c>
      <c r="D220" s="10" t="s">
        <v>32</v>
      </c>
      <c r="E220" s="10" t="s">
        <v>76</v>
      </c>
      <c r="F220" s="32" t="s">
        <v>219</v>
      </c>
      <c r="G220" s="33" t="s">
        <v>40</v>
      </c>
      <c r="H220" s="572" t="s">
        <v>32</v>
      </c>
      <c r="I220" s="573" t="s">
        <v>43</v>
      </c>
      <c r="J220" s="10" t="s">
        <v>51</v>
      </c>
      <c r="K220" s="26">
        <f>809.7-98.8</f>
        <v>710.90000000000009</v>
      </c>
      <c r="L220" s="26">
        <f>M220-K220</f>
        <v>0</v>
      </c>
      <c r="M220" s="26">
        <v>710.90000000000009</v>
      </c>
    </row>
    <row r="221" spans="1:13" s="122" customFormat="1" ht="18.75" customHeight="1" x14ac:dyDescent="0.35">
      <c r="A221" s="11"/>
      <c r="B221" s="24" t="s">
        <v>52</v>
      </c>
      <c r="C221" s="25" t="s">
        <v>291</v>
      </c>
      <c r="D221" s="10" t="s">
        <v>32</v>
      </c>
      <c r="E221" s="10" t="s">
        <v>76</v>
      </c>
      <c r="F221" s="32" t="s">
        <v>219</v>
      </c>
      <c r="G221" s="33" t="s">
        <v>40</v>
      </c>
      <c r="H221" s="572" t="s">
        <v>32</v>
      </c>
      <c r="I221" s="573" t="s">
        <v>43</v>
      </c>
      <c r="J221" s="10" t="s">
        <v>53</v>
      </c>
      <c r="K221" s="26">
        <v>4.8</v>
      </c>
      <c r="L221" s="26">
        <f>M221-K221</f>
        <v>0</v>
      </c>
      <c r="M221" s="26">
        <v>4.8</v>
      </c>
    </row>
    <row r="222" spans="1:13" s="122" customFormat="1" ht="58.5" customHeight="1" x14ac:dyDescent="0.35">
      <c r="A222" s="11"/>
      <c r="B222" s="24" t="s">
        <v>311</v>
      </c>
      <c r="C222" s="25" t="s">
        <v>291</v>
      </c>
      <c r="D222" s="10" t="s">
        <v>32</v>
      </c>
      <c r="E222" s="10" t="s">
        <v>76</v>
      </c>
      <c r="F222" s="32" t="s">
        <v>219</v>
      </c>
      <c r="G222" s="33" t="s">
        <v>40</v>
      </c>
      <c r="H222" s="572" t="s">
        <v>47</v>
      </c>
      <c r="I222" s="573" t="s">
        <v>39</v>
      </c>
      <c r="J222" s="10"/>
      <c r="K222" s="26">
        <f t="shared" ref="K222:M223" si="35">K223</f>
        <v>735.5</v>
      </c>
      <c r="L222" s="26">
        <f t="shared" si="35"/>
        <v>0</v>
      </c>
      <c r="M222" s="26">
        <v>735.5</v>
      </c>
    </row>
    <row r="223" spans="1:13" s="7" customFormat="1" ht="37.5" customHeight="1" x14ac:dyDescent="0.35">
      <c r="A223" s="11"/>
      <c r="B223" s="24" t="s">
        <v>362</v>
      </c>
      <c r="C223" s="25" t="s">
        <v>291</v>
      </c>
      <c r="D223" s="10" t="s">
        <v>32</v>
      </c>
      <c r="E223" s="10" t="s">
        <v>76</v>
      </c>
      <c r="F223" s="32" t="s">
        <v>219</v>
      </c>
      <c r="G223" s="33" t="s">
        <v>40</v>
      </c>
      <c r="H223" s="572" t="s">
        <v>47</v>
      </c>
      <c r="I223" s="573" t="s">
        <v>361</v>
      </c>
      <c r="J223" s="10"/>
      <c r="K223" s="26">
        <f t="shared" si="35"/>
        <v>735.5</v>
      </c>
      <c r="L223" s="26">
        <f t="shared" si="35"/>
        <v>0</v>
      </c>
      <c r="M223" s="26">
        <v>735.5</v>
      </c>
    </row>
    <row r="224" spans="1:13" s="7" customFormat="1" ht="113.25" customHeight="1" x14ac:dyDescent="0.35">
      <c r="A224" s="11"/>
      <c r="B224" s="24" t="s">
        <v>44</v>
      </c>
      <c r="C224" s="25" t="s">
        <v>291</v>
      </c>
      <c r="D224" s="10" t="s">
        <v>32</v>
      </c>
      <c r="E224" s="10" t="s">
        <v>76</v>
      </c>
      <c r="F224" s="32" t="s">
        <v>219</v>
      </c>
      <c r="G224" s="33" t="s">
        <v>40</v>
      </c>
      <c r="H224" s="572" t="s">
        <v>47</v>
      </c>
      <c r="I224" s="573" t="s">
        <v>361</v>
      </c>
      <c r="J224" s="10" t="s">
        <v>45</v>
      </c>
      <c r="K224" s="26">
        <v>735.5</v>
      </c>
      <c r="L224" s="26">
        <f>M224-K224</f>
        <v>0</v>
      </c>
      <c r="M224" s="26">
        <v>735.5</v>
      </c>
    </row>
    <row r="225" spans="1:13" s="117" customFormat="1" ht="18.75" customHeight="1" x14ac:dyDescent="0.35">
      <c r="A225" s="11"/>
      <c r="B225" s="24" t="s">
        <v>65</v>
      </c>
      <c r="C225" s="25" t="s">
        <v>291</v>
      </c>
      <c r="D225" s="10" t="s">
        <v>32</v>
      </c>
      <c r="E225" s="10" t="s">
        <v>66</v>
      </c>
      <c r="F225" s="32"/>
      <c r="G225" s="33"/>
      <c r="H225" s="572"/>
      <c r="I225" s="573"/>
      <c r="J225" s="10"/>
      <c r="K225" s="26">
        <f t="shared" ref="K225:M229" si="36">K226</f>
        <v>3308.1</v>
      </c>
      <c r="L225" s="26">
        <f t="shared" si="36"/>
        <v>0</v>
      </c>
      <c r="M225" s="26">
        <v>3308.1</v>
      </c>
    </row>
    <row r="226" spans="1:13" s="117" customFormat="1" ht="60.75" customHeight="1" x14ac:dyDescent="0.35">
      <c r="A226" s="11"/>
      <c r="B226" s="24" t="s">
        <v>218</v>
      </c>
      <c r="C226" s="25" t="s">
        <v>291</v>
      </c>
      <c r="D226" s="10" t="s">
        <v>32</v>
      </c>
      <c r="E226" s="10" t="s">
        <v>66</v>
      </c>
      <c r="F226" s="32" t="s">
        <v>219</v>
      </c>
      <c r="G226" s="33" t="s">
        <v>37</v>
      </c>
      <c r="H226" s="572" t="s">
        <v>38</v>
      </c>
      <c r="I226" s="573" t="s">
        <v>39</v>
      </c>
      <c r="J226" s="10"/>
      <c r="K226" s="26">
        <f t="shared" si="36"/>
        <v>3308.1</v>
      </c>
      <c r="L226" s="26">
        <f t="shared" si="36"/>
        <v>0</v>
      </c>
      <c r="M226" s="26">
        <v>3308.1</v>
      </c>
    </row>
    <row r="227" spans="1:13" s="7" customFormat="1" ht="37.5" customHeight="1" x14ac:dyDescent="0.35">
      <c r="A227" s="11"/>
      <c r="B227" s="24" t="s">
        <v>328</v>
      </c>
      <c r="C227" s="25" t="s">
        <v>291</v>
      </c>
      <c r="D227" s="10" t="s">
        <v>32</v>
      </c>
      <c r="E227" s="10" t="s">
        <v>66</v>
      </c>
      <c r="F227" s="32" t="s">
        <v>219</v>
      </c>
      <c r="G227" s="33" t="s">
        <v>40</v>
      </c>
      <c r="H227" s="572" t="s">
        <v>38</v>
      </c>
      <c r="I227" s="573" t="s">
        <v>39</v>
      </c>
      <c r="J227" s="10"/>
      <c r="K227" s="26">
        <f>K228+K231</f>
        <v>3308.1</v>
      </c>
      <c r="L227" s="26">
        <f>L228+L231</f>
        <v>0</v>
      </c>
      <c r="M227" s="26">
        <v>3308.1</v>
      </c>
    </row>
    <row r="228" spans="1:13" s="117" customFormat="1" ht="37.5" customHeight="1" x14ac:dyDescent="0.35">
      <c r="A228" s="11"/>
      <c r="B228" s="24" t="s">
        <v>340</v>
      </c>
      <c r="C228" s="25" t="s">
        <v>291</v>
      </c>
      <c r="D228" s="10" t="s">
        <v>32</v>
      </c>
      <c r="E228" s="10" t="s">
        <v>66</v>
      </c>
      <c r="F228" s="32" t="s">
        <v>219</v>
      </c>
      <c r="G228" s="33" t="s">
        <v>40</v>
      </c>
      <c r="H228" s="572" t="s">
        <v>58</v>
      </c>
      <c r="I228" s="573" t="s">
        <v>39</v>
      </c>
      <c r="J228" s="10"/>
      <c r="K228" s="26">
        <f>K229</f>
        <v>3290.9</v>
      </c>
      <c r="L228" s="26">
        <f>L229</f>
        <v>0</v>
      </c>
      <c r="M228" s="26">
        <v>3290.9</v>
      </c>
    </row>
    <row r="229" spans="1:13" s="122" customFormat="1" ht="60" customHeight="1" x14ac:dyDescent="0.35">
      <c r="A229" s="11"/>
      <c r="B229" s="24" t="s">
        <v>341</v>
      </c>
      <c r="C229" s="25" t="s">
        <v>291</v>
      </c>
      <c r="D229" s="10" t="s">
        <v>32</v>
      </c>
      <c r="E229" s="10" t="s">
        <v>66</v>
      </c>
      <c r="F229" s="32" t="s">
        <v>219</v>
      </c>
      <c r="G229" s="33" t="s">
        <v>40</v>
      </c>
      <c r="H229" s="572" t="s">
        <v>58</v>
      </c>
      <c r="I229" s="573" t="s">
        <v>100</v>
      </c>
      <c r="J229" s="10"/>
      <c r="K229" s="26">
        <f t="shared" si="36"/>
        <v>3290.9</v>
      </c>
      <c r="L229" s="26">
        <f t="shared" si="36"/>
        <v>0</v>
      </c>
      <c r="M229" s="26">
        <v>3290.9</v>
      </c>
    </row>
    <row r="230" spans="1:13" s="122" customFormat="1" ht="56.25" customHeight="1" x14ac:dyDescent="0.35">
      <c r="A230" s="11"/>
      <c r="B230" s="24" t="s">
        <v>50</v>
      </c>
      <c r="C230" s="25" t="s">
        <v>291</v>
      </c>
      <c r="D230" s="10" t="s">
        <v>32</v>
      </c>
      <c r="E230" s="10" t="s">
        <v>66</v>
      </c>
      <c r="F230" s="32" t="s">
        <v>219</v>
      </c>
      <c r="G230" s="33" t="s">
        <v>40</v>
      </c>
      <c r="H230" s="572" t="s">
        <v>58</v>
      </c>
      <c r="I230" s="573" t="s">
        <v>100</v>
      </c>
      <c r="J230" s="10" t="s">
        <v>51</v>
      </c>
      <c r="K230" s="26">
        <v>3290.9</v>
      </c>
      <c r="L230" s="26">
        <f>M230-K230</f>
        <v>0</v>
      </c>
      <c r="M230" s="26">
        <v>3290.9</v>
      </c>
    </row>
    <row r="231" spans="1:13" s="122" customFormat="1" ht="33.75" customHeight="1" x14ac:dyDescent="0.35">
      <c r="A231" s="11"/>
      <c r="B231" s="24" t="s">
        <v>441</v>
      </c>
      <c r="C231" s="25" t="s">
        <v>291</v>
      </c>
      <c r="D231" s="10" t="s">
        <v>32</v>
      </c>
      <c r="E231" s="10" t="s">
        <v>66</v>
      </c>
      <c r="F231" s="32" t="s">
        <v>219</v>
      </c>
      <c r="G231" s="33" t="s">
        <v>40</v>
      </c>
      <c r="H231" s="572" t="s">
        <v>60</v>
      </c>
      <c r="I231" s="573" t="s">
        <v>39</v>
      </c>
      <c r="J231" s="10"/>
      <c r="K231" s="26">
        <f t="shared" ref="K231:M232" si="37">K232</f>
        <v>17.2</v>
      </c>
      <c r="L231" s="26">
        <f t="shared" si="37"/>
        <v>0</v>
      </c>
      <c r="M231" s="26">
        <v>17.2</v>
      </c>
    </row>
    <row r="232" spans="1:13" s="122" customFormat="1" ht="23.4" customHeight="1" x14ac:dyDescent="0.35">
      <c r="A232" s="11"/>
      <c r="B232" s="24" t="s">
        <v>439</v>
      </c>
      <c r="C232" s="25" t="s">
        <v>291</v>
      </c>
      <c r="D232" s="10" t="s">
        <v>32</v>
      </c>
      <c r="E232" s="10" t="s">
        <v>66</v>
      </c>
      <c r="F232" s="32" t="s">
        <v>219</v>
      </c>
      <c r="G232" s="33" t="s">
        <v>40</v>
      </c>
      <c r="H232" s="572" t="s">
        <v>60</v>
      </c>
      <c r="I232" s="573" t="s">
        <v>440</v>
      </c>
      <c r="J232" s="10"/>
      <c r="K232" s="26">
        <f t="shared" si="37"/>
        <v>17.2</v>
      </c>
      <c r="L232" s="26">
        <f t="shared" si="37"/>
        <v>0</v>
      </c>
      <c r="M232" s="26">
        <v>17.2</v>
      </c>
    </row>
    <row r="233" spans="1:13" s="122" customFormat="1" ht="56.25" customHeight="1" x14ac:dyDescent="0.35">
      <c r="A233" s="11"/>
      <c r="B233" s="24" t="s">
        <v>50</v>
      </c>
      <c r="C233" s="25" t="s">
        <v>291</v>
      </c>
      <c r="D233" s="10" t="s">
        <v>32</v>
      </c>
      <c r="E233" s="10" t="s">
        <v>66</v>
      </c>
      <c r="F233" s="32" t="s">
        <v>219</v>
      </c>
      <c r="G233" s="33" t="s">
        <v>40</v>
      </c>
      <c r="H233" s="572" t="s">
        <v>60</v>
      </c>
      <c r="I233" s="573" t="s">
        <v>440</v>
      </c>
      <c r="J233" s="10" t="s">
        <v>51</v>
      </c>
      <c r="K233" s="26">
        <v>17.2</v>
      </c>
      <c r="L233" s="26">
        <f>M233-K233</f>
        <v>0</v>
      </c>
      <c r="M233" s="26">
        <v>17.2</v>
      </c>
    </row>
    <row r="234" spans="1:13" s="122" customFormat="1" ht="18" x14ac:dyDescent="0.35">
      <c r="A234" s="11"/>
      <c r="B234" s="24" t="s">
        <v>174</v>
      </c>
      <c r="C234" s="25" t="s">
        <v>291</v>
      </c>
      <c r="D234" s="10" t="s">
        <v>219</v>
      </c>
      <c r="E234" s="10"/>
      <c r="F234" s="32"/>
      <c r="G234" s="33"/>
      <c r="H234" s="572"/>
      <c r="I234" s="573"/>
      <c r="J234" s="10"/>
      <c r="K234" s="26">
        <f t="shared" ref="K234:M239" si="38">K235</f>
        <v>98.8</v>
      </c>
      <c r="L234" s="26">
        <f t="shared" si="38"/>
        <v>0</v>
      </c>
      <c r="M234" s="26">
        <v>98.8</v>
      </c>
    </row>
    <row r="235" spans="1:13" s="122" customFormat="1" ht="36" x14ac:dyDescent="0.35">
      <c r="A235" s="11"/>
      <c r="B235" s="24" t="s">
        <v>523</v>
      </c>
      <c r="C235" s="25" t="s">
        <v>291</v>
      </c>
      <c r="D235" s="10" t="s">
        <v>219</v>
      </c>
      <c r="E235" s="10" t="s">
        <v>60</v>
      </c>
      <c r="F235" s="32"/>
      <c r="G235" s="33"/>
      <c r="H235" s="572"/>
      <c r="I235" s="573"/>
      <c r="J235" s="10"/>
      <c r="K235" s="26">
        <f t="shared" si="38"/>
        <v>98.8</v>
      </c>
      <c r="L235" s="26">
        <f t="shared" si="38"/>
        <v>0</v>
      </c>
      <c r="M235" s="26">
        <v>98.8</v>
      </c>
    </row>
    <row r="236" spans="1:13" s="122" customFormat="1" ht="56.25" customHeight="1" x14ac:dyDescent="0.35">
      <c r="A236" s="11"/>
      <c r="B236" s="24" t="s">
        <v>218</v>
      </c>
      <c r="C236" s="25" t="s">
        <v>291</v>
      </c>
      <c r="D236" s="10" t="s">
        <v>219</v>
      </c>
      <c r="E236" s="10" t="s">
        <v>60</v>
      </c>
      <c r="F236" s="32" t="s">
        <v>219</v>
      </c>
      <c r="G236" s="33" t="s">
        <v>37</v>
      </c>
      <c r="H236" s="572" t="s">
        <v>38</v>
      </c>
      <c r="I236" s="573" t="s">
        <v>39</v>
      </c>
      <c r="J236" s="10"/>
      <c r="K236" s="26">
        <f t="shared" si="38"/>
        <v>98.8</v>
      </c>
      <c r="L236" s="26">
        <f t="shared" si="38"/>
        <v>0</v>
      </c>
      <c r="M236" s="26">
        <v>98.8</v>
      </c>
    </row>
    <row r="237" spans="1:13" s="122" customFormat="1" ht="36" x14ac:dyDescent="0.35">
      <c r="A237" s="11"/>
      <c r="B237" s="24" t="s">
        <v>328</v>
      </c>
      <c r="C237" s="25" t="s">
        <v>291</v>
      </c>
      <c r="D237" s="10" t="s">
        <v>219</v>
      </c>
      <c r="E237" s="10" t="s">
        <v>60</v>
      </c>
      <c r="F237" s="32" t="s">
        <v>219</v>
      </c>
      <c r="G237" s="33" t="s">
        <v>40</v>
      </c>
      <c r="H237" s="572" t="s">
        <v>38</v>
      </c>
      <c r="I237" s="573" t="s">
        <v>39</v>
      </c>
      <c r="J237" s="10"/>
      <c r="K237" s="26">
        <f t="shared" si="38"/>
        <v>98.8</v>
      </c>
      <c r="L237" s="26">
        <f t="shared" si="38"/>
        <v>0</v>
      </c>
      <c r="M237" s="26">
        <v>98.8</v>
      </c>
    </row>
    <row r="238" spans="1:13" s="122" customFormat="1" ht="56.25" customHeight="1" x14ac:dyDescent="0.35">
      <c r="A238" s="11"/>
      <c r="B238" s="24" t="s">
        <v>292</v>
      </c>
      <c r="C238" s="25" t="s">
        <v>291</v>
      </c>
      <c r="D238" s="10" t="s">
        <v>219</v>
      </c>
      <c r="E238" s="10" t="s">
        <v>60</v>
      </c>
      <c r="F238" s="32" t="s">
        <v>219</v>
      </c>
      <c r="G238" s="33" t="s">
        <v>40</v>
      </c>
      <c r="H238" s="572" t="s">
        <v>32</v>
      </c>
      <c r="I238" s="573" t="s">
        <v>39</v>
      </c>
      <c r="J238" s="10"/>
      <c r="K238" s="26">
        <f t="shared" si="38"/>
        <v>98.8</v>
      </c>
      <c r="L238" s="26">
        <f t="shared" si="38"/>
        <v>0</v>
      </c>
      <c r="M238" s="26">
        <v>98.8</v>
      </c>
    </row>
    <row r="239" spans="1:13" s="122" customFormat="1" ht="36" x14ac:dyDescent="0.35">
      <c r="A239" s="11"/>
      <c r="B239" s="24" t="s">
        <v>525</v>
      </c>
      <c r="C239" s="25" t="s">
        <v>291</v>
      </c>
      <c r="D239" s="10" t="s">
        <v>219</v>
      </c>
      <c r="E239" s="10" t="s">
        <v>60</v>
      </c>
      <c r="F239" s="32" t="s">
        <v>219</v>
      </c>
      <c r="G239" s="33" t="s">
        <v>40</v>
      </c>
      <c r="H239" s="572" t="s">
        <v>32</v>
      </c>
      <c r="I239" s="573" t="s">
        <v>524</v>
      </c>
      <c r="J239" s="10"/>
      <c r="K239" s="26">
        <f t="shared" si="38"/>
        <v>98.8</v>
      </c>
      <c r="L239" s="26">
        <f t="shared" si="38"/>
        <v>0</v>
      </c>
      <c r="M239" s="26">
        <v>98.8</v>
      </c>
    </row>
    <row r="240" spans="1:13" s="122" customFormat="1" ht="56.25" customHeight="1" x14ac:dyDescent="0.35">
      <c r="A240" s="11"/>
      <c r="B240" s="24" t="s">
        <v>50</v>
      </c>
      <c r="C240" s="25" t="s">
        <v>291</v>
      </c>
      <c r="D240" s="10" t="s">
        <v>219</v>
      </c>
      <c r="E240" s="10" t="s">
        <v>60</v>
      </c>
      <c r="F240" s="32" t="s">
        <v>219</v>
      </c>
      <c r="G240" s="33" t="s">
        <v>40</v>
      </c>
      <c r="H240" s="572" t="s">
        <v>32</v>
      </c>
      <c r="I240" s="573" t="s">
        <v>524</v>
      </c>
      <c r="J240" s="10" t="s">
        <v>51</v>
      </c>
      <c r="K240" s="26">
        <v>98.8</v>
      </c>
      <c r="L240" s="26">
        <f>M240-K240</f>
        <v>0</v>
      </c>
      <c r="M240" s="26">
        <v>98.8</v>
      </c>
    </row>
    <row r="241" spans="1:13" s="122" customFormat="1" ht="56.25" customHeight="1" x14ac:dyDescent="0.35">
      <c r="A241" s="11"/>
      <c r="B241" s="24" t="s">
        <v>195</v>
      </c>
      <c r="C241" s="25" t="s">
        <v>291</v>
      </c>
      <c r="D241" s="10" t="s">
        <v>83</v>
      </c>
      <c r="E241" s="10"/>
      <c r="F241" s="32"/>
      <c r="G241" s="33"/>
      <c r="H241" s="572"/>
      <c r="I241" s="573"/>
      <c r="J241" s="10"/>
      <c r="K241" s="26">
        <f>K242</f>
        <v>7000</v>
      </c>
      <c r="L241" s="26">
        <f>L242</f>
        <v>0</v>
      </c>
      <c r="M241" s="26">
        <v>7000</v>
      </c>
    </row>
    <row r="242" spans="1:13" s="122" customFormat="1" ht="56.25" customHeight="1" x14ac:dyDescent="0.35">
      <c r="A242" s="11"/>
      <c r="B242" s="30" t="s">
        <v>196</v>
      </c>
      <c r="C242" s="25" t="s">
        <v>291</v>
      </c>
      <c r="D242" s="10" t="s">
        <v>83</v>
      </c>
      <c r="E242" s="10" t="s">
        <v>32</v>
      </c>
      <c r="F242" s="32"/>
      <c r="G242" s="33"/>
      <c r="H242" s="572"/>
      <c r="I242" s="573"/>
      <c r="J242" s="10"/>
      <c r="K242" s="26">
        <f t="shared" ref="K242:M244" si="39">K243</f>
        <v>7000</v>
      </c>
      <c r="L242" s="26">
        <f t="shared" si="39"/>
        <v>0</v>
      </c>
      <c r="M242" s="26">
        <v>7000</v>
      </c>
    </row>
    <row r="243" spans="1:13" s="122" customFormat="1" ht="55.2" customHeight="1" x14ac:dyDescent="0.35">
      <c r="A243" s="11"/>
      <c r="B243" s="24" t="s">
        <v>218</v>
      </c>
      <c r="C243" s="25" t="s">
        <v>291</v>
      </c>
      <c r="D243" s="10" t="s">
        <v>83</v>
      </c>
      <c r="E243" s="10" t="s">
        <v>32</v>
      </c>
      <c r="F243" s="32" t="s">
        <v>219</v>
      </c>
      <c r="G243" s="33" t="s">
        <v>37</v>
      </c>
      <c r="H243" s="572" t="s">
        <v>38</v>
      </c>
      <c r="I243" s="573" t="s">
        <v>39</v>
      </c>
      <c r="J243" s="10"/>
      <c r="K243" s="26">
        <f t="shared" si="39"/>
        <v>7000</v>
      </c>
      <c r="L243" s="26">
        <f t="shared" si="39"/>
        <v>0</v>
      </c>
      <c r="M243" s="26">
        <v>7000</v>
      </c>
    </row>
    <row r="244" spans="1:13" s="122" customFormat="1" ht="37.5" customHeight="1" x14ac:dyDescent="0.35">
      <c r="A244" s="11"/>
      <c r="B244" s="24" t="s">
        <v>328</v>
      </c>
      <c r="C244" s="25" t="s">
        <v>291</v>
      </c>
      <c r="D244" s="10" t="s">
        <v>83</v>
      </c>
      <c r="E244" s="10" t="s">
        <v>32</v>
      </c>
      <c r="F244" s="32" t="s">
        <v>219</v>
      </c>
      <c r="G244" s="33" t="s">
        <v>40</v>
      </c>
      <c r="H244" s="572" t="s">
        <v>38</v>
      </c>
      <c r="I244" s="573" t="s">
        <v>39</v>
      </c>
      <c r="J244" s="10"/>
      <c r="K244" s="26">
        <f t="shared" si="39"/>
        <v>7000</v>
      </c>
      <c r="L244" s="26">
        <f t="shared" si="39"/>
        <v>0</v>
      </c>
      <c r="M244" s="26">
        <v>7000</v>
      </c>
    </row>
    <row r="245" spans="1:13" s="122" customFormat="1" ht="37.5" customHeight="1" x14ac:dyDescent="0.35">
      <c r="A245" s="11"/>
      <c r="B245" s="24" t="s">
        <v>293</v>
      </c>
      <c r="C245" s="25" t="s">
        <v>291</v>
      </c>
      <c r="D245" s="10" t="s">
        <v>83</v>
      </c>
      <c r="E245" s="10" t="s">
        <v>32</v>
      </c>
      <c r="F245" s="32" t="s">
        <v>219</v>
      </c>
      <c r="G245" s="33" t="s">
        <v>40</v>
      </c>
      <c r="H245" s="572" t="s">
        <v>34</v>
      </c>
      <c r="I245" s="573" t="s">
        <v>39</v>
      </c>
      <c r="J245" s="10"/>
      <c r="K245" s="26">
        <f>K246</f>
        <v>7000</v>
      </c>
      <c r="L245" s="26">
        <f>L246</f>
        <v>0</v>
      </c>
      <c r="M245" s="26">
        <v>7000</v>
      </c>
    </row>
    <row r="246" spans="1:13" s="122" customFormat="1" ht="37.5" customHeight="1" x14ac:dyDescent="0.35">
      <c r="A246" s="11"/>
      <c r="B246" s="24" t="s">
        <v>252</v>
      </c>
      <c r="C246" s="25" t="s">
        <v>291</v>
      </c>
      <c r="D246" s="10" t="s">
        <v>83</v>
      </c>
      <c r="E246" s="10" t="s">
        <v>32</v>
      </c>
      <c r="F246" s="32" t="s">
        <v>219</v>
      </c>
      <c r="G246" s="33" t="s">
        <v>40</v>
      </c>
      <c r="H246" s="572" t="s">
        <v>34</v>
      </c>
      <c r="I246" s="573" t="s">
        <v>394</v>
      </c>
      <c r="J246" s="10"/>
      <c r="K246" s="26">
        <f t="shared" ref="K246:M246" si="40">K247</f>
        <v>7000</v>
      </c>
      <c r="L246" s="26">
        <f t="shared" si="40"/>
        <v>0</v>
      </c>
      <c r="M246" s="26">
        <v>7000</v>
      </c>
    </row>
    <row r="247" spans="1:13" s="122" customFormat="1" ht="18.75" customHeight="1" x14ac:dyDescent="0.35">
      <c r="A247" s="11"/>
      <c r="B247" s="24" t="s">
        <v>118</v>
      </c>
      <c r="C247" s="25" t="s">
        <v>291</v>
      </c>
      <c r="D247" s="10" t="s">
        <v>83</v>
      </c>
      <c r="E247" s="10" t="s">
        <v>32</v>
      </c>
      <c r="F247" s="32" t="s">
        <v>219</v>
      </c>
      <c r="G247" s="33" t="s">
        <v>40</v>
      </c>
      <c r="H247" s="572" t="s">
        <v>34</v>
      </c>
      <c r="I247" s="573" t="s">
        <v>394</v>
      </c>
      <c r="J247" s="10" t="s">
        <v>119</v>
      </c>
      <c r="K247" s="26">
        <v>7000</v>
      </c>
      <c r="L247" s="26">
        <f>M247-K247</f>
        <v>0</v>
      </c>
      <c r="M247" s="26">
        <v>7000</v>
      </c>
    </row>
    <row r="248" spans="1:13" s="122" customFormat="1" ht="18.75" customHeight="1" x14ac:dyDescent="0.35">
      <c r="A248" s="11"/>
      <c r="B248" s="24"/>
      <c r="C248" s="25"/>
      <c r="D248" s="10"/>
      <c r="E248" s="10"/>
      <c r="F248" s="32"/>
      <c r="G248" s="33"/>
      <c r="H248" s="572"/>
      <c r="I248" s="573"/>
      <c r="J248" s="10"/>
      <c r="K248" s="26"/>
      <c r="L248" s="26"/>
      <c r="M248" s="26"/>
    </row>
    <row r="249" spans="1:13" s="123" customFormat="1" ht="56.25" customHeight="1" x14ac:dyDescent="0.3">
      <c r="A249" s="116">
        <v>3</v>
      </c>
      <c r="B249" s="18" t="s">
        <v>30</v>
      </c>
      <c r="C249" s="19" t="s">
        <v>123</v>
      </c>
      <c r="D249" s="20"/>
      <c r="E249" s="20"/>
      <c r="F249" s="21"/>
      <c r="G249" s="22"/>
      <c r="H249" s="22"/>
      <c r="I249" s="23"/>
      <c r="J249" s="20"/>
      <c r="K249" s="40">
        <f t="shared" ref="K249:M252" si="41">K250</f>
        <v>6007</v>
      </c>
      <c r="L249" s="40">
        <f t="shared" si="41"/>
        <v>0</v>
      </c>
      <c r="M249" s="40">
        <v>6007</v>
      </c>
    </row>
    <row r="250" spans="1:13" s="123" customFormat="1" ht="18.75" customHeight="1" x14ac:dyDescent="0.35">
      <c r="A250" s="11"/>
      <c r="B250" s="24" t="s">
        <v>31</v>
      </c>
      <c r="C250" s="25" t="s">
        <v>123</v>
      </c>
      <c r="D250" s="10" t="s">
        <v>32</v>
      </c>
      <c r="E250" s="10"/>
      <c r="F250" s="571"/>
      <c r="G250" s="572"/>
      <c r="H250" s="572"/>
      <c r="I250" s="573"/>
      <c r="J250" s="10"/>
      <c r="K250" s="26">
        <f t="shared" si="41"/>
        <v>6007</v>
      </c>
      <c r="L250" s="26">
        <f t="shared" si="41"/>
        <v>0</v>
      </c>
      <c r="M250" s="26">
        <v>6007</v>
      </c>
    </row>
    <row r="251" spans="1:13" s="123" customFormat="1" ht="75" customHeight="1" x14ac:dyDescent="0.35">
      <c r="A251" s="11"/>
      <c r="B251" s="24" t="s">
        <v>124</v>
      </c>
      <c r="C251" s="25" t="s">
        <v>123</v>
      </c>
      <c r="D251" s="10" t="s">
        <v>32</v>
      </c>
      <c r="E251" s="10" t="s">
        <v>76</v>
      </c>
      <c r="F251" s="571"/>
      <c r="G251" s="572"/>
      <c r="H251" s="572"/>
      <c r="I251" s="573"/>
      <c r="J251" s="10"/>
      <c r="K251" s="26">
        <f t="shared" si="41"/>
        <v>6007</v>
      </c>
      <c r="L251" s="26">
        <f t="shared" si="41"/>
        <v>0</v>
      </c>
      <c r="M251" s="26">
        <v>6007</v>
      </c>
    </row>
    <row r="252" spans="1:13" s="123" customFormat="1" ht="39" customHeight="1" x14ac:dyDescent="0.35">
      <c r="A252" s="11"/>
      <c r="B252" s="27" t="s">
        <v>125</v>
      </c>
      <c r="C252" s="25" t="s">
        <v>123</v>
      </c>
      <c r="D252" s="10" t="s">
        <v>32</v>
      </c>
      <c r="E252" s="10" t="s">
        <v>76</v>
      </c>
      <c r="F252" s="571" t="s">
        <v>126</v>
      </c>
      <c r="G252" s="572" t="s">
        <v>37</v>
      </c>
      <c r="H252" s="572" t="s">
        <v>38</v>
      </c>
      <c r="I252" s="573" t="s">
        <v>39</v>
      </c>
      <c r="J252" s="10"/>
      <c r="K252" s="26">
        <f t="shared" si="41"/>
        <v>6007</v>
      </c>
      <c r="L252" s="26">
        <f t="shared" si="41"/>
        <v>0</v>
      </c>
      <c r="M252" s="26">
        <v>6007</v>
      </c>
    </row>
    <row r="253" spans="1:13" s="123" customFormat="1" ht="41.25" customHeight="1" x14ac:dyDescent="0.35">
      <c r="A253" s="11"/>
      <c r="B253" s="27" t="s">
        <v>127</v>
      </c>
      <c r="C253" s="25" t="s">
        <v>123</v>
      </c>
      <c r="D253" s="10" t="s">
        <v>32</v>
      </c>
      <c r="E253" s="10" t="s">
        <v>76</v>
      </c>
      <c r="F253" s="571" t="s">
        <v>126</v>
      </c>
      <c r="G253" s="572" t="s">
        <v>40</v>
      </c>
      <c r="H253" s="572" t="s">
        <v>38</v>
      </c>
      <c r="I253" s="573" t="s">
        <v>39</v>
      </c>
      <c r="J253" s="10"/>
      <c r="K253" s="26">
        <f>K254+K258</f>
        <v>6007</v>
      </c>
      <c r="L253" s="26">
        <f>L254+L258</f>
        <v>0</v>
      </c>
      <c r="M253" s="26">
        <v>6007</v>
      </c>
    </row>
    <row r="254" spans="1:13" s="123" customFormat="1" ht="37.5" customHeight="1" x14ac:dyDescent="0.35">
      <c r="A254" s="11"/>
      <c r="B254" s="24" t="s">
        <v>42</v>
      </c>
      <c r="C254" s="25" t="s">
        <v>123</v>
      </c>
      <c r="D254" s="10" t="s">
        <v>32</v>
      </c>
      <c r="E254" s="10" t="s">
        <v>76</v>
      </c>
      <c r="F254" s="571" t="s">
        <v>126</v>
      </c>
      <c r="G254" s="572" t="s">
        <v>40</v>
      </c>
      <c r="H254" s="572" t="s">
        <v>38</v>
      </c>
      <c r="I254" s="573" t="s">
        <v>43</v>
      </c>
      <c r="J254" s="10"/>
      <c r="K254" s="26">
        <f>K255+K256+K257</f>
        <v>4928.1000000000004</v>
      </c>
      <c r="L254" s="26">
        <f>L255+L256+L257</f>
        <v>0</v>
      </c>
      <c r="M254" s="26">
        <v>4928.1000000000004</v>
      </c>
    </row>
    <row r="255" spans="1:13" s="123" customFormat="1" ht="112.5" customHeight="1" x14ac:dyDescent="0.35">
      <c r="A255" s="11"/>
      <c r="B255" s="27" t="s">
        <v>44</v>
      </c>
      <c r="C255" s="25" t="s">
        <v>123</v>
      </c>
      <c r="D255" s="10" t="s">
        <v>32</v>
      </c>
      <c r="E255" s="10" t="s">
        <v>76</v>
      </c>
      <c r="F255" s="571" t="s">
        <v>126</v>
      </c>
      <c r="G255" s="572" t="s">
        <v>40</v>
      </c>
      <c r="H255" s="572" t="s">
        <v>38</v>
      </c>
      <c r="I255" s="573" t="s">
        <v>43</v>
      </c>
      <c r="J255" s="10" t="s">
        <v>45</v>
      </c>
      <c r="K255" s="26">
        <f>3104.9+1566.4</f>
        <v>4671.3</v>
      </c>
      <c r="L255" s="26">
        <f>M255-K255</f>
        <v>0</v>
      </c>
      <c r="M255" s="26">
        <v>4671.3</v>
      </c>
    </row>
    <row r="256" spans="1:13" s="123" customFormat="1" ht="56.25" customHeight="1" x14ac:dyDescent="0.35">
      <c r="A256" s="11"/>
      <c r="B256" s="24" t="s">
        <v>50</v>
      </c>
      <c r="C256" s="25" t="s">
        <v>123</v>
      </c>
      <c r="D256" s="10" t="s">
        <v>32</v>
      </c>
      <c r="E256" s="10" t="s">
        <v>76</v>
      </c>
      <c r="F256" s="571" t="s">
        <v>126</v>
      </c>
      <c r="G256" s="572" t="s">
        <v>40</v>
      </c>
      <c r="H256" s="572" t="s">
        <v>38</v>
      </c>
      <c r="I256" s="573" t="s">
        <v>43</v>
      </c>
      <c r="J256" s="10" t="s">
        <v>51</v>
      </c>
      <c r="K256" s="26">
        <v>246.8</v>
      </c>
      <c r="L256" s="26">
        <f>M256-K256</f>
        <v>0</v>
      </c>
      <c r="M256" s="26">
        <v>246.8</v>
      </c>
    </row>
    <row r="257" spans="1:13" s="123" customFormat="1" ht="18.75" customHeight="1" x14ac:dyDescent="0.35">
      <c r="A257" s="11"/>
      <c r="B257" s="24" t="s">
        <v>52</v>
      </c>
      <c r="C257" s="25" t="s">
        <v>123</v>
      </c>
      <c r="D257" s="10" t="s">
        <v>32</v>
      </c>
      <c r="E257" s="10" t="s">
        <v>76</v>
      </c>
      <c r="F257" s="571" t="s">
        <v>126</v>
      </c>
      <c r="G257" s="572" t="s">
        <v>40</v>
      </c>
      <c r="H257" s="572" t="s">
        <v>38</v>
      </c>
      <c r="I257" s="573" t="s">
        <v>43</v>
      </c>
      <c r="J257" s="10" t="s">
        <v>53</v>
      </c>
      <c r="K257" s="26">
        <v>10</v>
      </c>
      <c r="L257" s="26">
        <f>M257-K257</f>
        <v>0</v>
      </c>
      <c r="M257" s="26">
        <v>10</v>
      </c>
    </row>
    <row r="258" spans="1:13" s="123" customFormat="1" ht="37.5" customHeight="1" x14ac:dyDescent="0.35">
      <c r="A258" s="11"/>
      <c r="B258" s="24" t="s">
        <v>231</v>
      </c>
      <c r="C258" s="25" t="s">
        <v>123</v>
      </c>
      <c r="D258" s="10" t="s">
        <v>32</v>
      </c>
      <c r="E258" s="10" t="s">
        <v>76</v>
      </c>
      <c r="F258" s="571" t="s">
        <v>126</v>
      </c>
      <c r="G258" s="572" t="s">
        <v>40</v>
      </c>
      <c r="H258" s="572" t="s">
        <v>38</v>
      </c>
      <c r="I258" s="573" t="s">
        <v>128</v>
      </c>
      <c r="J258" s="10"/>
      <c r="K258" s="26">
        <f t="shared" ref="K258:M258" si="42">K259</f>
        <v>1078.9000000000001</v>
      </c>
      <c r="L258" s="26">
        <f t="shared" si="42"/>
        <v>0</v>
      </c>
      <c r="M258" s="26">
        <v>1078.9000000000001</v>
      </c>
    </row>
    <row r="259" spans="1:13" s="123" customFormat="1" ht="112.5" customHeight="1" x14ac:dyDescent="0.35">
      <c r="A259" s="11"/>
      <c r="B259" s="24" t="s">
        <v>44</v>
      </c>
      <c r="C259" s="25" t="s">
        <v>123</v>
      </c>
      <c r="D259" s="10" t="s">
        <v>32</v>
      </c>
      <c r="E259" s="10" t="s">
        <v>76</v>
      </c>
      <c r="F259" s="571" t="s">
        <v>126</v>
      </c>
      <c r="G259" s="572" t="s">
        <v>40</v>
      </c>
      <c r="H259" s="572" t="s">
        <v>38</v>
      </c>
      <c r="I259" s="573" t="s">
        <v>128</v>
      </c>
      <c r="J259" s="10" t="s">
        <v>45</v>
      </c>
      <c r="K259" s="26">
        <v>1078.9000000000001</v>
      </c>
      <c r="L259" s="26">
        <f>M259-K259</f>
        <v>0</v>
      </c>
      <c r="M259" s="26">
        <v>1078.9000000000001</v>
      </c>
    </row>
    <row r="260" spans="1:13" s="138" customFormat="1" ht="18.75" customHeight="1" x14ac:dyDescent="0.35">
      <c r="A260" s="305"/>
      <c r="B260" s="308"/>
      <c r="C260" s="309"/>
      <c r="D260" s="310"/>
      <c r="E260" s="310"/>
      <c r="F260" s="311"/>
      <c r="G260" s="312"/>
      <c r="H260" s="312"/>
      <c r="I260" s="313"/>
      <c r="J260" s="310"/>
      <c r="K260" s="296"/>
      <c r="L260" s="296"/>
      <c r="M260" s="296"/>
    </row>
    <row r="261" spans="1:13" s="132" customFormat="1" ht="56.25" customHeight="1" x14ac:dyDescent="0.3">
      <c r="A261" s="124">
        <v>4</v>
      </c>
      <c r="B261" s="125" t="s">
        <v>5</v>
      </c>
      <c r="C261" s="126" t="s">
        <v>403</v>
      </c>
      <c r="D261" s="127"/>
      <c r="E261" s="127"/>
      <c r="F261" s="128"/>
      <c r="G261" s="129"/>
      <c r="H261" s="129"/>
      <c r="I261" s="130"/>
      <c r="J261" s="127"/>
      <c r="K261" s="131">
        <f>K262+K310+K319+K303+K340+K349</f>
        <v>232786.30000000002</v>
      </c>
      <c r="L261" s="131">
        <f>L262+L310+L319+L303+L340+L349</f>
        <v>11665.5</v>
      </c>
      <c r="M261" s="131">
        <v>244451.79999999996</v>
      </c>
    </row>
    <row r="262" spans="1:13" s="138" customFormat="1" ht="18.75" customHeight="1" x14ac:dyDescent="0.35">
      <c r="A262" s="133"/>
      <c r="B262" s="107" t="s">
        <v>31</v>
      </c>
      <c r="C262" s="134" t="s">
        <v>403</v>
      </c>
      <c r="D262" s="135" t="s">
        <v>32</v>
      </c>
      <c r="E262" s="85"/>
      <c r="F262" s="136"/>
      <c r="G262" s="83"/>
      <c r="H262" s="83"/>
      <c r="I262" s="84"/>
      <c r="J262" s="85"/>
      <c r="K262" s="137">
        <f>K263</f>
        <v>38232.699999999997</v>
      </c>
      <c r="L262" s="137">
        <f>L263</f>
        <v>10669.3</v>
      </c>
      <c r="M262" s="137">
        <v>48901.999999999993</v>
      </c>
    </row>
    <row r="263" spans="1:13" s="132" customFormat="1" ht="18.75" customHeight="1" x14ac:dyDescent="0.35">
      <c r="A263" s="133"/>
      <c r="B263" s="107" t="s">
        <v>65</v>
      </c>
      <c r="C263" s="134" t="s">
        <v>403</v>
      </c>
      <c r="D263" s="135" t="s">
        <v>32</v>
      </c>
      <c r="E263" s="135" t="s">
        <v>66</v>
      </c>
      <c r="F263" s="136"/>
      <c r="G263" s="83"/>
      <c r="H263" s="83"/>
      <c r="I263" s="84"/>
      <c r="J263" s="85"/>
      <c r="K263" s="137">
        <f>K264+K297</f>
        <v>38232.699999999997</v>
      </c>
      <c r="L263" s="137">
        <f>L264+L297</f>
        <v>10669.3</v>
      </c>
      <c r="M263" s="137">
        <v>48901.999999999993</v>
      </c>
    </row>
    <row r="264" spans="1:13" s="138" customFormat="1" ht="57" customHeight="1" x14ac:dyDescent="0.35">
      <c r="A264" s="133"/>
      <c r="B264" s="107" t="s">
        <v>220</v>
      </c>
      <c r="C264" s="134" t="s">
        <v>403</v>
      </c>
      <c r="D264" s="135" t="s">
        <v>32</v>
      </c>
      <c r="E264" s="135" t="s">
        <v>66</v>
      </c>
      <c r="F264" s="95" t="s">
        <v>221</v>
      </c>
      <c r="G264" s="83" t="s">
        <v>37</v>
      </c>
      <c r="H264" s="83" t="s">
        <v>38</v>
      </c>
      <c r="I264" s="84" t="s">
        <v>39</v>
      </c>
      <c r="J264" s="85"/>
      <c r="K264" s="137">
        <f>K265+K272+K290</f>
        <v>32267.699999999997</v>
      </c>
      <c r="L264" s="137">
        <f>L265+L272+L290</f>
        <v>10669.3</v>
      </c>
      <c r="M264" s="137">
        <v>42936.999999999993</v>
      </c>
    </row>
    <row r="265" spans="1:13" s="138" customFormat="1" ht="37.950000000000003" customHeight="1" x14ac:dyDescent="0.35">
      <c r="A265" s="133"/>
      <c r="B265" s="107" t="s">
        <v>222</v>
      </c>
      <c r="C265" s="134" t="s">
        <v>403</v>
      </c>
      <c r="D265" s="135" t="s">
        <v>32</v>
      </c>
      <c r="E265" s="135" t="s">
        <v>66</v>
      </c>
      <c r="F265" s="139" t="s">
        <v>221</v>
      </c>
      <c r="G265" s="140" t="s">
        <v>40</v>
      </c>
      <c r="H265" s="140" t="s">
        <v>38</v>
      </c>
      <c r="I265" s="141" t="s">
        <v>39</v>
      </c>
      <c r="J265" s="85"/>
      <c r="K265" s="137">
        <f>K266+K269</f>
        <v>3708.2</v>
      </c>
      <c r="L265" s="137">
        <f>L266+L269</f>
        <v>622.39999999999964</v>
      </c>
      <c r="M265" s="137">
        <v>4330.5999999999995</v>
      </c>
    </row>
    <row r="266" spans="1:13" s="138" customFormat="1" ht="90.6" customHeight="1" x14ac:dyDescent="0.35">
      <c r="A266" s="133"/>
      <c r="B266" s="107" t="s">
        <v>286</v>
      </c>
      <c r="C266" s="134" t="s">
        <v>403</v>
      </c>
      <c r="D266" s="135" t="s">
        <v>32</v>
      </c>
      <c r="E266" s="135" t="s">
        <v>66</v>
      </c>
      <c r="F266" s="82" t="s">
        <v>221</v>
      </c>
      <c r="G266" s="83" t="s">
        <v>40</v>
      </c>
      <c r="H266" s="83" t="s">
        <v>32</v>
      </c>
      <c r="I266" s="84" t="s">
        <v>39</v>
      </c>
      <c r="J266" s="85"/>
      <c r="K266" s="137">
        <f t="shared" ref="K266:M267" si="43">K267</f>
        <v>511</v>
      </c>
      <c r="L266" s="137">
        <f t="shared" si="43"/>
        <v>0</v>
      </c>
      <c r="M266" s="137">
        <v>511</v>
      </c>
    </row>
    <row r="267" spans="1:13" s="138" customFormat="1" ht="56.25" customHeight="1" x14ac:dyDescent="0.35">
      <c r="A267" s="133"/>
      <c r="B267" s="107" t="s">
        <v>223</v>
      </c>
      <c r="C267" s="134" t="s">
        <v>403</v>
      </c>
      <c r="D267" s="135" t="s">
        <v>32</v>
      </c>
      <c r="E267" s="135" t="s">
        <v>66</v>
      </c>
      <c r="F267" s="82" t="s">
        <v>221</v>
      </c>
      <c r="G267" s="83" t="s">
        <v>40</v>
      </c>
      <c r="H267" s="83" t="s">
        <v>32</v>
      </c>
      <c r="I267" s="84" t="s">
        <v>287</v>
      </c>
      <c r="J267" s="85"/>
      <c r="K267" s="137">
        <f t="shared" si="43"/>
        <v>511</v>
      </c>
      <c r="L267" s="137">
        <f t="shared" si="43"/>
        <v>0</v>
      </c>
      <c r="M267" s="137">
        <v>511</v>
      </c>
    </row>
    <row r="268" spans="1:13" s="132" customFormat="1" ht="56.25" customHeight="1" x14ac:dyDescent="0.35">
      <c r="A268" s="133"/>
      <c r="B268" s="102" t="s">
        <v>50</v>
      </c>
      <c r="C268" s="134" t="s">
        <v>403</v>
      </c>
      <c r="D268" s="135" t="s">
        <v>32</v>
      </c>
      <c r="E268" s="135" t="s">
        <v>66</v>
      </c>
      <c r="F268" s="82" t="s">
        <v>221</v>
      </c>
      <c r="G268" s="83" t="s">
        <v>40</v>
      </c>
      <c r="H268" s="83" t="s">
        <v>32</v>
      </c>
      <c r="I268" s="84" t="s">
        <v>287</v>
      </c>
      <c r="J268" s="85" t="s">
        <v>51</v>
      </c>
      <c r="K268" s="137">
        <v>511</v>
      </c>
      <c r="L268" s="26">
        <f>M268-K268</f>
        <v>0</v>
      </c>
      <c r="M268" s="137">
        <v>511</v>
      </c>
    </row>
    <row r="269" spans="1:13" s="132" customFormat="1" ht="37.5" customHeight="1" x14ac:dyDescent="0.35">
      <c r="A269" s="133"/>
      <c r="B269" s="102" t="s">
        <v>327</v>
      </c>
      <c r="C269" s="134" t="s">
        <v>403</v>
      </c>
      <c r="D269" s="135" t="s">
        <v>32</v>
      </c>
      <c r="E269" s="135" t="s">
        <v>66</v>
      </c>
      <c r="F269" s="82" t="s">
        <v>221</v>
      </c>
      <c r="G269" s="83" t="s">
        <v>40</v>
      </c>
      <c r="H269" s="83" t="s">
        <v>34</v>
      </c>
      <c r="I269" s="84" t="s">
        <v>39</v>
      </c>
      <c r="J269" s="85"/>
      <c r="K269" s="137">
        <f>K270</f>
        <v>3197.2</v>
      </c>
      <c r="L269" s="137">
        <f>L270</f>
        <v>622.39999999999964</v>
      </c>
      <c r="M269" s="137">
        <v>3819.5999999999995</v>
      </c>
    </row>
    <row r="270" spans="1:13" s="132" customFormat="1" ht="37.5" customHeight="1" x14ac:dyDescent="0.35">
      <c r="A270" s="133"/>
      <c r="B270" s="102" t="s">
        <v>326</v>
      </c>
      <c r="C270" s="134" t="s">
        <v>403</v>
      </c>
      <c r="D270" s="135" t="s">
        <v>32</v>
      </c>
      <c r="E270" s="135" t="s">
        <v>66</v>
      </c>
      <c r="F270" s="82" t="s">
        <v>221</v>
      </c>
      <c r="G270" s="83" t="s">
        <v>40</v>
      </c>
      <c r="H270" s="83" t="s">
        <v>34</v>
      </c>
      <c r="I270" s="84" t="s">
        <v>325</v>
      </c>
      <c r="J270" s="85"/>
      <c r="K270" s="137">
        <f>SUM(K271:K271)</f>
        <v>3197.2</v>
      </c>
      <c r="L270" s="137">
        <f>SUM(L271:L271)</f>
        <v>622.39999999999964</v>
      </c>
      <c r="M270" s="137">
        <v>3819.5999999999995</v>
      </c>
    </row>
    <row r="271" spans="1:13" s="132" customFormat="1" ht="56.25" customHeight="1" x14ac:dyDescent="0.35">
      <c r="A271" s="133"/>
      <c r="B271" s="102" t="s">
        <v>50</v>
      </c>
      <c r="C271" s="134" t="s">
        <v>403</v>
      </c>
      <c r="D271" s="135" t="s">
        <v>32</v>
      </c>
      <c r="E271" s="135" t="s">
        <v>66</v>
      </c>
      <c r="F271" s="82" t="s">
        <v>221</v>
      </c>
      <c r="G271" s="83" t="s">
        <v>40</v>
      </c>
      <c r="H271" s="83" t="s">
        <v>34</v>
      </c>
      <c r="I271" s="84" t="s">
        <v>325</v>
      </c>
      <c r="J271" s="85" t="s">
        <v>51</v>
      </c>
      <c r="K271" s="137">
        <v>3197.2</v>
      </c>
      <c r="L271" s="26">
        <f>M271-K271</f>
        <v>622.39999999999964</v>
      </c>
      <c r="M271" s="137">
        <v>3819.5999999999995</v>
      </c>
    </row>
    <row r="272" spans="1:13" s="132" customFormat="1" ht="37.5" customHeight="1" x14ac:dyDescent="0.35">
      <c r="A272" s="133"/>
      <c r="B272" s="107" t="s">
        <v>224</v>
      </c>
      <c r="C272" s="134" t="s">
        <v>403</v>
      </c>
      <c r="D272" s="135" t="s">
        <v>32</v>
      </c>
      <c r="E272" s="135" t="s">
        <v>66</v>
      </c>
      <c r="F272" s="95" t="s">
        <v>221</v>
      </c>
      <c r="G272" s="83" t="s">
        <v>84</v>
      </c>
      <c r="H272" s="83" t="s">
        <v>38</v>
      </c>
      <c r="I272" s="84" t="s">
        <v>39</v>
      </c>
      <c r="J272" s="85"/>
      <c r="K272" s="137">
        <f>K273+K284+K287</f>
        <v>24632.499999999996</v>
      </c>
      <c r="L272" s="137">
        <f>L273+L284+L287</f>
        <v>0</v>
      </c>
      <c r="M272" s="137">
        <v>24632.499999999996</v>
      </c>
    </row>
    <row r="273" spans="1:14" s="138" customFormat="1" ht="71.400000000000006" customHeight="1" x14ac:dyDescent="0.35">
      <c r="A273" s="133"/>
      <c r="B273" s="107" t="s">
        <v>290</v>
      </c>
      <c r="C273" s="134" t="s">
        <v>403</v>
      </c>
      <c r="D273" s="135" t="s">
        <v>32</v>
      </c>
      <c r="E273" s="135" t="s">
        <v>66</v>
      </c>
      <c r="F273" s="95" t="s">
        <v>221</v>
      </c>
      <c r="G273" s="83" t="s">
        <v>84</v>
      </c>
      <c r="H273" s="83" t="s">
        <v>32</v>
      </c>
      <c r="I273" s="84" t="s">
        <v>39</v>
      </c>
      <c r="J273" s="85"/>
      <c r="K273" s="137">
        <f>K274+K278+K282</f>
        <v>23948.6</v>
      </c>
      <c r="L273" s="137">
        <f>L274+L278+L282</f>
        <v>0</v>
      </c>
      <c r="M273" s="137">
        <v>23948.6</v>
      </c>
    </row>
    <row r="274" spans="1:14" s="132" customFormat="1" ht="37.5" customHeight="1" x14ac:dyDescent="0.35">
      <c r="A274" s="133"/>
      <c r="B274" s="107" t="s">
        <v>42</v>
      </c>
      <c r="C274" s="134" t="s">
        <v>403</v>
      </c>
      <c r="D274" s="135" t="s">
        <v>32</v>
      </c>
      <c r="E274" s="135" t="s">
        <v>66</v>
      </c>
      <c r="F274" s="142" t="s">
        <v>221</v>
      </c>
      <c r="G274" s="140" t="s">
        <v>84</v>
      </c>
      <c r="H274" s="140" t="s">
        <v>32</v>
      </c>
      <c r="I274" s="141" t="s">
        <v>43</v>
      </c>
      <c r="J274" s="85"/>
      <c r="K274" s="137">
        <f>K275+K276+K277</f>
        <v>15075.9</v>
      </c>
      <c r="L274" s="137">
        <f>L275+L276+L277</f>
        <v>0</v>
      </c>
      <c r="M274" s="137">
        <v>15075.9</v>
      </c>
    </row>
    <row r="275" spans="1:14" s="138" customFormat="1" ht="103.95" customHeight="1" x14ac:dyDescent="0.35">
      <c r="A275" s="133"/>
      <c r="B275" s="107" t="s">
        <v>44</v>
      </c>
      <c r="C275" s="134" t="s">
        <v>403</v>
      </c>
      <c r="D275" s="135" t="s">
        <v>32</v>
      </c>
      <c r="E275" s="135" t="s">
        <v>66</v>
      </c>
      <c r="F275" s="95" t="s">
        <v>221</v>
      </c>
      <c r="G275" s="83" t="s">
        <v>84</v>
      </c>
      <c r="H275" s="83" t="s">
        <v>32</v>
      </c>
      <c r="I275" s="84" t="s">
        <v>43</v>
      </c>
      <c r="J275" s="85" t="s">
        <v>45</v>
      </c>
      <c r="K275" s="137">
        <f>12567.3+2152.9</f>
        <v>14720.199999999999</v>
      </c>
      <c r="L275" s="26">
        <f>M275-K275</f>
        <v>0</v>
      </c>
      <c r="M275" s="137">
        <v>14720.199999999999</v>
      </c>
    </row>
    <row r="276" spans="1:14" s="138" customFormat="1" ht="56.25" customHeight="1" x14ac:dyDescent="0.35">
      <c r="A276" s="133"/>
      <c r="B276" s="102" t="s">
        <v>50</v>
      </c>
      <c r="C276" s="134" t="s">
        <v>403</v>
      </c>
      <c r="D276" s="135" t="s">
        <v>32</v>
      </c>
      <c r="E276" s="135" t="s">
        <v>66</v>
      </c>
      <c r="F276" s="95" t="s">
        <v>221</v>
      </c>
      <c r="G276" s="83" t="s">
        <v>84</v>
      </c>
      <c r="H276" s="83" t="s">
        <v>32</v>
      </c>
      <c r="I276" s="84" t="s">
        <v>43</v>
      </c>
      <c r="J276" s="85" t="s">
        <v>51</v>
      </c>
      <c r="K276" s="137">
        <f>364.5-10</f>
        <v>354.5</v>
      </c>
      <c r="L276" s="26">
        <f>M276-K276</f>
        <v>0</v>
      </c>
      <c r="M276" s="137">
        <v>354.5</v>
      </c>
      <c r="N276" s="172"/>
    </row>
    <row r="277" spans="1:14" s="138" customFormat="1" ht="18.75" customHeight="1" x14ac:dyDescent="0.35">
      <c r="A277" s="133"/>
      <c r="B277" s="107" t="s">
        <v>52</v>
      </c>
      <c r="C277" s="134" t="s">
        <v>403</v>
      </c>
      <c r="D277" s="135" t="s">
        <v>32</v>
      </c>
      <c r="E277" s="135" t="s">
        <v>66</v>
      </c>
      <c r="F277" s="95" t="s">
        <v>221</v>
      </c>
      <c r="G277" s="83" t="s">
        <v>84</v>
      </c>
      <c r="H277" s="83" t="s">
        <v>32</v>
      </c>
      <c r="I277" s="84" t="s">
        <v>43</v>
      </c>
      <c r="J277" s="85" t="s">
        <v>53</v>
      </c>
      <c r="K277" s="137">
        <v>1.2</v>
      </c>
      <c r="L277" s="26">
        <f>M277-K277</f>
        <v>0</v>
      </c>
      <c r="M277" s="137">
        <v>1.2</v>
      </c>
    </row>
    <row r="278" spans="1:14" s="138" customFormat="1" ht="36" customHeight="1" x14ac:dyDescent="0.35">
      <c r="A278" s="133"/>
      <c r="B278" s="27" t="s">
        <v>437</v>
      </c>
      <c r="C278" s="134" t="s">
        <v>403</v>
      </c>
      <c r="D278" s="135" t="s">
        <v>32</v>
      </c>
      <c r="E278" s="135" t="s">
        <v>66</v>
      </c>
      <c r="F278" s="95" t="s">
        <v>221</v>
      </c>
      <c r="G278" s="83" t="s">
        <v>84</v>
      </c>
      <c r="H278" s="83" t="s">
        <v>32</v>
      </c>
      <c r="I278" s="84" t="s">
        <v>86</v>
      </c>
      <c r="J278" s="85"/>
      <c r="K278" s="137">
        <f>K279+K280+K281</f>
        <v>8803.6999999999971</v>
      </c>
      <c r="L278" s="137">
        <f>L279+L280+L281</f>
        <v>0</v>
      </c>
      <c r="M278" s="137">
        <v>8803.6999999999971</v>
      </c>
      <c r="N278" s="172"/>
    </row>
    <row r="279" spans="1:14" s="138" customFormat="1" ht="112.5" customHeight="1" x14ac:dyDescent="0.35">
      <c r="A279" s="133"/>
      <c r="B279" s="107" t="s">
        <v>44</v>
      </c>
      <c r="C279" s="134" t="s">
        <v>403</v>
      </c>
      <c r="D279" s="135" t="s">
        <v>32</v>
      </c>
      <c r="E279" s="135" t="s">
        <v>66</v>
      </c>
      <c r="F279" s="95" t="s">
        <v>221</v>
      </c>
      <c r="G279" s="83" t="s">
        <v>84</v>
      </c>
      <c r="H279" s="83" t="s">
        <v>32</v>
      </c>
      <c r="I279" s="84" t="s">
        <v>86</v>
      </c>
      <c r="J279" s="85" t="s">
        <v>45</v>
      </c>
      <c r="K279" s="137">
        <f>8124.7+14.4+326</f>
        <v>8465.0999999999985</v>
      </c>
      <c r="L279" s="26">
        <f>M279-K279</f>
        <v>0</v>
      </c>
      <c r="M279" s="137">
        <v>8465.0999999999985</v>
      </c>
      <c r="N279" s="172"/>
    </row>
    <row r="280" spans="1:14" s="138" customFormat="1" ht="56.25" customHeight="1" x14ac:dyDescent="0.35">
      <c r="A280" s="133"/>
      <c r="B280" s="102" t="s">
        <v>50</v>
      </c>
      <c r="C280" s="134" t="s">
        <v>403</v>
      </c>
      <c r="D280" s="135" t="s">
        <v>32</v>
      </c>
      <c r="E280" s="135" t="s">
        <v>66</v>
      </c>
      <c r="F280" s="142" t="s">
        <v>221</v>
      </c>
      <c r="G280" s="140" t="s">
        <v>84</v>
      </c>
      <c r="H280" s="140" t="s">
        <v>32</v>
      </c>
      <c r="I280" s="141" t="s">
        <v>86</v>
      </c>
      <c r="J280" s="85" t="s">
        <v>51</v>
      </c>
      <c r="K280" s="137">
        <v>318.3</v>
      </c>
      <c r="L280" s="26">
        <f>M280-K280</f>
        <v>0</v>
      </c>
      <c r="M280" s="137">
        <v>318.3</v>
      </c>
    </row>
    <row r="281" spans="1:14" s="138" customFormat="1" ht="18.75" customHeight="1" x14ac:dyDescent="0.35">
      <c r="A281" s="133"/>
      <c r="B281" s="107" t="s">
        <v>52</v>
      </c>
      <c r="C281" s="134" t="s">
        <v>403</v>
      </c>
      <c r="D281" s="135" t="s">
        <v>32</v>
      </c>
      <c r="E281" s="135" t="s">
        <v>66</v>
      </c>
      <c r="F281" s="95" t="s">
        <v>221</v>
      </c>
      <c r="G281" s="83" t="s">
        <v>84</v>
      </c>
      <c r="H281" s="83" t="s">
        <v>32</v>
      </c>
      <c r="I281" s="84" t="s">
        <v>86</v>
      </c>
      <c r="J281" s="85" t="s">
        <v>53</v>
      </c>
      <c r="K281" s="137">
        <v>20.3</v>
      </c>
      <c r="L281" s="26">
        <f>M281-K281</f>
        <v>0</v>
      </c>
      <c r="M281" s="137">
        <v>20.3</v>
      </c>
      <c r="N281" s="172"/>
    </row>
    <row r="282" spans="1:14" s="138" customFormat="1" ht="56.25" customHeight="1" x14ac:dyDescent="0.35">
      <c r="A282" s="133"/>
      <c r="B282" s="102" t="s">
        <v>343</v>
      </c>
      <c r="C282" s="189" t="s">
        <v>403</v>
      </c>
      <c r="D282" s="307" t="s">
        <v>32</v>
      </c>
      <c r="E282" s="307" t="s">
        <v>66</v>
      </c>
      <c r="F282" s="95" t="s">
        <v>221</v>
      </c>
      <c r="G282" s="83" t="s">
        <v>84</v>
      </c>
      <c r="H282" s="83" t="s">
        <v>32</v>
      </c>
      <c r="I282" s="84" t="s">
        <v>342</v>
      </c>
      <c r="J282" s="85"/>
      <c r="K282" s="137">
        <f>K283</f>
        <v>69</v>
      </c>
      <c r="L282" s="137">
        <f>L283</f>
        <v>0</v>
      </c>
      <c r="M282" s="137">
        <v>69</v>
      </c>
      <c r="N282" s="172"/>
    </row>
    <row r="283" spans="1:14" s="138" customFormat="1" ht="56.25" customHeight="1" x14ac:dyDescent="0.35">
      <c r="A283" s="133"/>
      <c r="B283" s="383" t="s">
        <v>50</v>
      </c>
      <c r="C283" s="384" t="s">
        <v>403</v>
      </c>
      <c r="D283" s="385" t="s">
        <v>32</v>
      </c>
      <c r="E283" s="385" t="s">
        <v>66</v>
      </c>
      <c r="F283" s="144" t="s">
        <v>221</v>
      </c>
      <c r="G283" s="83" t="s">
        <v>84</v>
      </c>
      <c r="H283" s="83" t="s">
        <v>32</v>
      </c>
      <c r="I283" s="306" t="s">
        <v>342</v>
      </c>
      <c r="J283" s="85" t="s">
        <v>51</v>
      </c>
      <c r="K283" s="137">
        <v>69</v>
      </c>
      <c r="L283" s="26">
        <f>M283-K283</f>
        <v>0</v>
      </c>
      <c r="M283" s="137">
        <v>69</v>
      </c>
      <c r="N283" s="172"/>
    </row>
    <row r="284" spans="1:14" s="180" customFormat="1" ht="37.5" customHeight="1" x14ac:dyDescent="0.35">
      <c r="A284" s="174"/>
      <c r="B284" s="175" t="s">
        <v>340</v>
      </c>
      <c r="C284" s="176" t="s">
        <v>403</v>
      </c>
      <c r="D284" s="177" t="s">
        <v>32</v>
      </c>
      <c r="E284" s="177" t="s">
        <v>66</v>
      </c>
      <c r="F284" s="95" t="s">
        <v>221</v>
      </c>
      <c r="G284" s="96" t="s">
        <v>84</v>
      </c>
      <c r="H284" s="96" t="s">
        <v>34</v>
      </c>
      <c r="I284" s="97" t="s">
        <v>39</v>
      </c>
      <c r="J284" s="98"/>
      <c r="K284" s="178">
        <f t="shared" ref="K284:M285" si="44">K285</f>
        <v>669.1</v>
      </c>
      <c r="L284" s="178">
        <f t="shared" si="44"/>
        <v>0</v>
      </c>
      <c r="M284" s="178">
        <v>669.1</v>
      </c>
      <c r="N284" s="179"/>
    </row>
    <row r="285" spans="1:14" s="180" customFormat="1" ht="60.75" customHeight="1" x14ac:dyDescent="0.35">
      <c r="A285" s="181"/>
      <c r="B285" s="182" t="s">
        <v>341</v>
      </c>
      <c r="C285" s="134" t="s">
        <v>403</v>
      </c>
      <c r="D285" s="135" t="s">
        <v>32</v>
      </c>
      <c r="E285" s="135" t="s">
        <v>66</v>
      </c>
      <c r="F285" s="144" t="s">
        <v>221</v>
      </c>
      <c r="G285" s="96" t="s">
        <v>84</v>
      </c>
      <c r="H285" s="96" t="s">
        <v>34</v>
      </c>
      <c r="I285" s="97" t="s">
        <v>100</v>
      </c>
      <c r="J285" s="99"/>
      <c r="K285" s="183">
        <f t="shared" si="44"/>
        <v>669.1</v>
      </c>
      <c r="L285" s="183">
        <f t="shared" si="44"/>
        <v>0</v>
      </c>
      <c r="M285" s="183">
        <v>669.1</v>
      </c>
      <c r="N285" s="179"/>
    </row>
    <row r="286" spans="1:14" s="180" customFormat="1" ht="56.25" customHeight="1" x14ac:dyDescent="0.35">
      <c r="A286" s="181"/>
      <c r="B286" s="184" t="s">
        <v>50</v>
      </c>
      <c r="C286" s="134" t="s">
        <v>403</v>
      </c>
      <c r="D286" s="135" t="s">
        <v>32</v>
      </c>
      <c r="E286" s="135" t="s">
        <v>66</v>
      </c>
      <c r="F286" s="144" t="s">
        <v>221</v>
      </c>
      <c r="G286" s="101" t="s">
        <v>84</v>
      </c>
      <c r="H286" s="101" t="s">
        <v>34</v>
      </c>
      <c r="I286" s="185" t="s">
        <v>100</v>
      </c>
      <c r="J286" s="186" t="s">
        <v>51</v>
      </c>
      <c r="K286" s="289">
        <f>669.1</f>
        <v>669.1</v>
      </c>
      <c r="L286" s="26">
        <f>M286-K286</f>
        <v>0</v>
      </c>
      <c r="M286" s="289">
        <v>669.1</v>
      </c>
      <c r="N286" s="179"/>
    </row>
    <row r="287" spans="1:14" s="180" customFormat="1" ht="37.5" customHeight="1" x14ac:dyDescent="0.35">
      <c r="A287" s="181"/>
      <c r="B287" s="187" t="s">
        <v>363</v>
      </c>
      <c r="C287" s="134" t="s">
        <v>403</v>
      </c>
      <c r="D287" s="135" t="s">
        <v>32</v>
      </c>
      <c r="E287" s="135" t="s">
        <v>66</v>
      </c>
      <c r="F287" s="144" t="s">
        <v>221</v>
      </c>
      <c r="G287" s="96" t="s">
        <v>84</v>
      </c>
      <c r="H287" s="96" t="s">
        <v>58</v>
      </c>
      <c r="I287" s="97" t="s">
        <v>39</v>
      </c>
      <c r="J287" s="99"/>
      <c r="K287" s="183">
        <f t="shared" ref="K287:M287" si="45">K288</f>
        <v>14.8</v>
      </c>
      <c r="L287" s="183">
        <f t="shared" si="45"/>
        <v>0</v>
      </c>
      <c r="M287" s="183">
        <v>14.8</v>
      </c>
      <c r="N287" s="179"/>
    </row>
    <row r="288" spans="1:14" s="180" customFormat="1" ht="37.5" customHeight="1" x14ac:dyDescent="0.35">
      <c r="A288" s="181"/>
      <c r="B288" s="187" t="s">
        <v>326</v>
      </c>
      <c r="C288" s="134" t="s">
        <v>403</v>
      </c>
      <c r="D288" s="135" t="s">
        <v>32</v>
      </c>
      <c r="E288" s="135" t="s">
        <v>66</v>
      </c>
      <c r="F288" s="100" t="s">
        <v>221</v>
      </c>
      <c r="G288" s="101" t="s">
        <v>84</v>
      </c>
      <c r="H288" s="101" t="s">
        <v>58</v>
      </c>
      <c r="I288" s="185" t="s">
        <v>325</v>
      </c>
      <c r="J288" s="99"/>
      <c r="K288" s="183">
        <f>K289</f>
        <v>14.8</v>
      </c>
      <c r="L288" s="183">
        <f>L289</f>
        <v>0</v>
      </c>
      <c r="M288" s="183">
        <v>14.8</v>
      </c>
      <c r="N288" s="179"/>
    </row>
    <row r="289" spans="1:14" s="180" customFormat="1" ht="18.75" customHeight="1" x14ac:dyDescent="0.35">
      <c r="A289" s="188"/>
      <c r="B289" s="107" t="s">
        <v>52</v>
      </c>
      <c r="C289" s="189" t="s">
        <v>403</v>
      </c>
      <c r="D289" s="135" t="s">
        <v>32</v>
      </c>
      <c r="E289" s="135" t="s">
        <v>66</v>
      </c>
      <c r="F289" s="95" t="s">
        <v>221</v>
      </c>
      <c r="G289" s="96" t="s">
        <v>84</v>
      </c>
      <c r="H289" s="96" t="s">
        <v>58</v>
      </c>
      <c r="I289" s="97" t="s">
        <v>325</v>
      </c>
      <c r="J289" s="99" t="s">
        <v>53</v>
      </c>
      <c r="K289" s="289">
        <v>14.8</v>
      </c>
      <c r="L289" s="26">
        <f>M289-K289</f>
        <v>0</v>
      </c>
      <c r="M289" s="289">
        <v>14.8</v>
      </c>
      <c r="N289" s="179"/>
    </row>
    <row r="290" spans="1:14" s="180" customFormat="1" ht="37.5" customHeight="1" x14ac:dyDescent="0.35">
      <c r="A290" s="188"/>
      <c r="B290" s="143" t="s">
        <v>328</v>
      </c>
      <c r="C290" s="189" t="s">
        <v>403</v>
      </c>
      <c r="D290" s="135" t="s">
        <v>32</v>
      </c>
      <c r="E290" s="135" t="s">
        <v>66</v>
      </c>
      <c r="F290" s="95" t="s">
        <v>221</v>
      </c>
      <c r="G290" s="96" t="s">
        <v>25</v>
      </c>
      <c r="H290" s="96" t="s">
        <v>38</v>
      </c>
      <c r="I290" s="97" t="s">
        <v>39</v>
      </c>
      <c r="J290" s="99"/>
      <c r="K290" s="541">
        <f>K291+K294</f>
        <v>3927</v>
      </c>
      <c r="L290" s="541">
        <f>L291+L294</f>
        <v>10046.9</v>
      </c>
      <c r="M290" s="541">
        <v>13973.9</v>
      </c>
      <c r="N290" s="179"/>
    </row>
    <row r="291" spans="1:14" s="180" customFormat="1" ht="18" x14ac:dyDescent="0.35">
      <c r="A291" s="188"/>
      <c r="B291" s="143" t="s">
        <v>517</v>
      </c>
      <c r="C291" s="189" t="s">
        <v>403</v>
      </c>
      <c r="D291" s="135" t="s">
        <v>32</v>
      </c>
      <c r="E291" s="135" t="s">
        <v>66</v>
      </c>
      <c r="F291" s="95" t="s">
        <v>221</v>
      </c>
      <c r="G291" s="96" t="s">
        <v>25</v>
      </c>
      <c r="H291" s="96" t="s">
        <v>47</v>
      </c>
      <c r="I291" s="97" t="s">
        <v>39</v>
      </c>
      <c r="J291" s="99"/>
      <c r="K291" s="541">
        <f t="shared" ref="K291:M292" si="46">K292</f>
        <v>3927</v>
      </c>
      <c r="L291" s="541">
        <f t="shared" si="46"/>
        <v>10000</v>
      </c>
      <c r="M291" s="541">
        <v>13927</v>
      </c>
      <c r="N291" s="179"/>
    </row>
    <row r="292" spans="1:14" s="180" customFormat="1" ht="37.5" customHeight="1" x14ac:dyDescent="0.35">
      <c r="A292" s="188"/>
      <c r="B292" s="143" t="s">
        <v>518</v>
      </c>
      <c r="C292" s="189" t="s">
        <v>403</v>
      </c>
      <c r="D292" s="135" t="s">
        <v>32</v>
      </c>
      <c r="E292" s="135" t="s">
        <v>66</v>
      </c>
      <c r="F292" s="95" t="s">
        <v>221</v>
      </c>
      <c r="G292" s="96" t="s">
        <v>25</v>
      </c>
      <c r="H292" s="96" t="s">
        <v>47</v>
      </c>
      <c r="I292" s="97" t="s">
        <v>516</v>
      </c>
      <c r="J292" s="99"/>
      <c r="K292" s="541">
        <f t="shared" si="46"/>
        <v>3927</v>
      </c>
      <c r="L292" s="541">
        <f t="shared" si="46"/>
        <v>10000</v>
      </c>
      <c r="M292" s="541">
        <v>13927</v>
      </c>
      <c r="N292" s="179"/>
    </row>
    <row r="293" spans="1:14" s="180" customFormat="1" ht="18" x14ac:dyDescent="0.35">
      <c r="A293" s="188"/>
      <c r="B293" s="107" t="s">
        <v>52</v>
      </c>
      <c r="C293" s="189" t="s">
        <v>403</v>
      </c>
      <c r="D293" s="135" t="s">
        <v>32</v>
      </c>
      <c r="E293" s="135" t="s">
        <v>66</v>
      </c>
      <c r="F293" s="95" t="s">
        <v>221</v>
      </c>
      <c r="G293" s="96" t="s">
        <v>25</v>
      </c>
      <c r="H293" s="96" t="s">
        <v>47</v>
      </c>
      <c r="I293" s="97" t="s">
        <v>516</v>
      </c>
      <c r="J293" s="99" t="s">
        <v>53</v>
      </c>
      <c r="K293" s="541">
        <f>3500+427</f>
        <v>3927</v>
      </c>
      <c r="L293" s="26">
        <f>M293-K293</f>
        <v>10000</v>
      </c>
      <c r="M293" s="541">
        <v>13927</v>
      </c>
      <c r="N293" s="179"/>
    </row>
    <row r="294" spans="1:14" s="180" customFormat="1" ht="36" x14ac:dyDescent="0.35">
      <c r="A294" s="188"/>
      <c r="B294" s="143" t="s">
        <v>363</v>
      </c>
      <c r="C294" s="189" t="s">
        <v>403</v>
      </c>
      <c r="D294" s="135" t="s">
        <v>32</v>
      </c>
      <c r="E294" s="135" t="s">
        <v>66</v>
      </c>
      <c r="F294" s="95" t="s">
        <v>221</v>
      </c>
      <c r="G294" s="96" t="s">
        <v>25</v>
      </c>
      <c r="H294" s="96" t="s">
        <v>221</v>
      </c>
      <c r="I294" s="97" t="s">
        <v>39</v>
      </c>
      <c r="J294" s="562"/>
      <c r="K294" s="541">
        <f t="shared" ref="K294:M295" si="47">K295</f>
        <v>0</v>
      </c>
      <c r="L294" s="26">
        <f t="shared" si="47"/>
        <v>46.9</v>
      </c>
      <c r="M294" s="541">
        <v>46.9</v>
      </c>
      <c r="N294" s="179"/>
    </row>
    <row r="295" spans="1:14" s="180" customFormat="1" ht="36" x14ac:dyDescent="0.35">
      <c r="A295" s="188"/>
      <c r="B295" s="187" t="s">
        <v>326</v>
      </c>
      <c r="C295" s="189" t="s">
        <v>403</v>
      </c>
      <c r="D295" s="135" t="s">
        <v>32</v>
      </c>
      <c r="E295" s="135" t="s">
        <v>66</v>
      </c>
      <c r="F295" s="95" t="s">
        <v>221</v>
      </c>
      <c r="G295" s="96" t="s">
        <v>25</v>
      </c>
      <c r="H295" s="96" t="s">
        <v>221</v>
      </c>
      <c r="I295" s="97" t="s">
        <v>325</v>
      </c>
      <c r="J295" s="562"/>
      <c r="K295" s="541">
        <f t="shared" si="47"/>
        <v>0</v>
      </c>
      <c r="L295" s="26">
        <f t="shared" si="47"/>
        <v>46.9</v>
      </c>
      <c r="M295" s="541">
        <v>46.9</v>
      </c>
      <c r="N295" s="179"/>
    </row>
    <row r="296" spans="1:14" s="180" customFormat="1" ht="54" x14ac:dyDescent="0.35">
      <c r="A296" s="188"/>
      <c r="B296" s="102" t="s">
        <v>50</v>
      </c>
      <c r="C296" s="189" t="s">
        <v>403</v>
      </c>
      <c r="D296" s="135" t="s">
        <v>32</v>
      </c>
      <c r="E296" s="135" t="s">
        <v>66</v>
      </c>
      <c r="F296" s="95" t="s">
        <v>221</v>
      </c>
      <c r="G296" s="96" t="s">
        <v>25</v>
      </c>
      <c r="H296" s="96" t="s">
        <v>221</v>
      </c>
      <c r="I296" s="97" t="s">
        <v>325</v>
      </c>
      <c r="J296" s="562" t="s">
        <v>51</v>
      </c>
      <c r="K296" s="541">
        <v>0</v>
      </c>
      <c r="L296" s="26">
        <f>M296-K296</f>
        <v>46.9</v>
      </c>
      <c r="M296" s="541">
        <v>46.9</v>
      </c>
      <c r="N296" s="179"/>
    </row>
    <row r="297" spans="1:14" s="138" customFormat="1" ht="61.5" customHeight="1" x14ac:dyDescent="0.35">
      <c r="A297" s="133"/>
      <c r="B297" s="143" t="s">
        <v>35</v>
      </c>
      <c r="C297" s="134" t="s">
        <v>403</v>
      </c>
      <c r="D297" s="135" t="s">
        <v>32</v>
      </c>
      <c r="E297" s="135" t="s">
        <v>66</v>
      </c>
      <c r="F297" s="144" t="s">
        <v>36</v>
      </c>
      <c r="G297" s="83" t="s">
        <v>37</v>
      </c>
      <c r="H297" s="83" t="s">
        <v>38</v>
      </c>
      <c r="I297" s="84" t="s">
        <v>39</v>
      </c>
      <c r="J297" s="85"/>
      <c r="K297" s="296">
        <f t="shared" ref="K297:M299" si="48">K298</f>
        <v>5965.0000000000009</v>
      </c>
      <c r="L297" s="296">
        <f t="shared" si="48"/>
        <v>0</v>
      </c>
      <c r="M297" s="296">
        <v>5965.0000000000009</v>
      </c>
      <c r="N297" s="172"/>
    </row>
    <row r="298" spans="1:14" s="138" customFormat="1" ht="37.5" customHeight="1" x14ac:dyDescent="0.35">
      <c r="A298" s="133"/>
      <c r="B298" s="102" t="s">
        <v>328</v>
      </c>
      <c r="C298" s="134" t="s">
        <v>403</v>
      </c>
      <c r="D298" s="135" t="s">
        <v>32</v>
      </c>
      <c r="E298" s="135" t="s">
        <v>66</v>
      </c>
      <c r="F298" s="95" t="s">
        <v>36</v>
      </c>
      <c r="G298" s="83" t="s">
        <v>40</v>
      </c>
      <c r="H298" s="83" t="s">
        <v>38</v>
      </c>
      <c r="I298" s="84" t="s">
        <v>39</v>
      </c>
      <c r="J298" s="85"/>
      <c r="K298" s="137">
        <f t="shared" si="48"/>
        <v>5965.0000000000009</v>
      </c>
      <c r="L298" s="137">
        <f t="shared" si="48"/>
        <v>0</v>
      </c>
      <c r="M298" s="137">
        <v>5965.0000000000009</v>
      </c>
      <c r="N298" s="172"/>
    </row>
    <row r="299" spans="1:14" s="138" customFormat="1" ht="75" customHeight="1" x14ac:dyDescent="0.35">
      <c r="A299" s="133"/>
      <c r="B299" s="107" t="s">
        <v>288</v>
      </c>
      <c r="C299" s="134" t="s">
        <v>403</v>
      </c>
      <c r="D299" s="135" t="s">
        <v>32</v>
      </c>
      <c r="E299" s="135" t="s">
        <v>66</v>
      </c>
      <c r="F299" s="95" t="s">
        <v>36</v>
      </c>
      <c r="G299" s="83" t="s">
        <v>40</v>
      </c>
      <c r="H299" s="83" t="s">
        <v>76</v>
      </c>
      <c r="I299" s="84" t="s">
        <v>39</v>
      </c>
      <c r="J299" s="85"/>
      <c r="K299" s="137">
        <f t="shared" si="48"/>
        <v>5965.0000000000009</v>
      </c>
      <c r="L299" s="137">
        <f t="shared" si="48"/>
        <v>0</v>
      </c>
      <c r="M299" s="137">
        <v>5965.0000000000009</v>
      </c>
      <c r="N299" s="172"/>
    </row>
    <row r="300" spans="1:14" s="138" customFormat="1" ht="37.5" customHeight="1" x14ac:dyDescent="0.35">
      <c r="A300" s="133"/>
      <c r="B300" s="27" t="s">
        <v>437</v>
      </c>
      <c r="C300" s="134" t="s">
        <v>403</v>
      </c>
      <c r="D300" s="135" t="s">
        <v>32</v>
      </c>
      <c r="E300" s="135" t="s">
        <v>66</v>
      </c>
      <c r="F300" s="95" t="s">
        <v>36</v>
      </c>
      <c r="G300" s="83" t="s">
        <v>40</v>
      </c>
      <c r="H300" s="83" t="s">
        <v>76</v>
      </c>
      <c r="I300" s="84" t="s">
        <v>86</v>
      </c>
      <c r="J300" s="85"/>
      <c r="K300" s="315">
        <f>K301+K302</f>
        <v>5965.0000000000009</v>
      </c>
      <c r="L300" s="315">
        <f>L301+L302</f>
        <v>0</v>
      </c>
      <c r="M300" s="315">
        <v>5965.0000000000009</v>
      </c>
      <c r="N300" s="172"/>
    </row>
    <row r="301" spans="1:14" s="138" customFormat="1" ht="112.5" customHeight="1" x14ac:dyDescent="0.35">
      <c r="A301" s="133"/>
      <c r="B301" s="107" t="s">
        <v>44</v>
      </c>
      <c r="C301" s="134" t="s">
        <v>403</v>
      </c>
      <c r="D301" s="135" t="s">
        <v>32</v>
      </c>
      <c r="E301" s="135" t="s">
        <v>66</v>
      </c>
      <c r="F301" s="95" t="s">
        <v>36</v>
      </c>
      <c r="G301" s="83" t="s">
        <v>40</v>
      </c>
      <c r="H301" s="83" t="s">
        <v>76</v>
      </c>
      <c r="I301" s="84" t="s">
        <v>86</v>
      </c>
      <c r="J301" s="85" t="s">
        <v>45</v>
      </c>
      <c r="K301" s="290">
        <f>4593.1+184+717.3</f>
        <v>5494.4000000000005</v>
      </c>
      <c r="L301" s="26">
        <f>M301-K301</f>
        <v>0</v>
      </c>
      <c r="M301" s="290">
        <v>5494.4000000000005</v>
      </c>
      <c r="N301" s="172"/>
    </row>
    <row r="302" spans="1:14" s="138" customFormat="1" ht="56.25" customHeight="1" x14ac:dyDescent="0.35">
      <c r="A302" s="133"/>
      <c r="B302" s="102" t="s">
        <v>50</v>
      </c>
      <c r="C302" s="134" t="s">
        <v>403</v>
      </c>
      <c r="D302" s="135" t="s">
        <v>32</v>
      </c>
      <c r="E302" s="135" t="s">
        <v>66</v>
      </c>
      <c r="F302" s="95" t="s">
        <v>36</v>
      </c>
      <c r="G302" s="83" t="s">
        <v>40</v>
      </c>
      <c r="H302" s="83" t="s">
        <v>76</v>
      </c>
      <c r="I302" s="84" t="s">
        <v>86</v>
      </c>
      <c r="J302" s="85" t="s">
        <v>51</v>
      </c>
      <c r="K302" s="290">
        <v>470.6</v>
      </c>
      <c r="L302" s="26">
        <f>M302-K302</f>
        <v>0</v>
      </c>
      <c r="M302" s="290">
        <v>470.6</v>
      </c>
      <c r="N302" s="172"/>
    </row>
    <row r="303" spans="1:14" s="138" customFormat="1" ht="18.75" customHeight="1" x14ac:dyDescent="0.35">
      <c r="A303" s="133"/>
      <c r="B303" s="102" t="s">
        <v>87</v>
      </c>
      <c r="C303" s="134" t="s">
        <v>403</v>
      </c>
      <c r="D303" s="135" t="s">
        <v>47</v>
      </c>
      <c r="E303" s="135"/>
      <c r="F303" s="95"/>
      <c r="G303" s="83"/>
      <c r="H303" s="83"/>
      <c r="I303" s="84"/>
      <c r="J303" s="85"/>
      <c r="K303" s="137">
        <f t="shared" ref="K303:M308" si="49">K304</f>
        <v>2118.6999999999998</v>
      </c>
      <c r="L303" s="137">
        <f t="shared" si="49"/>
        <v>0</v>
      </c>
      <c r="M303" s="137">
        <v>2118.6999999999998</v>
      </c>
      <c r="N303" s="172"/>
    </row>
    <row r="304" spans="1:14" s="138" customFormat="1" ht="37.5" customHeight="1" x14ac:dyDescent="0.35">
      <c r="A304" s="133"/>
      <c r="B304" s="190" t="s">
        <v>101</v>
      </c>
      <c r="C304" s="134" t="s">
        <v>403</v>
      </c>
      <c r="D304" s="135" t="s">
        <v>47</v>
      </c>
      <c r="E304" s="135" t="s">
        <v>95</v>
      </c>
      <c r="F304" s="95"/>
      <c r="G304" s="83"/>
      <c r="H304" s="83"/>
      <c r="I304" s="84"/>
      <c r="J304" s="85"/>
      <c r="K304" s="137">
        <f t="shared" si="49"/>
        <v>2118.6999999999998</v>
      </c>
      <c r="L304" s="137">
        <f t="shared" si="49"/>
        <v>0</v>
      </c>
      <c r="M304" s="137">
        <v>2118.6999999999998</v>
      </c>
      <c r="N304" s="172"/>
    </row>
    <row r="305" spans="1:14" s="138" customFormat="1" ht="56.25" customHeight="1" x14ac:dyDescent="0.35">
      <c r="A305" s="133"/>
      <c r="B305" s="107" t="s">
        <v>220</v>
      </c>
      <c r="C305" s="134" t="s">
        <v>403</v>
      </c>
      <c r="D305" s="135" t="s">
        <v>47</v>
      </c>
      <c r="E305" s="135" t="s">
        <v>95</v>
      </c>
      <c r="F305" s="95" t="s">
        <v>221</v>
      </c>
      <c r="G305" s="83" t="s">
        <v>37</v>
      </c>
      <c r="H305" s="83" t="s">
        <v>38</v>
      </c>
      <c r="I305" s="84" t="s">
        <v>39</v>
      </c>
      <c r="J305" s="85"/>
      <c r="K305" s="137">
        <f t="shared" si="49"/>
        <v>2118.6999999999998</v>
      </c>
      <c r="L305" s="137">
        <f t="shared" si="49"/>
        <v>0</v>
      </c>
      <c r="M305" s="137">
        <v>2118.6999999999998</v>
      </c>
      <c r="N305" s="172"/>
    </row>
    <row r="306" spans="1:14" s="138" customFormat="1" ht="41.25" customHeight="1" x14ac:dyDescent="0.35">
      <c r="A306" s="133"/>
      <c r="B306" s="107" t="s">
        <v>222</v>
      </c>
      <c r="C306" s="134" t="s">
        <v>403</v>
      </c>
      <c r="D306" s="135" t="s">
        <v>47</v>
      </c>
      <c r="E306" s="135" t="s">
        <v>95</v>
      </c>
      <c r="F306" s="95" t="s">
        <v>221</v>
      </c>
      <c r="G306" s="83" t="s">
        <v>40</v>
      </c>
      <c r="H306" s="83" t="s">
        <v>38</v>
      </c>
      <c r="I306" s="84" t="s">
        <v>39</v>
      </c>
      <c r="J306" s="85"/>
      <c r="K306" s="137">
        <f t="shared" si="49"/>
        <v>2118.6999999999998</v>
      </c>
      <c r="L306" s="137">
        <f t="shared" si="49"/>
        <v>0</v>
      </c>
      <c r="M306" s="137">
        <v>2118.6999999999998</v>
      </c>
      <c r="N306" s="172"/>
    </row>
    <row r="307" spans="1:14" s="138" customFormat="1" ht="96.75" customHeight="1" x14ac:dyDescent="0.35">
      <c r="A307" s="133"/>
      <c r="B307" s="107" t="s">
        <v>286</v>
      </c>
      <c r="C307" s="134" t="s">
        <v>403</v>
      </c>
      <c r="D307" s="135" t="s">
        <v>47</v>
      </c>
      <c r="E307" s="135" t="s">
        <v>95</v>
      </c>
      <c r="F307" s="95" t="s">
        <v>221</v>
      </c>
      <c r="G307" s="83" t="s">
        <v>40</v>
      </c>
      <c r="H307" s="83" t="s">
        <v>32</v>
      </c>
      <c r="I307" s="84" t="s">
        <v>39</v>
      </c>
      <c r="J307" s="85"/>
      <c r="K307" s="137">
        <f t="shared" si="49"/>
        <v>2118.6999999999998</v>
      </c>
      <c r="L307" s="137">
        <f t="shared" si="49"/>
        <v>0</v>
      </c>
      <c r="M307" s="137">
        <v>2118.6999999999998</v>
      </c>
      <c r="N307" s="172"/>
    </row>
    <row r="308" spans="1:14" s="138" customFormat="1" ht="37.5" customHeight="1" x14ac:dyDescent="0.35">
      <c r="A308" s="133"/>
      <c r="B308" s="107" t="s">
        <v>359</v>
      </c>
      <c r="C308" s="134" t="s">
        <v>403</v>
      </c>
      <c r="D308" s="135" t="s">
        <v>47</v>
      </c>
      <c r="E308" s="135" t="s">
        <v>95</v>
      </c>
      <c r="F308" s="95" t="s">
        <v>221</v>
      </c>
      <c r="G308" s="83" t="s">
        <v>40</v>
      </c>
      <c r="H308" s="83" t="s">
        <v>32</v>
      </c>
      <c r="I308" s="84" t="s">
        <v>358</v>
      </c>
      <c r="J308" s="85"/>
      <c r="K308" s="137">
        <f t="shared" si="49"/>
        <v>2118.6999999999998</v>
      </c>
      <c r="L308" s="137">
        <f t="shared" si="49"/>
        <v>0</v>
      </c>
      <c r="M308" s="137">
        <v>2118.6999999999998</v>
      </c>
      <c r="N308" s="172"/>
    </row>
    <row r="309" spans="1:14" s="138" customFormat="1" ht="56.25" customHeight="1" x14ac:dyDescent="0.35">
      <c r="A309" s="133"/>
      <c r="B309" s="102" t="s">
        <v>50</v>
      </c>
      <c r="C309" s="134" t="s">
        <v>403</v>
      </c>
      <c r="D309" s="135" t="s">
        <v>47</v>
      </c>
      <c r="E309" s="135" t="s">
        <v>95</v>
      </c>
      <c r="F309" s="95" t="s">
        <v>221</v>
      </c>
      <c r="G309" s="83" t="s">
        <v>40</v>
      </c>
      <c r="H309" s="83" t="s">
        <v>32</v>
      </c>
      <c r="I309" s="84" t="s">
        <v>358</v>
      </c>
      <c r="J309" s="85" t="s">
        <v>51</v>
      </c>
      <c r="K309" s="137">
        <v>2118.6999999999998</v>
      </c>
      <c r="L309" s="26">
        <f>M309-K309</f>
        <v>0</v>
      </c>
      <c r="M309" s="137">
        <v>2118.6999999999998</v>
      </c>
      <c r="N309" s="172"/>
    </row>
    <row r="310" spans="1:14" s="138" customFormat="1" ht="18.75" customHeight="1" x14ac:dyDescent="0.35">
      <c r="A310" s="133"/>
      <c r="B310" s="107" t="s">
        <v>172</v>
      </c>
      <c r="C310" s="134" t="s">
        <v>403</v>
      </c>
      <c r="D310" s="135" t="s">
        <v>60</v>
      </c>
      <c r="E310" s="135"/>
      <c r="F310" s="82"/>
      <c r="G310" s="83"/>
      <c r="H310" s="83"/>
      <c r="I310" s="108"/>
      <c r="J310" s="85"/>
      <c r="K310" s="137">
        <f t="shared" ref="K310:M313" si="50">K311</f>
        <v>12354.9</v>
      </c>
      <c r="L310" s="137">
        <f t="shared" si="50"/>
        <v>996.2</v>
      </c>
      <c r="M310" s="137">
        <v>13351.1</v>
      </c>
      <c r="N310" s="172"/>
    </row>
    <row r="311" spans="1:14" s="138" customFormat="1" ht="18.75" customHeight="1" x14ac:dyDescent="0.35">
      <c r="A311" s="133"/>
      <c r="B311" s="107" t="s">
        <v>322</v>
      </c>
      <c r="C311" s="134" t="s">
        <v>403</v>
      </c>
      <c r="D311" s="135" t="s">
        <v>60</v>
      </c>
      <c r="E311" s="135" t="s">
        <v>34</v>
      </c>
      <c r="F311" s="82"/>
      <c r="G311" s="83"/>
      <c r="H311" s="83"/>
      <c r="I311" s="108"/>
      <c r="J311" s="85"/>
      <c r="K311" s="137">
        <f t="shared" ref="K311:M312" si="51">K312</f>
        <v>12354.9</v>
      </c>
      <c r="L311" s="137">
        <f t="shared" si="51"/>
        <v>996.2</v>
      </c>
      <c r="M311" s="137">
        <v>13351.1</v>
      </c>
      <c r="N311" s="172"/>
    </row>
    <row r="312" spans="1:14" s="138" customFormat="1" ht="78.75" customHeight="1" x14ac:dyDescent="0.35">
      <c r="A312" s="133"/>
      <c r="B312" s="145" t="s">
        <v>321</v>
      </c>
      <c r="C312" s="134" t="s">
        <v>403</v>
      </c>
      <c r="D312" s="135" t="s">
        <v>60</v>
      </c>
      <c r="E312" s="135" t="s">
        <v>34</v>
      </c>
      <c r="F312" s="82" t="s">
        <v>99</v>
      </c>
      <c r="G312" s="83" t="s">
        <v>37</v>
      </c>
      <c r="H312" s="83" t="s">
        <v>38</v>
      </c>
      <c r="I312" s="108" t="s">
        <v>39</v>
      </c>
      <c r="J312" s="85"/>
      <c r="K312" s="137">
        <f t="shared" si="51"/>
        <v>12354.9</v>
      </c>
      <c r="L312" s="137">
        <f t="shared" si="51"/>
        <v>996.2</v>
      </c>
      <c r="M312" s="137">
        <v>13351.1</v>
      </c>
      <c r="N312" s="172"/>
    </row>
    <row r="313" spans="1:14" s="138" customFormat="1" ht="56.25" customHeight="1" x14ac:dyDescent="0.35">
      <c r="A313" s="133"/>
      <c r="B313" s="102" t="s">
        <v>323</v>
      </c>
      <c r="C313" s="134" t="s">
        <v>403</v>
      </c>
      <c r="D313" s="135" t="s">
        <v>60</v>
      </c>
      <c r="E313" s="135" t="s">
        <v>34</v>
      </c>
      <c r="F313" s="82" t="s">
        <v>99</v>
      </c>
      <c r="G313" s="83" t="s">
        <v>40</v>
      </c>
      <c r="H313" s="83" t="s">
        <v>38</v>
      </c>
      <c r="I313" s="108" t="s">
        <v>39</v>
      </c>
      <c r="J313" s="85"/>
      <c r="K313" s="137">
        <f t="shared" si="50"/>
        <v>12354.9</v>
      </c>
      <c r="L313" s="137">
        <f t="shared" si="50"/>
        <v>996.2</v>
      </c>
      <c r="M313" s="137">
        <v>13351.1</v>
      </c>
      <c r="N313" s="172"/>
    </row>
    <row r="314" spans="1:14" s="138" customFormat="1" ht="56.25" customHeight="1" x14ac:dyDescent="0.35">
      <c r="A314" s="133"/>
      <c r="B314" s="102" t="s">
        <v>360</v>
      </c>
      <c r="C314" s="134" t="s">
        <v>403</v>
      </c>
      <c r="D314" s="135" t="s">
        <v>60</v>
      </c>
      <c r="E314" s="135" t="s">
        <v>34</v>
      </c>
      <c r="F314" s="82" t="s">
        <v>99</v>
      </c>
      <c r="G314" s="83" t="s">
        <v>40</v>
      </c>
      <c r="H314" s="83" t="s">
        <v>32</v>
      </c>
      <c r="I314" s="108" t="s">
        <v>39</v>
      </c>
      <c r="J314" s="85"/>
      <c r="K314" s="137">
        <f>K317+K316</f>
        <v>12354.9</v>
      </c>
      <c r="L314" s="137">
        <f t="shared" ref="L314:M314" si="52">L317+L316</f>
        <v>996.2</v>
      </c>
      <c r="M314" s="137">
        <v>13351.1</v>
      </c>
      <c r="N314" s="172"/>
    </row>
    <row r="315" spans="1:14" s="138" customFormat="1" ht="72" customHeight="1" x14ac:dyDescent="0.35">
      <c r="A315" s="133"/>
      <c r="B315" s="102" t="s">
        <v>551</v>
      </c>
      <c r="C315" s="134" t="s">
        <v>403</v>
      </c>
      <c r="D315" s="135" t="s">
        <v>60</v>
      </c>
      <c r="E315" s="135" t="s">
        <v>34</v>
      </c>
      <c r="F315" s="82" t="s">
        <v>99</v>
      </c>
      <c r="G315" s="83" t="s">
        <v>40</v>
      </c>
      <c r="H315" s="83" t="s">
        <v>32</v>
      </c>
      <c r="I315" s="108" t="s">
        <v>550</v>
      </c>
      <c r="J315" s="85"/>
      <c r="K315" s="137">
        <f>K316</f>
        <v>0</v>
      </c>
      <c r="L315" s="137">
        <f>L316</f>
        <v>996.2</v>
      </c>
      <c r="M315" s="137">
        <v>996.2</v>
      </c>
      <c r="N315" s="172"/>
    </row>
    <row r="316" spans="1:14" s="138" customFormat="1" ht="56.25" customHeight="1" x14ac:dyDescent="0.35">
      <c r="A316" s="133"/>
      <c r="B316" s="102" t="s">
        <v>198</v>
      </c>
      <c r="C316" s="134" t="s">
        <v>403</v>
      </c>
      <c r="D316" s="135" t="s">
        <v>60</v>
      </c>
      <c r="E316" s="135" t="s">
        <v>34</v>
      </c>
      <c r="F316" s="82" t="s">
        <v>99</v>
      </c>
      <c r="G316" s="83" t="s">
        <v>40</v>
      </c>
      <c r="H316" s="83" t="s">
        <v>32</v>
      </c>
      <c r="I316" s="108" t="s">
        <v>550</v>
      </c>
      <c r="J316" s="85" t="s">
        <v>199</v>
      </c>
      <c r="K316" s="137">
        <v>0</v>
      </c>
      <c r="L316" s="26">
        <f>M316-K316</f>
        <v>996.2</v>
      </c>
      <c r="M316" s="137">
        <v>996.2</v>
      </c>
      <c r="N316" s="172"/>
    </row>
    <row r="317" spans="1:14" s="138" customFormat="1" ht="75" customHeight="1" x14ac:dyDescent="0.35">
      <c r="A317" s="133"/>
      <c r="B317" s="102" t="s">
        <v>482</v>
      </c>
      <c r="C317" s="134" t="s">
        <v>403</v>
      </c>
      <c r="D317" s="135" t="s">
        <v>60</v>
      </c>
      <c r="E317" s="135" t="s">
        <v>34</v>
      </c>
      <c r="F317" s="82" t="s">
        <v>99</v>
      </c>
      <c r="G317" s="83" t="s">
        <v>40</v>
      </c>
      <c r="H317" s="83" t="s">
        <v>32</v>
      </c>
      <c r="I317" s="108" t="s">
        <v>404</v>
      </c>
      <c r="J317" s="85"/>
      <c r="K317" s="137">
        <f t="shared" ref="K317:M317" si="53">K318</f>
        <v>12354.9</v>
      </c>
      <c r="L317" s="137">
        <f t="shared" si="53"/>
        <v>0</v>
      </c>
      <c r="M317" s="137">
        <v>12354.9</v>
      </c>
      <c r="N317" s="172"/>
    </row>
    <row r="318" spans="1:14" s="138" customFormat="1" ht="56.25" customHeight="1" x14ac:dyDescent="0.35">
      <c r="A318" s="133"/>
      <c r="B318" s="102" t="s">
        <v>198</v>
      </c>
      <c r="C318" s="134" t="s">
        <v>403</v>
      </c>
      <c r="D318" s="135" t="s">
        <v>60</v>
      </c>
      <c r="E318" s="135" t="s">
        <v>34</v>
      </c>
      <c r="F318" s="82" t="s">
        <v>99</v>
      </c>
      <c r="G318" s="83" t="s">
        <v>40</v>
      </c>
      <c r="H318" s="83" t="s">
        <v>32</v>
      </c>
      <c r="I318" s="108" t="s">
        <v>404</v>
      </c>
      <c r="J318" s="85" t="s">
        <v>199</v>
      </c>
      <c r="K318" s="137">
        <v>12354.9</v>
      </c>
      <c r="L318" s="26">
        <f>M318-K318</f>
        <v>0</v>
      </c>
      <c r="M318" s="137">
        <v>12354.9</v>
      </c>
      <c r="N318" s="172"/>
    </row>
    <row r="319" spans="1:14" s="138" customFormat="1" ht="18.75" customHeight="1" x14ac:dyDescent="0.35">
      <c r="A319" s="133"/>
      <c r="B319" s="81" t="s">
        <v>174</v>
      </c>
      <c r="C319" s="134" t="s">
        <v>403</v>
      </c>
      <c r="D319" s="135" t="s">
        <v>219</v>
      </c>
      <c r="E319" s="135"/>
      <c r="F319" s="82"/>
      <c r="G319" s="83"/>
      <c r="H319" s="83"/>
      <c r="I319" s="108"/>
      <c r="J319" s="85"/>
      <c r="K319" s="137">
        <f>K328+K320+K334</f>
        <v>131095.79999999999</v>
      </c>
      <c r="L319" s="137">
        <f>L328+L320+L334</f>
        <v>0</v>
      </c>
      <c r="M319" s="137">
        <v>131095.79999999999</v>
      </c>
      <c r="N319" s="172"/>
    </row>
    <row r="320" spans="1:14" s="138" customFormat="1" ht="18.75" customHeight="1" x14ac:dyDescent="0.35">
      <c r="A320" s="133"/>
      <c r="B320" s="81" t="s">
        <v>176</v>
      </c>
      <c r="C320" s="134" t="s">
        <v>403</v>
      </c>
      <c r="D320" s="135" t="s">
        <v>219</v>
      </c>
      <c r="E320" s="135" t="s">
        <v>32</v>
      </c>
      <c r="F320" s="82"/>
      <c r="G320" s="83"/>
      <c r="H320" s="83"/>
      <c r="I320" s="84"/>
      <c r="J320" s="85"/>
      <c r="K320" s="137">
        <f t="shared" ref="K320:M324" si="54">K321</f>
        <v>130330.4</v>
      </c>
      <c r="L320" s="137">
        <f t="shared" si="54"/>
        <v>0</v>
      </c>
      <c r="M320" s="137">
        <v>130330.4</v>
      </c>
      <c r="N320" s="172"/>
    </row>
    <row r="321" spans="1:14" s="138" customFormat="1" ht="56.25" customHeight="1" x14ac:dyDescent="0.35">
      <c r="A321" s="133"/>
      <c r="B321" s="81" t="s">
        <v>415</v>
      </c>
      <c r="C321" s="134" t="s">
        <v>403</v>
      </c>
      <c r="D321" s="135" t="s">
        <v>219</v>
      </c>
      <c r="E321" s="135" t="s">
        <v>32</v>
      </c>
      <c r="F321" s="82" t="s">
        <v>34</v>
      </c>
      <c r="G321" s="83" t="s">
        <v>37</v>
      </c>
      <c r="H321" s="83" t="s">
        <v>38</v>
      </c>
      <c r="I321" s="84" t="s">
        <v>39</v>
      </c>
      <c r="J321" s="85"/>
      <c r="K321" s="137">
        <f t="shared" si="54"/>
        <v>130330.4</v>
      </c>
      <c r="L321" s="137">
        <f t="shared" si="54"/>
        <v>0</v>
      </c>
      <c r="M321" s="137">
        <v>130330.4</v>
      </c>
      <c r="N321" s="172"/>
    </row>
    <row r="322" spans="1:14" s="138" customFormat="1" ht="36.6" customHeight="1" x14ac:dyDescent="0.35">
      <c r="A322" s="133"/>
      <c r="B322" s="81" t="s">
        <v>201</v>
      </c>
      <c r="C322" s="134" t="s">
        <v>403</v>
      </c>
      <c r="D322" s="135" t="s">
        <v>219</v>
      </c>
      <c r="E322" s="135" t="s">
        <v>32</v>
      </c>
      <c r="F322" s="82" t="s">
        <v>34</v>
      </c>
      <c r="G322" s="83" t="s">
        <v>40</v>
      </c>
      <c r="H322" s="83" t="s">
        <v>38</v>
      </c>
      <c r="I322" s="84" t="s">
        <v>39</v>
      </c>
      <c r="J322" s="85"/>
      <c r="K322" s="137">
        <f t="shared" si="54"/>
        <v>130330.4</v>
      </c>
      <c r="L322" s="137">
        <f t="shared" si="54"/>
        <v>0</v>
      </c>
      <c r="M322" s="137">
        <v>130330.4</v>
      </c>
      <c r="N322" s="172"/>
    </row>
    <row r="323" spans="1:14" s="138" customFormat="1" ht="37.5" customHeight="1" x14ac:dyDescent="0.35">
      <c r="A323" s="133"/>
      <c r="B323" s="81" t="s">
        <v>255</v>
      </c>
      <c r="C323" s="134" t="s">
        <v>403</v>
      </c>
      <c r="D323" s="135" t="s">
        <v>219</v>
      </c>
      <c r="E323" s="135" t="s">
        <v>32</v>
      </c>
      <c r="F323" s="82" t="s">
        <v>34</v>
      </c>
      <c r="G323" s="83" t="s">
        <v>40</v>
      </c>
      <c r="H323" s="83" t="s">
        <v>32</v>
      </c>
      <c r="I323" s="108" t="s">
        <v>39</v>
      </c>
      <c r="J323" s="85"/>
      <c r="K323" s="137">
        <f>K324+K326</f>
        <v>130330.4</v>
      </c>
      <c r="L323" s="137">
        <f>L324+L326</f>
        <v>0</v>
      </c>
      <c r="M323" s="137">
        <v>130330.4</v>
      </c>
      <c r="N323" s="172"/>
    </row>
    <row r="324" spans="1:14" s="138" customFormat="1" ht="37.5" customHeight="1" x14ac:dyDescent="0.35">
      <c r="A324" s="133"/>
      <c r="B324" s="24" t="s">
        <v>203</v>
      </c>
      <c r="C324" s="134" t="s">
        <v>403</v>
      </c>
      <c r="D324" s="135" t="s">
        <v>219</v>
      </c>
      <c r="E324" s="135" t="s">
        <v>32</v>
      </c>
      <c r="F324" s="82" t="s">
        <v>34</v>
      </c>
      <c r="G324" s="83" t="s">
        <v>40</v>
      </c>
      <c r="H324" s="83" t="s">
        <v>32</v>
      </c>
      <c r="I324" s="108" t="s">
        <v>262</v>
      </c>
      <c r="J324" s="85"/>
      <c r="K324" s="137">
        <f t="shared" si="54"/>
        <v>2851.2000000000003</v>
      </c>
      <c r="L324" s="137">
        <f t="shared" si="54"/>
        <v>0</v>
      </c>
      <c r="M324" s="137">
        <v>2851.2000000000003</v>
      </c>
      <c r="N324" s="172"/>
    </row>
    <row r="325" spans="1:14" s="138" customFormat="1" ht="56.25" customHeight="1" x14ac:dyDescent="0.35">
      <c r="A325" s="133"/>
      <c r="B325" s="81" t="s">
        <v>198</v>
      </c>
      <c r="C325" s="134" t="s">
        <v>403</v>
      </c>
      <c r="D325" s="135" t="s">
        <v>219</v>
      </c>
      <c r="E325" s="135" t="s">
        <v>32</v>
      </c>
      <c r="F325" s="82" t="s">
        <v>34</v>
      </c>
      <c r="G325" s="83" t="s">
        <v>40</v>
      </c>
      <c r="H325" s="83" t="s">
        <v>32</v>
      </c>
      <c r="I325" s="108" t="s">
        <v>262</v>
      </c>
      <c r="J325" s="85" t="s">
        <v>199</v>
      </c>
      <c r="K325" s="137">
        <f>2543.4+129.4+178.4</f>
        <v>2851.2000000000003</v>
      </c>
      <c r="L325" s="26">
        <f>M325-K325</f>
        <v>0</v>
      </c>
      <c r="M325" s="137">
        <v>2851.2000000000003</v>
      </c>
      <c r="N325" s="172"/>
    </row>
    <row r="326" spans="1:14" s="138" customFormat="1" ht="108" x14ac:dyDescent="0.35">
      <c r="A326" s="133"/>
      <c r="B326" s="81" t="s">
        <v>484</v>
      </c>
      <c r="C326" s="134" t="s">
        <v>403</v>
      </c>
      <c r="D326" s="135" t="s">
        <v>219</v>
      </c>
      <c r="E326" s="135" t="s">
        <v>32</v>
      </c>
      <c r="F326" s="82" t="s">
        <v>34</v>
      </c>
      <c r="G326" s="83" t="s">
        <v>40</v>
      </c>
      <c r="H326" s="83" t="s">
        <v>32</v>
      </c>
      <c r="I326" s="108" t="s">
        <v>483</v>
      </c>
      <c r="J326" s="85"/>
      <c r="K326" s="303">
        <f>K327</f>
        <v>127479.2</v>
      </c>
      <c r="L326" s="303">
        <f>L327</f>
        <v>0</v>
      </c>
      <c r="M326" s="303">
        <v>127479.2</v>
      </c>
      <c r="N326" s="172"/>
    </row>
    <row r="327" spans="1:14" s="138" customFormat="1" ht="54" x14ac:dyDescent="0.35">
      <c r="A327" s="133"/>
      <c r="B327" s="81" t="s">
        <v>198</v>
      </c>
      <c r="C327" s="134" t="s">
        <v>403</v>
      </c>
      <c r="D327" s="135" t="s">
        <v>219</v>
      </c>
      <c r="E327" s="135" t="s">
        <v>32</v>
      </c>
      <c r="F327" s="82" t="s">
        <v>34</v>
      </c>
      <c r="G327" s="83" t="s">
        <v>40</v>
      </c>
      <c r="H327" s="83" t="s">
        <v>32</v>
      </c>
      <c r="I327" s="108" t="s">
        <v>483</v>
      </c>
      <c r="J327" s="85" t="s">
        <v>199</v>
      </c>
      <c r="K327" s="303">
        <f>98157.2+28442+880</f>
        <v>127479.2</v>
      </c>
      <c r="L327" s="26">
        <f>M327-K327</f>
        <v>0</v>
      </c>
      <c r="M327" s="303">
        <v>127479.2</v>
      </c>
      <c r="N327" s="172"/>
    </row>
    <row r="328" spans="1:14" s="138" customFormat="1" ht="18.75" customHeight="1" x14ac:dyDescent="0.35">
      <c r="A328" s="133"/>
      <c r="B328" s="81" t="s">
        <v>178</v>
      </c>
      <c r="C328" s="134" t="s">
        <v>403</v>
      </c>
      <c r="D328" s="135" t="s">
        <v>219</v>
      </c>
      <c r="E328" s="135" t="s">
        <v>34</v>
      </c>
      <c r="F328" s="82"/>
      <c r="G328" s="83"/>
      <c r="H328" s="83"/>
      <c r="I328" s="108"/>
      <c r="J328" s="85"/>
      <c r="K328" s="137">
        <f t="shared" ref="K328:M332" si="55">K329</f>
        <v>755.40000000000009</v>
      </c>
      <c r="L328" s="137">
        <f t="shared" si="55"/>
        <v>0</v>
      </c>
      <c r="M328" s="137">
        <v>755.40000000000009</v>
      </c>
      <c r="N328" s="172"/>
    </row>
    <row r="329" spans="1:14" s="138" customFormat="1" ht="56.25" customHeight="1" x14ac:dyDescent="0.35">
      <c r="A329" s="133"/>
      <c r="B329" s="81" t="s">
        <v>200</v>
      </c>
      <c r="C329" s="134" t="s">
        <v>403</v>
      </c>
      <c r="D329" s="135" t="s">
        <v>219</v>
      </c>
      <c r="E329" s="135" t="s">
        <v>34</v>
      </c>
      <c r="F329" s="82" t="s">
        <v>34</v>
      </c>
      <c r="G329" s="83" t="s">
        <v>37</v>
      </c>
      <c r="H329" s="83" t="s">
        <v>38</v>
      </c>
      <c r="I329" s="84" t="s">
        <v>39</v>
      </c>
      <c r="J329" s="85"/>
      <c r="K329" s="137">
        <f t="shared" si="55"/>
        <v>755.40000000000009</v>
      </c>
      <c r="L329" s="137">
        <f t="shared" si="55"/>
        <v>0</v>
      </c>
      <c r="M329" s="137">
        <v>755.40000000000009</v>
      </c>
      <c r="N329" s="172"/>
    </row>
    <row r="330" spans="1:14" s="138" customFormat="1" ht="37.5" customHeight="1" x14ac:dyDescent="0.35">
      <c r="A330" s="133"/>
      <c r="B330" s="81" t="s">
        <v>201</v>
      </c>
      <c r="C330" s="134" t="s">
        <v>403</v>
      </c>
      <c r="D330" s="135" t="s">
        <v>219</v>
      </c>
      <c r="E330" s="135" t="s">
        <v>34</v>
      </c>
      <c r="F330" s="82" t="s">
        <v>34</v>
      </c>
      <c r="G330" s="83" t="s">
        <v>40</v>
      </c>
      <c r="H330" s="83" t="s">
        <v>38</v>
      </c>
      <c r="I330" s="84" t="s">
        <v>39</v>
      </c>
      <c r="J330" s="85"/>
      <c r="K330" s="137">
        <f t="shared" si="55"/>
        <v>755.40000000000009</v>
      </c>
      <c r="L330" s="137">
        <f t="shared" si="55"/>
        <v>0</v>
      </c>
      <c r="M330" s="137">
        <v>755.40000000000009</v>
      </c>
      <c r="N330" s="172"/>
    </row>
    <row r="331" spans="1:14" s="138" customFormat="1" ht="18.75" customHeight="1" x14ac:dyDescent="0.35">
      <c r="A331" s="133"/>
      <c r="B331" s="81" t="s">
        <v>260</v>
      </c>
      <c r="C331" s="134" t="s">
        <v>403</v>
      </c>
      <c r="D331" s="135" t="s">
        <v>219</v>
      </c>
      <c r="E331" s="135" t="s">
        <v>34</v>
      </c>
      <c r="F331" s="82" t="s">
        <v>34</v>
      </c>
      <c r="G331" s="83" t="s">
        <v>40</v>
      </c>
      <c r="H331" s="83" t="s">
        <v>34</v>
      </c>
      <c r="I331" s="84" t="s">
        <v>39</v>
      </c>
      <c r="J331" s="85"/>
      <c r="K331" s="137">
        <f t="shared" si="55"/>
        <v>755.40000000000009</v>
      </c>
      <c r="L331" s="137">
        <f t="shared" si="55"/>
        <v>0</v>
      </c>
      <c r="M331" s="137">
        <v>755.40000000000009</v>
      </c>
      <c r="N331" s="172"/>
    </row>
    <row r="332" spans="1:14" s="138" customFormat="1" ht="37.5" customHeight="1" x14ac:dyDescent="0.35">
      <c r="A332" s="133"/>
      <c r="B332" s="81" t="s">
        <v>203</v>
      </c>
      <c r="C332" s="134" t="s">
        <v>403</v>
      </c>
      <c r="D332" s="135" t="s">
        <v>219</v>
      </c>
      <c r="E332" s="135" t="s">
        <v>34</v>
      </c>
      <c r="F332" s="82" t="s">
        <v>34</v>
      </c>
      <c r="G332" s="83" t="s">
        <v>40</v>
      </c>
      <c r="H332" s="83" t="s">
        <v>34</v>
      </c>
      <c r="I332" s="84" t="s">
        <v>262</v>
      </c>
      <c r="J332" s="85"/>
      <c r="K332" s="137">
        <f t="shared" si="55"/>
        <v>755.40000000000009</v>
      </c>
      <c r="L332" s="137">
        <f t="shared" si="55"/>
        <v>0</v>
      </c>
      <c r="M332" s="137">
        <v>755.40000000000009</v>
      </c>
      <c r="N332" s="172"/>
    </row>
    <row r="333" spans="1:14" s="138" customFormat="1" ht="56.25" customHeight="1" x14ac:dyDescent="0.35">
      <c r="A333" s="133"/>
      <c r="B333" s="81" t="s">
        <v>198</v>
      </c>
      <c r="C333" s="134" t="s">
        <v>403</v>
      </c>
      <c r="D333" s="135" t="s">
        <v>219</v>
      </c>
      <c r="E333" s="135" t="s">
        <v>34</v>
      </c>
      <c r="F333" s="82" t="s">
        <v>34</v>
      </c>
      <c r="G333" s="83" t="s">
        <v>40</v>
      </c>
      <c r="H333" s="83" t="s">
        <v>34</v>
      </c>
      <c r="I333" s="84" t="s">
        <v>262</v>
      </c>
      <c r="J333" s="85" t="s">
        <v>199</v>
      </c>
      <c r="K333" s="210">
        <f>127.3+82.8+197.4+168.1+179.8</f>
        <v>755.40000000000009</v>
      </c>
      <c r="L333" s="26">
        <f>M333-K333</f>
        <v>0</v>
      </c>
      <c r="M333" s="210">
        <v>755.40000000000009</v>
      </c>
      <c r="N333" s="172"/>
    </row>
    <row r="334" spans="1:14" s="138" customFormat="1" ht="36" x14ac:dyDescent="0.35">
      <c r="A334" s="133"/>
      <c r="B334" s="24" t="s">
        <v>523</v>
      </c>
      <c r="C334" s="134" t="s">
        <v>403</v>
      </c>
      <c r="D334" s="10" t="s">
        <v>219</v>
      </c>
      <c r="E334" s="10" t="s">
        <v>60</v>
      </c>
      <c r="F334" s="82"/>
      <c r="G334" s="83"/>
      <c r="H334" s="83"/>
      <c r="I334" s="84"/>
      <c r="J334" s="85"/>
      <c r="K334" s="290">
        <f t="shared" ref="K334:M338" si="56">K335</f>
        <v>10</v>
      </c>
      <c r="L334" s="290">
        <f t="shared" si="56"/>
        <v>0</v>
      </c>
      <c r="M334" s="290">
        <v>10</v>
      </c>
      <c r="N334" s="172"/>
    </row>
    <row r="335" spans="1:14" s="138" customFormat="1" ht="56.25" customHeight="1" x14ac:dyDescent="0.35">
      <c r="A335" s="133"/>
      <c r="B335" s="107" t="s">
        <v>220</v>
      </c>
      <c r="C335" s="134" t="s">
        <v>403</v>
      </c>
      <c r="D335" s="10" t="s">
        <v>219</v>
      </c>
      <c r="E335" s="10" t="s">
        <v>60</v>
      </c>
      <c r="F335" s="95" t="s">
        <v>221</v>
      </c>
      <c r="G335" s="83" t="s">
        <v>37</v>
      </c>
      <c r="H335" s="83" t="s">
        <v>38</v>
      </c>
      <c r="I335" s="84" t="s">
        <v>39</v>
      </c>
      <c r="J335" s="85"/>
      <c r="K335" s="290">
        <f t="shared" si="56"/>
        <v>10</v>
      </c>
      <c r="L335" s="290">
        <f t="shared" si="56"/>
        <v>0</v>
      </c>
      <c r="M335" s="290">
        <v>10</v>
      </c>
      <c r="N335" s="172"/>
    </row>
    <row r="336" spans="1:14" s="138" customFormat="1" ht="36" x14ac:dyDescent="0.35">
      <c r="A336" s="133"/>
      <c r="B336" s="81" t="s">
        <v>224</v>
      </c>
      <c r="C336" s="134" t="s">
        <v>403</v>
      </c>
      <c r="D336" s="10" t="s">
        <v>219</v>
      </c>
      <c r="E336" s="10" t="s">
        <v>60</v>
      </c>
      <c r="F336" s="95" t="s">
        <v>221</v>
      </c>
      <c r="G336" s="83" t="s">
        <v>84</v>
      </c>
      <c r="H336" s="83" t="s">
        <v>38</v>
      </c>
      <c r="I336" s="84" t="s">
        <v>39</v>
      </c>
      <c r="J336" s="85"/>
      <c r="K336" s="290">
        <f t="shared" si="56"/>
        <v>10</v>
      </c>
      <c r="L336" s="290">
        <f t="shared" si="56"/>
        <v>0</v>
      </c>
      <c r="M336" s="290">
        <v>10</v>
      </c>
      <c r="N336" s="172"/>
    </row>
    <row r="337" spans="1:14" s="138" customFormat="1" ht="56.25" customHeight="1" x14ac:dyDescent="0.35">
      <c r="A337" s="133"/>
      <c r="B337" s="81" t="s">
        <v>290</v>
      </c>
      <c r="C337" s="134" t="s">
        <v>403</v>
      </c>
      <c r="D337" s="10" t="s">
        <v>219</v>
      </c>
      <c r="E337" s="10" t="s">
        <v>60</v>
      </c>
      <c r="F337" s="95" t="s">
        <v>221</v>
      </c>
      <c r="G337" s="83" t="s">
        <v>84</v>
      </c>
      <c r="H337" s="83" t="s">
        <v>32</v>
      </c>
      <c r="I337" s="84" t="s">
        <v>39</v>
      </c>
      <c r="J337" s="85"/>
      <c r="K337" s="290">
        <f t="shared" si="56"/>
        <v>10</v>
      </c>
      <c r="L337" s="290">
        <f t="shared" si="56"/>
        <v>0</v>
      </c>
      <c r="M337" s="290">
        <v>10</v>
      </c>
      <c r="N337" s="172"/>
    </row>
    <row r="338" spans="1:14" s="138" customFormat="1" ht="36" x14ac:dyDescent="0.35">
      <c r="A338" s="133"/>
      <c r="B338" s="24" t="s">
        <v>525</v>
      </c>
      <c r="C338" s="134" t="s">
        <v>403</v>
      </c>
      <c r="D338" s="10" t="s">
        <v>219</v>
      </c>
      <c r="E338" s="10" t="s">
        <v>60</v>
      </c>
      <c r="F338" s="95" t="s">
        <v>221</v>
      </c>
      <c r="G338" s="83" t="s">
        <v>84</v>
      </c>
      <c r="H338" s="83" t="s">
        <v>32</v>
      </c>
      <c r="I338" s="84" t="s">
        <v>524</v>
      </c>
      <c r="J338" s="85"/>
      <c r="K338" s="290">
        <f t="shared" si="56"/>
        <v>10</v>
      </c>
      <c r="L338" s="290">
        <f t="shared" si="56"/>
        <v>0</v>
      </c>
      <c r="M338" s="290">
        <v>10</v>
      </c>
      <c r="N338" s="172"/>
    </row>
    <row r="339" spans="1:14" s="138" customFormat="1" ht="56.25" customHeight="1" x14ac:dyDescent="0.35">
      <c r="A339" s="133"/>
      <c r="B339" s="24" t="s">
        <v>50</v>
      </c>
      <c r="C339" s="134" t="s">
        <v>403</v>
      </c>
      <c r="D339" s="10" t="s">
        <v>219</v>
      </c>
      <c r="E339" s="10" t="s">
        <v>60</v>
      </c>
      <c r="F339" s="95" t="s">
        <v>221</v>
      </c>
      <c r="G339" s="83" t="s">
        <v>84</v>
      </c>
      <c r="H339" s="83" t="s">
        <v>32</v>
      </c>
      <c r="I339" s="84" t="s">
        <v>524</v>
      </c>
      <c r="J339" s="85" t="s">
        <v>51</v>
      </c>
      <c r="K339" s="557">
        <v>10</v>
      </c>
      <c r="L339" s="26">
        <f>M339-K339</f>
        <v>0</v>
      </c>
      <c r="M339" s="557">
        <v>10</v>
      </c>
      <c r="N339" s="172"/>
    </row>
    <row r="340" spans="1:14" s="149" customFormat="1" ht="18.75" customHeight="1" x14ac:dyDescent="0.35">
      <c r="A340" s="146"/>
      <c r="B340" s="147" t="s">
        <v>114</v>
      </c>
      <c r="C340" s="148" t="s">
        <v>403</v>
      </c>
      <c r="D340" s="106" t="s">
        <v>99</v>
      </c>
      <c r="E340" s="135"/>
      <c r="F340" s="103"/>
      <c r="G340" s="104"/>
      <c r="H340" s="104"/>
      <c r="I340" s="105"/>
      <c r="J340" s="106"/>
      <c r="K340" s="191">
        <f t="shared" ref="K340:M343" si="57">K341</f>
        <v>48897.8</v>
      </c>
      <c r="L340" s="191">
        <f t="shared" si="57"/>
        <v>0</v>
      </c>
      <c r="M340" s="191">
        <v>48897.8</v>
      </c>
    </row>
    <row r="341" spans="1:14" s="149" customFormat="1" ht="18.75" customHeight="1" x14ac:dyDescent="0.35">
      <c r="A341" s="146"/>
      <c r="B341" s="102" t="s">
        <v>188</v>
      </c>
      <c r="C341" s="148" t="s">
        <v>403</v>
      </c>
      <c r="D341" s="106" t="s">
        <v>99</v>
      </c>
      <c r="E341" s="106" t="s">
        <v>47</v>
      </c>
      <c r="F341" s="103"/>
      <c r="G341" s="104"/>
      <c r="H341" s="104"/>
      <c r="I341" s="105"/>
      <c r="J341" s="106"/>
      <c r="K341" s="191">
        <f t="shared" si="57"/>
        <v>48897.8</v>
      </c>
      <c r="L341" s="191">
        <f t="shared" si="57"/>
        <v>0</v>
      </c>
      <c r="M341" s="191">
        <v>48897.8</v>
      </c>
    </row>
    <row r="342" spans="1:14" s="149" customFormat="1" ht="56.25" customHeight="1" x14ac:dyDescent="0.35">
      <c r="A342" s="146"/>
      <c r="B342" s="150" t="s">
        <v>225</v>
      </c>
      <c r="C342" s="148" t="s">
        <v>403</v>
      </c>
      <c r="D342" s="106" t="s">
        <v>99</v>
      </c>
      <c r="E342" s="106" t="s">
        <v>47</v>
      </c>
      <c r="F342" s="103" t="s">
        <v>74</v>
      </c>
      <c r="G342" s="104" t="s">
        <v>37</v>
      </c>
      <c r="H342" s="104" t="s">
        <v>38</v>
      </c>
      <c r="I342" s="105" t="s">
        <v>39</v>
      </c>
      <c r="J342" s="106"/>
      <c r="K342" s="191">
        <f t="shared" si="57"/>
        <v>48897.8</v>
      </c>
      <c r="L342" s="191">
        <f t="shared" si="57"/>
        <v>0</v>
      </c>
      <c r="M342" s="191">
        <v>48897.8</v>
      </c>
    </row>
    <row r="343" spans="1:14" s="149" customFormat="1" ht="37.5" customHeight="1" x14ac:dyDescent="0.35">
      <c r="A343" s="146"/>
      <c r="B343" s="102" t="s">
        <v>328</v>
      </c>
      <c r="C343" s="148" t="s">
        <v>403</v>
      </c>
      <c r="D343" s="106" t="s">
        <v>99</v>
      </c>
      <c r="E343" s="106" t="s">
        <v>47</v>
      </c>
      <c r="F343" s="103" t="s">
        <v>74</v>
      </c>
      <c r="G343" s="104" t="s">
        <v>40</v>
      </c>
      <c r="H343" s="104" t="s">
        <v>38</v>
      </c>
      <c r="I343" s="105" t="s">
        <v>39</v>
      </c>
      <c r="J343" s="106"/>
      <c r="K343" s="191">
        <f t="shared" si="57"/>
        <v>48897.8</v>
      </c>
      <c r="L343" s="191">
        <f t="shared" si="57"/>
        <v>0</v>
      </c>
      <c r="M343" s="191">
        <v>48897.8</v>
      </c>
    </row>
    <row r="344" spans="1:14" s="151" customFormat="1" ht="93.75" customHeight="1" x14ac:dyDescent="0.35">
      <c r="A344" s="146"/>
      <c r="B344" s="102" t="s">
        <v>289</v>
      </c>
      <c r="C344" s="148" t="s">
        <v>403</v>
      </c>
      <c r="D344" s="106" t="s">
        <v>99</v>
      </c>
      <c r="E344" s="106" t="s">
        <v>47</v>
      </c>
      <c r="F344" s="103" t="s">
        <v>74</v>
      </c>
      <c r="G344" s="104" t="s">
        <v>40</v>
      </c>
      <c r="H344" s="104" t="s">
        <v>34</v>
      </c>
      <c r="I344" s="105" t="s">
        <v>39</v>
      </c>
      <c r="J344" s="106"/>
      <c r="K344" s="191">
        <f>K345+K347</f>
        <v>48897.8</v>
      </c>
      <c r="L344" s="191">
        <f>L345+L347</f>
        <v>0</v>
      </c>
      <c r="M344" s="191">
        <v>48897.8</v>
      </c>
    </row>
    <row r="345" spans="1:14" s="138" customFormat="1" ht="110.25" customHeight="1" x14ac:dyDescent="0.35">
      <c r="A345" s="133"/>
      <c r="B345" s="107" t="s">
        <v>405</v>
      </c>
      <c r="C345" s="134" t="s">
        <v>403</v>
      </c>
      <c r="D345" s="135" t="s">
        <v>99</v>
      </c>
      <c r="E345" s="135" t="s">
        <v>47</v>
      </c>
      <c r="F345" s="82" t="s">
        <v>74</v>
      </c>
      <c r="G345" s="83" t="s">
        <v>40</v>
      </c>
      <c r="H345" s="83" t="s">
        <v>34</v>
      </c>
      <c r="I345" s="108" t="s">
        <v>406</v>
      </c>
      <c r="J345" s="85"/>
      <c r="K345" s="137">
        <f t="shared" ref="K345:M345" si="58">K346</f>
        <v>40756</v>
      </c>
      <c r="L345" s="137">
        <f t="shared" si="58"/>
        <v>0</v>
      </c>
      <c r="M345" s="137">
        <v>40756</v>
      </c>
      <c r="N345" s="172"/>
    </row>
    <row r="346" spans="1:14" s="138" customFormat="1" ht="56.25" customHeight="1" x14ac:dyDescent="0.35">
      <c r="A346" s="133"/>
      <c r="B346" s="107" t="s">
        <v>198</v>
      </c>
      <c r="C346" s="134" t="s">
        <v>403</v>
      </c>
      <c r="D346" s="135" t="s">
        <v>99</v>
      </c>
      <c r="E346" s="135" t="s">
        <v>47</v>
      </c>
      <c r="F346" s="82" t="s">
        <v>74</v>
      </c>
      <c r="G346" s="83" t="s">
        <v>40</v>
      </c>
      <c r="H346" s="83" t="s">
        <v>34</v>
      </c>
      <c r="I346" s="108" t="s">
        <v>406</v>
      </c>
      <c r="J346" s="85" t="s">
        <v>199</v>
      </c>
      <c r="K346" s="137">
        <f>48897.8-8141.8</f>
        <v>40756</v>
      </c>
      <c r="L346" s="26">
        <f>M346-K346</f>
        <v>0</v>
      </c>
      <c r="M346" s="137">
        <v>40756</v>
      </c>
      <c r="N346" s="172"/>
    </row>
    <row r="347" spans="1:14" s="138" customFormat="1" ht="110.4" customHeight="1" x14ac:dyDescent="0.35">
      <c r="A347" s="133"/>
      <c r="B347" s="107" t="s">
        <v>405</v>
      </c>
      <c r="C347" s="134" t="s">
        <v>403</v>
      </c>
      <c r="D347" s="135" t="s">
        <v>99</v>
      </c>
      <c r="E347" s="135" t="s">
        <v>47</v>
      </c>
      <c r="F347" s="82" t="s">
        <v>74</v>
      </c>
      <c r="G347" s="83" t="s">
        <v>40</v>
      </c>
      <c r="H347" s="83" t="s">
        <v>34</v>
      </c>
      <c r="I347" s="108" t="s">
        <v>544</v>
      </c>
      <c r="J347" s="85"/>
      <c r="K347" s="303">
        <f>K348</f>
        <v>8141.8</v>
      </c>
      <c r="L347" s="303">
        <f>L348</f>
        <v>0</v>
      </c>
      <c r="M347" s="303">
        <v>8141.8</v>
      </c>
      <c r="N347" s="172"/>
    </row>
    <row r="348" spans="1:14" s="138" customFormat="1" ht="56.25" customHeight="1" x14ac:dyDescent="0.35">
      <c r="A348" s="133"/>
      <c r="B348" s="107" t="s">
        <v>198</v>
      </c>
      <c r="C348" s="134" t="s">
        <v>403</v>
      </c>
      <c r="D348" s="135" t="s">
        <v>99</v>
      </c>
      <c r="E348" s="135" t="s">
        <v>47</v>
      </c>
      <c r="F348" s="82" t="s">
        <v>74</v>
      </c>
      <c r="G348" s="83" t="s">
        <v>40</v>
      </c>
      <c r="H348" s="83" t="s">
        <v>34</v>
      </c>
      <c r="I348" s="108" t="s">
        <v>544</v>
      </c>
      <c r="J348" s="85" t="s">
        <v>199</v>
      </c>
      <c r="K348" s="137">
        <v>8141.8</v>
      </c>
      <c r="L348" s="26">
        <f>M348-K348</f>
        <v>0</v>
      </c>
      <c r="M348" s="137">
        <v>8141.8</v>
      </c>
      <c r="N348" s="172"/>
    </row>
    <row r="349" spans="1:14" s="138" customFormat="1" ht="18" x14ac:dyDescent="0.35">
      <c r="A349" s="133"/>
      <c r="B349" s="30" t="s">
        <v>309</v>
      </c>
      <c r="C349" s="134" t="s">
        <v>403</v>
      </c>
      <c r="D349" s="135" t="s">
        <v>62</v>
      </c>
      <c r="E349" s="135"/>
      <c r="F349" s="82"/>
      <c r="G349" s="83"/>
      <c r="H349" s="83"/>
      <c r="I349" s="108"/>
      <c r="J349" s="85"/>
      <c r="K349" s="137">
        <f t="shared" ref="K349:M354" si="59">K350</f>
        <v>86.4</v>
      </c>
      <c r="L349" s="137">
        <f t="shared" si="59"/>
        <v>0</v>
      </c>
      <c r="M349" s="137">
        <v>86.4</v>
      </c>
      <c r="N349" s="172"/>
    </row>
    <row r="350" spans="1:14" s="138" customFormat="1" ht="18" x14ac:dyDescent="0.35">
      <c r="A350" s="133"/>
      <c r="B350" s="107" t="s">
        <v>349</v>
      </c>
      <c r="C350" s="134" t="s">
        <v>403</v>
      </c>
      <c r="D350" s="135" t="s">
        <v>62</v>
      </c>
      <c r="E350" s="135" t="s">
        <v>32</v>
      </c>
      <c r="F350" s="82"/>
      <c r="G350" s="83"/>
      <c r="H350" s="83"/>
      <c r="I350" s="108"/>
      <c r="J350" s="85"/>
      <c r="K350" s="137">
        <f t="shared" si="59"/>
        <v>86.4</v>
      </c>
      <c r="L350" s="137">
        <f t="shared" si="59"/>
        <v>0</v>
      </c>
      <c r="M350" s="137">
        <v>86.4</v>
      </c>
      <c r="N350" s="172"/>
    </row>
    <row r="351" spans="1:14" s="138" customFormat="1" ht="54" x14ac:dyDescent="0.35">
      <c r="A351" s="133"/>
      <c r="B351" s="107" t="s">
        <v>212</v>
      </c>
      <c r="C351" s="134" t="s">
        <v>403</v>
      </c>
      <c r="D351" s="135" t="s">
        <v>62</v>
      </c>
      <c r="E351" s="135" t="s">
        <v>32</v>
      </c>
      <c r="F351" s="82" t="s">
        <v>47</v>
      </c>
      <c r="G351" s="83" t="s">
        <v>37</v>
      </c>
      <c r="H351" s="83" t="s">
        <v>38</v>
      </c>
      <c r="I351" s="108" t="s">
        <v>39</v>
      </c>
      <c r="J351" s="85"/>
      <c r="K351" s="137">
        <f t="shared" si="59"/>
        <v>86.4</v>
      </c>
      <c r="L351" s="137">
        <f t="shared" si="59"/>
        <v>0</v>
      </c>
      <c r="M351" s="137">
        <v>86.4</v>
      </c>
      <c r="N351" s="172"/>
    </row>
    <row r="352" spans="1:14" s="138" customFormat="1" ht="36" x14ac:dyDescent="0.35">
      <c r="A352" s="133"/>
      <c r="B352" s="107" t="s">
        <v>328</v>
      </c>
      <c r="C352" s="134" t="s">
        <v>403</v>
      </c>
      <c r="D352" s="135" t="s">
        <v>62</v>
      </c>
      <c r="E352" s="135" t="s">
        <v>32</v>
      </c>
      <c r="F352" s="82" t="s">
        <v>47</v>
      </c>
      <c r="G352" s="83" t="s">
        <v>26</v>
      </c>
      <c r="H352" s="83" t="s">
        <v>38</v>
      </c>
      <c r="I352" s="108" t="s">
        <v>39</v>
      </c>
      <c r="J352" s="85"/>
      <c r="K352" s="137">
        <f t="shared" si="59"/>
        <v>86.4</v>
      </c>
      <c r="L352" s="137">
        <f t="shared" si="59"/>
        <v>0</v>
      </c>
      <c r="M352" s="137">
        <v>86.4</v>
      </c>
      <c r="N352" s="172"/>
    </row>
    <row r="353" spans="1:15" s="138" customFormat="1" ht="72" x14ac:dyDescent="0.35">
      <c r="A353" s="133"/>
      <c r="B353" s="107" t="s">
        <v>399</v>
      </c>
      <c r="C353" s="134" t="s">
        <v>403</v>
      </c>
      <c r="D353" s="135" t="s">
        <v>62</v>
      </c>
      <c r="E353" s="135" t="s">
        <v>32</v>
      </c>
      <c r="F353" s="82" t="s">
        <v>47</v>
      </c>
      <c r="G353" s="83" t="s">
        <v>26</v>
      </c>
      <c r="H353" s="83" t="s">
        <v>58</v>
      </c>
      <c r="I353" s="108" t="s">
        <v>39</v>
      </c>
      <c r="J353" s="85"/>
      <c r="K353" s="137">
        <f t="shared" si="59"/>
        <v>86.4</v>
      </c>
      <c r="L353" s="137">
        <f t="shared" si="59"/>
        <v>0</v>
      </c>
      <c r="M353" s="137">
        <v>86.4</v>
      </c>
      <c r="N353" s="172"/>
    </row>
    <row r="354" spans="1:15" s="138" customFormat="1" ht="54" x14ac:dyDescent="0.35">
      <c r="A354" s="133"/>
      <c r="B354" s="107" t="s">
        <v>214</v>
      </c>
      <c r="C354" s="134" t="s">
        <v>403</v>
      </c>
      <c r="D354" s="135" t="s">
        <v>62</v>
      </c>
      <c r="E354" s="135" t="s">
        <v>32</v>
      </c>
      <c r="F354" s="82" t="s">
        <v>47</v>
      </c>
      <c r="G354" s="83" t="s">
        <v>26</v>
      </c>
      <c r="H354" s="83" t="s">
        <v>58</v>
      </c>
      <c r="I354" s="108" t="s">
        <v>281</v>
      </c>
      <c r="J354" s="85"/>
      <c r="K354" s="137">
        <f t="shared" si="59"/>
        <v>86.4</v>
      </c>
      <c r="L354" s="137">
        <f t="shared" si="59"/>
        <v>0</v>
      </c>
      <c r="M354" s="137">
        <v>86.4</v>
      </c>
      <c r="N354" s="172"/>
    </row>
    <row r="355" spans="1:15" s="138" customFormat="1" ht="54" x14ac:dyDescent="0.35">
      <c r="A355" s="133"/>
      <c r="B355" s="107" t="s">
        <v>198</v>
      </c>
      <c r="C355" s="134" t="s">
        <v>403</v>
      </c>
      <c r="D355" s="135" t="s">
        <v>62</v>
      </c>
      <c r="E355" s="135" t="s">
        <v>32</v>
      </c>
      <c r="F355" s="82" t="s">
        <v>47</v>
      </c>
      <c r="G355" s="83" t="s">
        <v>26</v>
      </c>
      <c r="H355" s="83" t="s">
        <v>58</v>
      </c>
      <c r="I355" s="108" t="s">
        <v>281</v>
      </c>
      <c r="J355" s="540" t="s">
        <v>199</v>
      </c>
      <c r="K355" s="137">
        <v>86.4</v>
      </c>
      <c r="L355" s="26">
        <f>M355-K355</f>
        <v>0</v>
      </c>
      <c r="M355" s="137">
        <v>86.4</v>
      </c>
      <c r="N355" s="172"/>
    </row>
    <row r="356" spans="1:15" s="138" customFormat="1" ht="18" customHeight="1" x14ac:dyDescent="0.35">
      <c r="A356" s="133"/>
      <c r="B356" s="107"/>
      <c r="C356" s="167"/>
      <c r="D356" s="168"/>
      <c r="E356" s="168"/>
      <c r="F356" s="169"/>
      <c r="G356" s="170"/>
      <c r="H356" s="170"/>
      <c r="I356" s="171"/>
      <c r="J356" s="168"/>
      <c r="K356" s="137"/>
      <c r="L356" s="137"/>
      <c r="M356" s="137"/>
    </row>
    <row r="357" spans="1:15" s="121" customFormat="1" ht="52.2" customHeight="1" x14ac:dyDescent="0.3">
      <c r="A357" s="116">
        <v>5</v>
      </c>
      <c r="B357" s="18" t="s">
        <v>6</v>
      </c>
      <c r="C357" s="19" t="s">
        <v>407</v>
      </c>
      <c r="D357" s="20"/>
      <c r="E357" s="20"/>
      <c r="F357" s="21"/>
      <c r="G357" s="22"/>
      <c r="H357" s="22"/>
      <c r="I357" s="23"/>
      <c r="J357" s="20"/>
      <c r="K357" s="40">
        <f>K371+K505+K358</f>
        <v>1120701</v>
      </c>
      <c r="L357" s="40">
        <f>L371+L505+L358</f>
        <v>5754.6999999999989</v>
      </c>
      <c r="M357" s="40">
        <v>1126455.7000000002</v>
      </c>
      <c r="N357" s="152"/>
      <c r="O357" s="152"/>
    </row>
    <row r="358" spans="1:15" s="121" customFormat="1" ht="24.75" customHeight="1" x14ac:dyDescent="0.35">
      <c r="A358" s="116"/>
      <c r="B358" s="257" t="s">
        <v>31</v>
      </c>
      <c r="C358" s="265" t="s">
        <v>407</v>
      </c>
      <c r="D358" s="258" t="s">
        <v>32</v>
      </c>
      <c r="E358" s="78"/>
      <c r="F358" s="266"/>
      <c r="G358" s="88"/>
      <c r="H358" s="88"/>
      <c r="I358" s="89"/>
      <c r="J358" s="78"/>
      <c r="K358" s="224">
        <f t="shared" ref="K358:M359" si="60">K359</f>
        <v>303.7</v>
      </c>
      <c r="L358" s="224">
        <f t="shared" si="60"/>
        <v>0</v>
      </c>
      <c r="M358" s="224">
        <v>303.7</v>
      </c>
      <c r="N358" s="152"/>
      <c r="O358" s="152"/>
    </row>
    <row r="359" spans="1:15" s="121" customFormat="1" ht="27" customHeight="1" x14ac:dyDescent="0.35">
      <c r="A359" s="116"/>
      <c r="B359" s="257" t="s">
        <v>65</v>
      </c>
      <c r="C359" s="267" t="s">
        <v>407</v>
      </c>
      <c r="D359" s="258" t="s">
        <v>32</v>
      </c>
      <c r="E359" s="258" t="s">
        <v>66</v>
      </c>
      <c r="F359" s="266"/>
      <c r="G359" s="88"/>
      <c r="H359" s="88"/>
      <c r="I359" s="89"/>
      <c r="J359" s="78"/>
      <c r="K359" s="224">
        <f t="shared" si="60"/>
        <v>303.7</v>
      </c>
      <c r="L359" s="224">
        <f t="shared" si="60"/>
        <v>0</v>
      </c>
      <c r="M359" s="224">
        <v>303.7</v>
      </c>
      <c r="N359" s="152"/>
      <c r="O359" s="152"/>
    </row>
    <row r="360" spans="1:15" s="121" customFormat="1" ht="52.2" customHeight="1" x14ac:dyDescent="0.35">
      <c r="A360" s="116"/>
      <c r="B360" s="257" t="s">
        <v>200</v>
      </c>
      <c r="C360" s="265" t="s">
        <v>407</v>
      </c>
      <c r="D360" s="258" t="s">
        <v>32</v>
      </c>
      <c r="E360" s="258" t="s">
        <v>66</v>
      </c>
      <c r="F360" s="564" t="s">
        <v>34</v>
      </c>
      <c r="G360" s="565" t="s">
        <v>37</v>
      </c>
      <c r="H360" s="565" t="s">
        <v>38</v>
      </c>
      <c r="I360" s="566" t="s">
        <v>39</v>
      </c>
      <c r="J360" s="258"/>
      <c r="K360" s="224">
        <f>K361</f>
        <v>303.7</v>
      </c>
      <c r="L360" s="224">
        <f>L361</f>
        <v>0</v>
      </c>
      <c r="M360" s="224">
        <v>303.7</v>
      </c>
      <c r="N360" s="152"/>
      <c r="O360" s="152"/>
    </row>
    <row r="361" spans="1:15" s="121" customFormat="1" ht="52.2" customHeight="1" x14ac:dyDescent="0.35">
      <c r="A361" s="116"/>
      <c r="B361" s="238" t="s">
        <v>207</v>
      </c>
      <c r="C361" s="265" t="s">
        <v>407</v>
      </c>
      <c r="D361" s="258" t="s">
        <v>32</v>
      </c>
      <c r="E361" s="258" t="s">
        <v>66</v>
      </c>
      <c r="F361" s="564" t="s">
        <v>34</v>
      </c>
      <c r="G361" s="565" t="s">
        <v>25</v>
      </c>
      <c r="H361" s="565" t="s">
        <v>38</v>
      </c>
      <c r="I361" s="566" t="s">
        <v>39</v>
      </c>
      <c r="J361" s="258"/>
      <c r="K361" s="224">
        <f>K362+K365+K368</f>
        <v>303.7</v>
      </c>
      <c r="L361" s="224">
        <f>L362+L365+L368</f>
        <v>0</v>
      </c>
      <c r="M361" s="224">
        <v>303.7</v>
      </c>
      <c r="N361" s="152"/>
      <c r="O361" s="152"/>
    </row>
    <row r="362" spans="1:15" s="121" customFormat="1" ht="36" customHeight="1" x14ac:dyDescent="0.35">
      <c r="A362" s="116"/>
      <c r="B362" s="257" t="s">
        <v>340</v>
      </c>
      <c r="C362" s="265" t="s">
        <v>407</v>
      </c>
      <c r="D362" s="258" t="s">
        <v>32</v>
      </c>
      <c r="E362" s="258" t="s">
        <v>66</v>
      </c>
      <c r="F362" s="564" t="s">
        <v>34</v>
      </c>
      <c r="G362" s="565" t="s">
        <v>25</v>
      </c>
      <c r="H362" s="565" t="s">
        <v>58</v>
      </c>
      <c r="I362" s="566" t="s">
        <v>39</v>
      </c>
      <c r="J362" s="258"/>
      <c r="K362" s="224">
        <f t="shared" ref="K362:M362" si="61">K363</f>
        <v>173.9</v>
      </c>
      <c r="L362" s="224">
        <f t="shared" si="61"/>
        <v>0</v>
      </c>
      <c r="M362" s="224">
        <v>173.9</v>
      </c>
      <c r="N362" s="152"/>
      <c r="O362" s="152"/>
    </row>
    <row r="363" spans="1:15" s="121" customFormat="1" ht="52.2" customHeight="1" x14ac:dyDescent="0.35">
      <c r="A363" s="116"/>
      <c r="B363" s="238" t="s">
        <v>446</v>
      </c>
      <c r="C363" s="267" t="s">
        <v>407</v>
      </c>
      <c r="D363" s="258" t="s">
        <v>32</v>
      </c>
      <c r="E363" s="258" t="s">
        <v>66</v>
      </c>
      <c r="F363" s="564" t="s">
        <v>34</v>
      </c>
      <c r="G363" s="565" t="s">
        <v>25</v>
      </c>
      <c r="H363" s="565" t="s">
        <v>58</v>
      </c>
      <c r="I363" s="566" t="s">
        <v>100</v>
      </c>
      <c r="J363" s="258"/>
      <c r="K363" s="224">
        <f>K364</f>
        <v>173.9</v>
      </c>
      <c r="L363" s="224">
        <f>L364</f>
        <v>0</v>
      </c>
      <c r="M363" s="224">
        <v>173.9</v>
      </c>
      <c r="N363" s="152"/>
      <c r="O363" s="152"/>
    </row>
    <row r="364" spans="1:15" s="121" customFormat="1" ht="52.2" customHeight="1" x14ac:dyDescent="0.35">
      <c r="A364" s="116"/>
      <c r="B364" s="238" t="s">
        <v>50</v>
      </c>
      <c r="C364" s="267" t="s">
        <v>407</v>
      </c>
      <c r="D364" s="258" t="s">
        <v>32</v>
      </c>
      <c r="E364" s="258" t="s">
        <v>66</v>
      </c>
      <c r="F364" s="564" t="s">
        <v>34</v>
      </c>
      <c r="G364" s="565" t="s">
        <v>25</v>
      </c>
      <c r="H364" s="565" t="s">
        <v>58</v>
      </c>
      <c r="I364" s="566" t="s">
        <v>100</v>
      </c>
      <c r="J364" s="258" t="s">
        <v>51</v>
      </c>
      <c r="K364" s="224">
        <v>173.9</v>
      </c>
      <c r="L364" s="26">
        <f>M364-K364</f>
        <v>0</v>
      </c>
      <c r="M364" s="224">
        <v>173.9</v>
      </c>
      <c r="N364" s="152"/>
      <c r="O364" s="152"/>
    </row>
    <row r="365" spans="1:15" s="121" customFormat="1" ht="33.75" customHeight="1" x14ac:dyDescent="0.35">
      <c r="A365" s="116"/>
      <c r="B365" s="238" t="s">
        <v>441</v>
      </c>
      <c r="C365" s="265" t="s">
        <v>407</v>
      </c>
      <c r="D365" s="258" t="s">
        <v>32</v>
      </c>
      <c r="E365" s="258" t="s">
        <v>66</v>
      </c>
      <c r="F365" s="564" t="s">
        <v>34</v>
      </c>
      <c r="G365" s="565" t="s">
        <v>25</v>
      </c>
      <c r="H365" s="565" t="s">
        <v>47</v>
      </c>
      <c r="I365" s="566" t="s">
        <v>39</v>
      </c>
      <c r="J365" s="258"/>
      <c r="K365" s="224">
        <f t="shared" ref="K365:M366" si="62">K366</f>
        <v>24</v>
      </c>
      <c r="L365" s="224">
        <f t="shared" si="62"/>
        <v>0</v>
      </c>
      <c r="M365" s="224">
        <v>24</v>
      </c>
      <c r="N365" s="152"/>
      <c r="O365" s="152"/>
    </row>
    <row r="366" spans="1:15" s="121" customFormat="1" ht="18.600000000000001" customHeight="1" x14ac:dyDescent="0.35">
      <c r="A366" s="116"/>
      <c r="B366" s="238" t="s">
        <v>447</v>
      </c>
      <c r="C366" s="267" t="s">
        <v>407</v>
      </c>
      <c r="D366" s="258" t="s">
        <v>32</v>
      </c>
      <c r="E366" s="258" t="s">
        <v>66</v>
      </c>
      <c r="F366" s="564" t="s">
        <v>34</v>
      </c>
      <c r="G366" s="565" t="s">
        <v>25</v>
      </c>
      <c r="H366" s="565" t="s">
        <v>47</v>
      </c>
      <c r="I366" s="566" t="s">
        <v>440</v>
      </c>
      <c r="J366" s="258"/>
      <c r="K366" s="224">
        <f t="shared" si="62"/>
        <v>24</v>
      </c>
      <c r="L366" s="224">
        <f t="shared" si="62"/>
        <v>0</v>
      </c>
      <c r="M366" s="224">
        <v>24</v>
      </c>
      <c r="N366" s="152"/>
      <c r="O366" s="152"/>
    </row>
    <row r="367" spans="1:15" s="121" customFormat="1" ht="52.2" customHeight="1" x14ac:dyDescent="0.35">
      <c r="A367" s="116"/>
      <c r="B367" s="238" t="s">
        <v>50</v>
      </c>
      <c r="C367" s="267" t="s">
        <v>407</v>
      </c>
      <c r="D367" s="258" t="s">
        <v>32</v>
      </c>
      <c r="E367" s="258" t="s">
        <v>66</v>
      </c>
      <c r="F367" s="564" t="s">
        <v>34</v>
      </c>
      <c r="G367" s="565" t="s">
        <v>25</v>
      </c>
      <c r="H367" s="565" t="s">
        <v>47</v>
      </c>
      <c r="I367" s="566" t="s">
        <v>440</v>
      </c>
      <c r="J367" s="258" t="s">
        <v>51</v>
      </c>
      <c r="K367" s="224">
        <v>24</v>
      </c>
      <c r="L367" s="26">
        <f>M367-K367</f>
        <v>0</v>
      </c>
      <c r="M367" s="224">
        <v>24</v>
      </c>
      <c r="N367" s="152"/>
      <c r="O367" s="152"/>
    </row>
    <row r="368" spans="1:15" s="121" customFormat="1" ht="37.5" customHeight="1" x14ac:dyDescent="0.35">
      <c r="A368" s="116"/>
      <c r="B368" s="238" t="s">
        <v>445</v>
      </c>
      <c r="C368" s="267" t="s">
        <v>407</v>
      </c>
      <c r="D368" s="258" t="s">
        <v>32</v>
      </c>
      <c r="E368" s="258" t="s">
        <v>66</v>
      </c>
      <c r="F368" s="564" t="s">
        <v>34</v>
      </c>
      <c r="G368" s="565" t="s">
        <v>25</v>
      </c>
      <c r="H368" s="565" t="s">
        <v>60</v>
      </c>
      <c r="I368" s="498" t="s">
        <v>39</v>
      </c>
      <c r="J368" s="76"/>
      <c r="K368" s="224">
        <f t="shared" ref="K368:M368" si="63">K369</f>
        <v>105.8</v>
      </c>
      <c r="L368" s="224">
        <f t="shared" si="63"/>
        <v>0</v>
      </c>
      <c r="M368" s="224">
        <v>105.8</v>
      </c>
      <c r="N368" s="152"/>
      <c r="O368" s="152"/>
    </row>
    <row r="369" spans="1:15" s="121" customFormat="1" ht="34.950000000000003" customHeight="1" x14ac:dyDescent="0.35">
      <c r="A369" s="116"/>
      <c r="B369" s="238" t="s">
        <v>122</v>
      </c>
      <c r="C369" s="267" t="s">
        <v>407</v>
      </c>
      <c r="D369" s="258" t="s">
        <v>32</v>
      </c>
      <c r="E369" s="258" t="s">
        <v>66</v>
      </c>
      <c r="F369" s="564" t="s">
        <v>34</v>
      </c>
      <c r="G369" s="565" t="s">
        <v>25</v>
      </c>
      <c r="H369" s="565" t="s">
        <v>60</v>
      </c>
      <c r="I369" s="498" t="s">
        <v>85</v>
      </c>
      <c r="J369" s="76"/>
      <c r="K369" s="224">
        <f>K370</f>
        <v>105.8</v>
      </c>
      <c r="L369" s="224">
        <f>L370</f>
        <v>0</v>
      </c>
      <c r="M369" s="224">
        <v>105.8</v>
      </c>
      <c r="N369" s="152"/>
      <c r="O369" s="152"/>
    </row>
    <row r="370" spans="1:15" s="121" customFormat="1" ht="52.2" customHeight="1" x14ac:dyDescent="0.35">
      <c r="A370" s="116"/>
      <c r="B370" s="238" t="s">
        <v>50</v>
      </c>
      <c r="C370" s="267" t="s">
        <v>407</v>
      </c>
      <c r="D370" s="258" t="s">
        <v>32</v>
      </c>
      <c r="E370" s="258" t="s">
        <v>66</v>
      </c>
      <c r="F370" s="564" t="s">
        <v>34</v>
      </c>
      <c r="G370" s="565" t="s">
        <v>25</v>
      </c>
      <c r="H370" s="565" t="s">
        <v>60</v>
      </c>
      <c r="I370" s="498" t="s">
        <v>85</v>
      </c>
      <c r="J370" s="76" t="s">
        <v>51</v>
      </c>
      <c r="K370" s="224">
        <v>105.8</v>
      </c>
      <c r="L370" s="26">
        <f>M370-K370</f>
        <v>0</v>
      </c>
      <c r="M370" s="224">
        <v>105.8</v>
      </c>
      <c r="N370" s="152"/>
      <c r="O370" s="152"/>
    </row>
    <row r="371" spans="1:15" s="122" customFormat="1" ht="18" customHeight="1" x14ac:dyDescent="0.35">
      <c r="A371" s="11"/>
      <c r="B371" s="24" t="s">
        <v>174</v>
      </c>
      <c r="C371" s="25" t="s">
        <v>407</v>
      </c>
      <c r="D371" s="10" t="s">
        <v>219</v>
      </c>
      <c r="E371" s="10"/>
      <c r="F371" s="571"/>
      <c r="G371" s="572"/>
      <c r="H371" s="572"/>
      <c r="I371" s="573"/>
      <c r="J371" s="10"/>
      <c r="K371" s="26">
        <f>K372+K398+K482+K453+K474</f>
        <v>1114944.8</v>
      </c>
      <c r="L371" s="26">
        <f>L372+L398+L482+L453+L474</f>
        <v>5754.6999999999989</v>
      </c>
      <c r="M371" s="26">
        <v>1120699.5000000002</v>
      </c>
      <c r="N371" s="153"/>
      <c r="O371" s="153"/>
    </row>
    <row r="372" spans="1:15" s="121" customFormat="1" ht="18" customHeight="1" x14ac:dyDescent="0.35">
      <c r="A372" s="11"/>
      <c r="B372" s="24" t="s">
        <v>176</v>
      </c>
      <c r="C372" s="25" t="s">
        <v>407</v>
      </c>
      <c r="D372" s="10" t="s">
        <v>219</v>
      </c>
      <c r="E372" s="10" t="s">
        <v>32</v>
      </c>
      <c r="F372" s="571"/>
      <c r="G372" s="572"/>
      <c r="H372" s="572"/>
      <c r="I372" s="573"/>
      <c r="J372" s="10"/>
      <c r="K372" s="26">
        <f>K373+K388+K393</f>
        <v>334271.10000000009</v>
      </c>
      <c r="L372" s="26">
        <f>L373+L388+L393</f>
        <v>1461.9000000000005</v>
      </c>
      <c r="M372" s="26">
        <v>335733.00000000006</v>
      </c>
    </row>
    <row r="373" spans="1:15" s="121" customFormat="1" ht="54" customHeight="1" x14ac:dyDescent="0.35">
      <c r="A373" s="11"/>
      <c r="B373" s="24" t="s">
        <v>200</v>
      </c>
      <c r="C373" s="25" t="s">
        <v>407</v>
      </c>
      <c r="D373" s="10" t="s">
        <v>219</v>
      </c>
      <c r="E373" s="10" t="s">
        <v>32</v>
      </c>
      <c r="F373" s="571" t="s">
        <v>34</v>
      </c>
      <c r="G373" s="572" t="s">
        <v>37</v>
      </c>
      <c r="H373" s="572" t="s">
        <v>38</v>
      </c>
      <c r="I373" s="573" t="s">
        <v>39</v>
      </c>
      <c r="J373" s="10"/>
      <c r="K373" s="26">
        <f t="shared" ref="K373:M373" si="64">K374</f>
        <v>332901.80000000005</v>
      </c>
      <c r="L373" s="26">
        <f t="shared" si="64"/>
        <v>1461.9000000000005</v>
      </c>
      <c r="M373" s="26">
        <v>334363.7</v>
      </c>
    </row>
    <row r="374" spans="1:15" s="121" customFormat="1" ht="36" customHeight="1" x14ac:dyDescent="0.35">
      <c r="A374" s="11"/>
      <c r="B374" s="24" t="s">
        <v>201</v>
      </c>
      <c r="C374" s="25" t="s">
        <v>407</v>
      </c>
      <c r="D374" s="10" t="s">
        <v>219</v>
      </c>
      <c r="E374" s="10" t="s">
        <v>32</v>
      </c>
      <c r="F374" s="571" t="s">
        <v>34</v>
      </c>
      <c r="G374" s="572" t="s">
        <v>40</v>
      </c>
      <c r="H374" s="572" t="s">
        <v>38</v>
      </c>
      <c r="I374" s="573" t="s">
        <v>39</v>
      </c>
      <c r="J374" s="10"/>
      <c r="K374" s="26">
        <f>K375</f>
        <v>332901.80000000005</v>
      </c>
      <c r="L374" s="26">
        <f>L375</f>
        <v>1461.9000000000005</v>
      </c>
      <c r="M374" s="26">
        <v>334363.7</v>
      </c>
    </row>
    <row r="375" spans="1:15" s="121" customFormat="1" ht="36" customHeight="1" x14ac:dyDescent="0.35">
      <c r="A375" s="11"/>
      <c r="B375" s="24" t="s">
        <v>255</v>
      </c>
      <c r="C375" s="25" t="s">
        <v>407</v>
      </c>
      <c r="D375" s="10" t="s">
        <v>219</v>
      </c>
      <c r="E375" s="10" t="s">
        <v>32</v>
      </c>
      <c r="F375" s="571" t="s">
        <v>34</v>
      </c>
      <c r="G375" s="572" t="s">
        <v>40</v>
      </c>
      <c r="H375" s="572" t="s">
        <v>32</v>
      </c>
      <c r="I375" s="573" t="s">
        <v>39</v>
      </c>
      <c r="J375" s="10"/>
      <c r="K375" s="26">
        <f>K384+K386+K376+K380+K378+K382</f>
        <v>332901.80000000005</v>
      </c>
      <c r="L375" s="26">
        <f>L384+L386+L376+L380+L378+L382</f>
        <v>1461.9000000000005</v>
      </c>
      <c r="M375" s="26">
        <v>334363.7</v>
      </c>
      <c r="N375" s="192"/>
    </row>
    <row r="376" spans="1:15" s="117" customFormat="1" ht="37.5" customHeight="1" x14ac:dyDescent="0.35">
      <c r="A376" s="11"/>
      <c r="B376" s="27" t="s">
        <v>437</v>
      </c>
      <c r="C376" s="25" t="s">
        <v>407</v>
      </c>
      <c r="D376" s="10" t="s">
        <v>219</v>
      </c>
      <c r="E376" s="10" t="s">
        <v>32</v>
      </c>
      <c r="F376" s="571" t="s">
        <v>34</v>
      </c>
      <c r="G376" s="572" t="s">
        <v>40</v>
      </c>
      <c r="H376" s="572" t="s">
        <v>32</v>
      </c>
      <c r="I376" s="573" t="s">
        <v>86</v>
      </c>
      <c r="J376" s="10"/>
      <c r="K376" s="26">
        <f>K377</f>
        <v>89086.2</v>
      </c>
      <c r="L376" s="26">
        <f>L377</f>
        <v>0</v>
      </c>
      <c r="M376" s="26">
        <v>89086.2</v>
      </c>
      <c r="N376" s="193"/>
    </row>
    <row r="377" spans="1:15" s="117" customFormat="1" ht="54" customHeight="1" x14ac:dyDescent="0.35">
      <c r="A377" s="11"/>
      <c r="B377" s="24" t="s">
        <v>71</v>
      </c>
      <c r="C377" s="25" t="s">
        <v>407</v>
      </c>
      <c r="D377" s="10" t="s">
        <v>219</v>
      </c>
      <c r="E377" s="10" t="s">
        <v>32</v>
      </c>
      <c r="F377" s="571" t="s">
        <v>34</v>
      </c>
      <c r="G377" s="572" t="s">
        <v>40</v>
      </c>
      <c r="H377" s="572" t="s">
        <v>32</v>
      </c>
      <c r="I377" s="573" t="s">
        <v>86</v>
      </c>
      <c r="J377" s="10" t="s">
        <v>72</v>
      </c>
      <c r="K377" s="26">
        <f>88539.9+546.3</f>
        <v>89086.2</v>
      </c>
      <c r="L377" s="26">
        <f>M377-K377</f>
        <v>0</v>
      </c>
      <c r="M377" s="26">
        <v>89086.2</v>
      </c>
      <c r="N377" s="193"/>
    </row>
    <row r="378" spans="1:15" s="117" customFormat="1" ht="19.2" customHeight="1" x14ac:dyDescent="0.35">
      <c r="A378" s="11"/>
      <c r="B378" s="24" t="s">
        <v>438</v>
      </c>
      <c r="C378" s="25" t="s">
        <v>407</v>
      </c>
      <c r="D378" s="10" t="s">
        <v>219</v>
      </c>
      <c r="E378" s="10" t="s">
        <v>32</v>
      </c>
      <c r="F378" s="571" t="s">
        <v>34</v>
      </c>
      <c r="G378" s="572" t="s">
        <v>40</v>
      </c>
      <c r="H378" s="572" t="s">
        <v>32</v>
      </c>
      <c r="I378" s="573" t="s">
        <v>376</v>
      </c>
      <c r="J378" s="10"/>
      <c r="K378" s="26">
        <f>K379</f>
        <v>2122.9</v>
      </c>
      <c r="L378" s="26">
        <f>L379</f>
        <v>1461.9000000000005</v>
      </c>
      <c r="M378" s="26">
        <v>3584.8000000000006</v>
      </c>
      <c r="N378" s="193"/>
    </row>
    <row r="379" spans="1:15" s="117" customFormat="1" ht="54" customHeight="1" x14ac:dyDescent="0.35">
      <c r="A379" s="11"/>
      <c r="B379" s="24" t="s">
        <v>71</v>
      </c>
      <c r="C379" s="25" t="s">
        <v>407</v>
      </c>
      <c r="D379" s="10" t="s">
        <v>219</v>
      </c>
      <c r="E379" s="10" t="s">
        <v>32</v>
      </c>
      <c r="F379" s="571" t="s">
        <v>34</v>
      </c>
      <c r="G379" s="572" t="s">
        <v>40</v>
      </c>
      <c r="H379" s="572" t="s">
        <v>32</v>
      </c>
      <c r="I379" s="573" t="s">
        <v>376</v>
      </c>
      <c r="J379" s="10" t="s">
        <v>72</v>
      </c>
      <c r="K379" s="26">
        <v>2122.9</v>
      </c>
      <c r="L379" s="26">
        <f>M379-K379</f>
        <v>1461.9000000000005</v>
      </c>
      <c r="M379" s="26">
        <v>3584.8000000000006</v>
      </c>
      <c r="N379" s="193"/>
    </row>
    <row r="380" spans="1:15" s="121" customFormat="1" ht="54" customHeight="1" x14ac:dyDescent="0.35">
      <c r="A380" s="11"/>
      <c r="B380" s="24" t="s">
        <v>202</v>
      </c>
      <c r="C380" s="25" t="s">
        <v>407</v>
      </c>
      <c r="D380" s="10" t="s">
        <v>219</v>
      </c>
      <c r="E380" s="10" t="s">
        <v>32</v>
      </c>
      <c r="F380" s="571" t="s">
        <v>34</v>
      </c>
      <c r="G380" s="572" t="s">
        <v>40</v>
      </c>
      <c r="H380" s="572" t="s">
        <v>32</v>
      </c>
      <c r="I380" s="573" t="s">
        <v>261</v>
      </c>
      <c r="J380" s="10"/>
      <c r="K380" s="26">
        <f>K381</f>
        <v>26718.2</v>
      </c>
      <c r="L380" s="26">
        <f>L381</f>
        <v>0</v>
      </c>
      <c r="M380" s="26">
        <v>26718.2</v>
      </c>
      <c r="N380" s="192"/>
    </row>
    <row r="381" spans="1:15" s="121" customFormat="1" ht="54" customHeight="1" x14ac:dyDescent="0.35">
      <c r="A381" s="11"/>
      <c r="B381" s="24" t="s">
        <v>71</v>
      </c>
      <c r="C381" s="25" t="s">
        <v>407</v>
      </c>
      <c r="D381" s="10" t="s">
        <v>219</v>
      </c>
      <c r="E381" s="10" t="s">
        <v>32</v>
      </c>
      <c r="F381" s="571" t="s">
        <v>34</v>
      </c>
      <c r="G381" s="572" t="s">
        <v>40</v>
      </c>
      <c r="H381" s="572" t="s">
        <v>32</v>
      </c>
      <c r="I381" s="573" t="s">
        <v>261</v>
      </c>
      <c r="J381" s="10" t="s">
        <v>72</v>
      </c>
      <c r="K381" s="26">
        <v>26718.2</v>
      </c>
      <c r="L381" s="26">
        <f>M381-K381</f>
        <v>0</v>
      </c>
      <c r="M381" s="26">
        <v>26718.2</v>
      </c>
      <c r="N381" s="192"/>
    </row>
    <row r="382" spans="1:15" s="121" customFormat="1" ht="37.200000000000003" customHeight="1" x14ac:dyDescent="0.35">
      <c r="A382" s="11"/>
      <c r="B382" s="24" t="s">
        <v>203</v>
      </c>
      <c r="C382" s="25" t="s">
        <v>407</v>
      </c>
      <c r="D382" s="10" t="s">
        <v>219</v>
      </c>
      <c r="E382" s="10" t="s">
        <v>32</v>
      </c>
      <c r="F382" s="571" t="s">
        <v>34</v>
      </c>
      <c r="G382" s="572" t="s">
        <v>40</v>
      </c>
      <c r="H382" s="572" t="s">
        <v>32</v>
      </c>
      <c r="I382" s="573" t="s">
        <v>262</v>
      </c>
      <c r="J382" s="10"/>
      <c r="K382" s="26">
        <f>K383</f>
        <v>178.9</v>
      </c>
      <c r="L382" s="26">
        <f>L383</f>
        <v>0</v>
      </c>
      <c r="M382" s="26">
        <v>178.9</v>
      </c>
      <c r="N382" s="192"/>
    </row>
    <row r="383" spans="1:15" s="117" customFormat="1" ht="54" customHeight="1" x14ac:dyDescent="0.35">
      <c r="A383" s="11"/>
      <c r="B383" s="24" t="s">
        <v>71</v>
      </c>
      <c r="C383" s="25" t="s">
        <v>407</v>
      </c>
      <c r="D383" s="10" t="s">
        <v>219</v>
      </c>
      <c r="E383" s="10" t="s">
        <v>32</v>
      </c>
      <c r="F383" s="571" t="s">
        <v>34</v>
      </c>
      <c r="G383" s="572" t="s">
        <v>40</v>
      </c>
      <c r="H383" s="572" t="s">
        <v>32</v>
      </c>
      <c r="I383" s="573" t="s">
        <v>262</v>
      </c>
      <c r="J383" s="10" t="s">
        <v>72</v>
      </c>
      <c r="K383" s="26">
        <v>178.9</v>
      </c>
      <c r="L383" s="26">
        <f>M383-K383</f>
        <v>0</v>
      </c>
      <c r="M383" s="26">
        <v>178.9</v>
      </c>
      <c r="N383" s="193"/>
    </row>
    <row r="384" spans="1:15" s="121" customFormat="1" ht="178.2" customHeight="1" x14ac:dyDescent="0.35">
      <c r="A384" s="11"/>
      <c r="B384" s="24" t="s">
        <v>256</v>
      </c>
      <c r="C384" s="25" t="s">
        <v>407</v>
      </c>
      <c r="D384" s="10" t="s">
        <v>219</v>
      </c>
      <c r="E384" s="10" t="s">
        <v>32</v>
      </c>
      <c r="F384" s="571" t="s">
        <v>34</v>
      </c>
      <c r="G384" s="572" t="s">
        <v>40</v>
      </c>
      <c r="H384" s="572" t="s">
        <v>32</v>
      </c>
      <c r="I384" s="573" t="s">
        <v>257</v>
      </c>
      <c r="J384" s="10"/>
      <c r="K384" s="26">
        <f>K385</f>
        <v>549.29999999999995</v>
      </c>
      <c r="L384" s="26">
        <f>L385</f>
        <v>0</v>
      </c>
      <c r="M384" s="26">
        <v>549.29999999999995</v>
      </c>
      <c r="N384" s="192"/>
    </row>
    <row r="385" spans="1:13" s="121" customFormat="1" ht="54" customHeight="1" x14ac:dyDescent="0.35">
      <c r="A385" s="11"/>
      <c r="B385" s="24" t="s">
        <v>71</v>
      </c>
      <c r="C385" s="25" t="s">
        <v>407</v>
      </c>
      <c r="D385" s="10" t="s">
        <v>219</v>
      </c>
      <c r="E385" s="10" t="s">
        <v>32</v>
      </c>
      <c r="F385" s="571" t="s">
        <v>34</v>
      </c>
      <c r="G385" s="572" t="s">
        <v>40</v>
      </c>
      <c r="H385" s="572" t="s">
        <v>32</v>
      </c>
      <c r="I385" s="573" t="s">
        <v>257</v>
      </c>
      <c r="J385" s="10" t="s">
        <v>72</v>
      </c>
      <c r="K385" s="26">
        <v>549.29999999999995</v>
      </c>
      <c r="L385" s="26">
        <f>M385-K385</f>
        <v>0</v>
      </c>
      <c r="M385" s="26">
        <v>549.29999999999995</v>
      </c>
    </row>
    <row r="386" spans="1:13" s="121" customFormat="1" ht="104.4" customHeight="1" x14ac:dyDescent="0.35">
      <c r="A386" s="11"/>
      <c r="B386" s="24" t="s">
        <v>334</v>
      </c>
      <c r="C386" s="25" t="s">
        <v>407</v>
      </c>
      <c r="D386" s="10" t="s">
        <v>219</v>
      </c>
      <c r="E386" s="10" t="s">
        <v>32</v>
      </c>
      <c r="F386" s="571" t="s">
        <v>34</v>
      </c>
      <c r="G386" s="572" t="s">
        <v>40</v>
      </c>
      <c r="H386" s="572" t="s">
        <v>32</v>
      </c>
      <c r="I386" s="573" t="s">
        <v>258</v>
      </c>
      <c r="J386" s="10"/>
      <c r="K386" s="26">
        <f>K387</f>
        <v>214246.3</v>
      </c>
      <c r="L386" s="26">
        <f>L387</f>
        <v>0</v>
      </c>
      <c r="M386" s="26">
        <v>214246.3</v>
      </c>
    </row>
    <row r="387" spans="1:13" s="121" customFormat="1" ht="54" customHeight="1" x14ac:dyDescent="0.35">
      <c r="A387" s="11"/>
      <c r="B387" s="24" t="s">
        <v>71</v>
      </c>
      <c r="C387" s="25" t="s">
        <v>407</v>
      </c>
      <c r="D387" s="10" t="s">
        <v>219</v>
      </c>
      <c r="E387" s="10" t="s">
        <v>32</v>
      </c>
      <c r="F387" s="571" t="s">
        <v>34</v>
      </c>
      <c r="G387" s="572" t="s">
        <v>40</v>
      </c>
      <c r="H387" s="572" t="s">
        <v>32</v>
      </c>
      <c r="I387" s="573" t="s">
        <v>258</v>
      </c>
      <c r="J387" s="10" t="s">
        <v>72</v>
      </c>
      <c r="K387" s="26">
        <v>214246.3</v>
      </c>
      <c r="L387" s="26">
        <f>M387-K387</f>
        <v>0</v>
      </c>
      <c r="M387" s="26">
        <v>214246.3</v>
      </c>
    </row>
    <row r="388" spans="1:13" s="117" customFormat="1" ht="54" customHeight="1" x14ac:dyDescent="0.35">
      <c r="A388" s="11"/>
      <c r="B388" s="24" t="s">
        <v>75</v>
      </c>
      <c r="C388" s="25" t="s">
        <v>407</v>
      </c>
      <c r="D388" s="10" t="s">
        <v>219</v>
      </c>
      <c r="E388" s="10" t="s">
        <v>32</v>
      </c>
      <c r="F388" s="571" t="s">
        <v>76</v>
      </c>
      <c r="G388" s="572" t="s">
        <v>37</v>
      </c>
      <c r="H388" s="572" t="s">
        <v>38</v>
      </c>
      <c r="I388" s="573" t="s">
        <v>39</v>
      </c>
      <c r="J388" s="10"/>
      <c r="K388" s="26">
        <f t="shared" ref="K388:M391" si="65">K389</f>
        <v>1315.9</v>
      </c>
      <c r="L388" s="26">
        <f t="shared" si="65"/>
        <v>0</v>
      </c>
      <c r="M388" s="26">
        <v>1315.9</v>
      </c>
    </row>
    <row r="389" spans="1:13" s="121" customFormat="1" ht="38.25" customHeight="1" x14ac:dyDescent="0.35">
      <c r="A389" s="11"/>
      <c r="B389" s="24" t="s">
        <v>120</v>
      </c>
      <c r="C389" s="25" t="s">
        <v>407</v>
      </c>
      <c r="D389" s="10" t="s">
        <v>219</v>
      </c>
      <c r="E389" s="10" t="s">
        <v>32</v>
      </c>
      <c r="F389" s="571" t="s">
        <v>76</v>
      </c>
      <c r="G389" s="572" t="s">
        <v>84</v>
      </c>
      <c r="H389" s="572" t="s">
        <v>38</v>
      </c>
      <c r="I389" s="573" t="s">
        <v>39</v>
      </c>
      <c r="J389" s="10"/>
      <c r="K389" s="26">
        <f t="shared" si="65"/>
        <v>1315.9</v>
      </c>
      <c r="L389" s="26">
        <f t="shared" si="65"/>
        <v>0</v>
      </c>
      <c r="M389" s="26">
        <v>1315.9</v>
      </c>
    </row>
    <row r="390" spans="1:13" s="121" customFormat="1" ht="38.25" customHeight="1" x14ac:dyDescent="0.35">
      <c r="A390" s="11"/>
      <c r="B390" s="24" t="s">
        <v>259</v>
      </c>
      <c r="C390" s="25" t="s">
        <v>407</v>
      </c>
      <c r="D390" s="10" t="s">
        <v>219</v>
      </c>
      <c r="E390" s="10" t="s">
        <v>32</v>
      </c>
      <c r="F390" s="571" t="s">
        <v>76</v>
      </c>
      <c r="G390" s="572" t="s">
        <v>84</v>
      </c>
      <c r="H390" s="572" t="s">
        <v>32</v>
      </c>
      <c r="I390" s="573" t="s">
        <v>39</v>
      </c>
      <c r="J390" s="10"/>
      <c r="K390" s="26">
        <f t="shared" si="65"/>
        <v>1315.9</v>
      </c>
      <c r="L390" s="26">
        <f t="shared" si="65"/>
        <v>0</v>
      </c>
      <c r="M390" s="26">
        <v>1315.9</v>
      </c>
    </row>
    <row r="391" spans="1:13" s="121" customFormat="1" ht="38.25" customHeight="1" x14ac:dyDescent="0.35">
      <c r="A391" s="11"/>
      <c r="B391" s="24" t="s">
        <v>410</v>
      </c>
      <c r="C391" s="25" t="s">
        <v>407</v>
      </c>
      <c r="D391" s="10" t="s">
        <v>219</v>
      </c>
      <c r="E391" s="10" t="s">
        <v>32</v>
      </c>
      <c r="F391" s="571" t="s">
        <v>76</v>
      </c>
      <c r="G391" s="572" t="s">
        <v>84</v>
      </c>
      <c r="H391" s="572" t="s">
        <v>32</v>
      </c>
      <c r="I391" s="573" t="s">
        <v>411</v>
      </c>
      <c r="J391" s="10"/>
      <c r="K391" s="26">
        <f t="shared" si="65"/>
        <v>1315.9</v>
      </c>
      <c r="L391" s="26">
        <f t="shared" si="65"/>
        <v>0</v>
      </c>
      <c r="M391" s="26">
        <v>1315.9</v>
      </c>
    </row>
    <row r="392" spans="1:13" s="121" customFormat="1" ht="38.25" customHeight="1" x14ac:dyDescent="0.35">
      <c r="A392" s="11"/>
      <c r="B392" s="24" t="s">
        <v>71</v>
      </c>
      <c r="C392" s="25" t="s">
        <v>407</v>
      </c>
      <c r="D392" s="10" t="s">
        <v>219</v>
      </c>
      <c r="E392" s="10" t="s">
        <v>32</v>
      </c>
      <c r="F392" s="571" t="s">
        <v>76</v>
      </c>
      <c r="G392" s="572" t="s">
        <v>84</v>
      </c>
      <c r="H392" s="572" t="s">
        <v>32</v>
      </c>
      <c r="I392" s="573" t="s">
        <v>411</v>
      </c>
      <c r="J392" s="10" t="s">
        <v>72</v>
      </c>
      <c r="K392" s="26">
        <v>1315.9</v>
      </c>
      <c r="L392" s="26">
        <f>M392-K392</f>
        <v>0</v>
      </c>
      <c r="M392" s="26">
        <v>1315.9</v>
      </c>
    </row>
    <row r="393" spans="1:13" s="121" customFormat="1" ht="54" customHeight="1" x14ac:dyDescent="0.35">
      <c r="A393" s="11"/>
      <c r="B393" s="24" t="s">
        <v>228</v>
      </c>
      <c r="C393" s="25" t="s">
        <v>407</v>
      </c>
      <c r="D393" s="10" t="s">
        <v>219</v>
      </c>
      <c r="E393" s="10" t="s">
        <v>32</v>
      </c>
      <c r="F393" s="571" t="s">
        <v>229</v>
      </c>
      <c r="G393" s="572" t="s">
        <v>37</v>
      </c>
      <c r="H393" s="572" t="s">
        <v>38</v>
      </c>
      <c r="I393" s="573" t="s">
        <v>39</v>
      </c>
      <c r="J393" s="10"/>
      <c r="K393" s="26">
        <f t="shared" ref="K393:M396" si="66">K394</f>
        <v>53.4</v>
      </c>
      <c r="L393" s="26">
        <f t="shared" si="66"/>
        <v>0</v>
      </c>
      <c r="M393" s="26">
        <v>53.4</v>
      </c>
    </row>
    <row r="394" spans="1:13" s="121" customFormat="1" ht="36" customHeight="1" x14ac:dyDescent="0.35">
      <c r="A394" s="11"/>
      <c r="B394" s="24" t="s">
        <v>328</v>
      </c>
      <c r="C394" s="25" t="s">
        <v>407</v>
      </c>
      <c r="D394" s="10" t="s">
        <v>219</v>
      </c>
      <c r="E394" s="10" t="s">
        <v>32</v>
      </c>
      <c r="F394" s="571" t="s">
        <v>229</v>
      </c>
      <c r="G394" s="572" t="s">
        <v>40</v>
      </c>
      <c r="H394" s="572" t="s">
        <v>38</v>
      </c>
      <c r="I394" s="573" t="s">
        <v>39</v>
      </c>
      <c r="J394" s="10"/>
      <c r="K394" s="26">
        <f t="shared" si="66"/>
        <v>53.4</v>
      </c>
      <c r="L394" s="26">
        <f t="shared" si="66"/>
        <v>0</v>
      </c>
      <c r="M394" s="26">
        <v>53.4</v>
      </c>
    </row>
    <row r="395" spans="1:13" s="121" customFormat="1" ht="72.599999999999994" customHeight="1" x14ac:dyDescent="0.35">
      <c r="A395" s="11"/>
      <c r="B395" s="24" t="s">
        <v>274</v>
      </c>
      <c r="C395" s="25" t="s">
        <v>407</v>
      </c>
      <c r="D395" s="10" t="s">
        <v>219</v>
      </c>
      <c r="E395" s="10" t="s">
        <v>32</v>
      </c>
      <c r="F395" s="571" t="s">
        <v>229</v>
      </c>
      <c r="G395" s="572" t="s">
        <v>40</v>
      </c>
      <c r="H395" s="572" t="s">
        <v>32</v>
      </c>
      <c r="I395" s="573" t="s">
        <v>39</v>
      </c>
      <c r="J395" s="10"/>
      <c r="K395" s="26">
        <f>K396</f>
        <v>53.4</v>
      </c>
      <c r="L395" s="26">
        <f>L396</f>
        <v>0</v>
      </c>
      <c r="M395" s="26">
        <v>53.4</v>
      </c>
    </row>
    <row r="396" spans="1:13" s="121" customFormat="1" ht="36" customHeight="1" x14ac:dyDescent="0.35">
      <c r="A396" s="11"/>
      <c r="B396" s="24" t="s">
        <v>230</v>
      </c>
      <c r="C396" s="25" t="s">
        <v>407</v>
      </c>
      <c r="D396" s="10" t="s">
        <v>219</v>
      </c>
      <c r="E396" s="10" t="s">
        <v>32</v>
      </c>
      <c r="F396" s="571" t="s">
        <v>229</v>
      </c>
      <c r="G396" s="572" t="s">
        <v>40</v>
      </c>
      <c r="H396" s="572" t="s">
        <v>32</v>
      </c>
      <c r="I396" s="573" t="s">
        <v>268</v>
      </c>
      <c r="J396" s="10"/>
      <c r="K396" s="26">
        <f t="shared" si="66"/>
        <v>53.4</v>
      </c>
      <c r="L396" s="26">
        <f t="shared" si="66"/>
        <v>0</v>
      </c>
      <c r="M396" s="26">
        <v>53.4</v>
      </c>
    </row>
    <row r="397" spans="1:13" s="121" customFormat="1" ht="54" customHeight="1" x14ac:dyDescent="0.35">
      <c r="A397" s="11"/>
      <c r="B397" s="24" t="s">
        <v>71</v>
      </c>
      <c r="C397" s="25" t="s">
        <v>407</v>
      </c>
      <c r="D397" s="10" t="s">
        <v>219</v>
      </c>
      <c r="E397" s="10" t="s">
        <v>32</v>
      </c>
      <c r="F397" s="571" t="s">
        <v>229</v>
      </c>
      <c r="G397" s="572" t="s">
        <v>40</v>
      </c>
      <c r="H397" s="572" t="s">
        <v>32</v>
      </c>
      <c r="I397" s="573" t="s">
        <v>268</v>
      </c>
      <c r="J397" s="10" t="s">
        <v>72</v>
      </c>
      <c r="K397" s="26">
        <v>53.4</v>
      </c>
      <c r="L397" s="26">
        <f>M397-K397</f>
        <v>0</v>
      </c>
      <c r="M397" s="26">
        <v>53.4</v>
      </c>
    </row>
    <row r="398" spans="1:13" s="121" customFormat="1" ht="18" customHeight="1" x14ac:dyDescent="0.35">
      <c r="A398" s="11"/>
      <c r="B398" s="24" t="s">
        <v>178</v>
      </c>
      <c r="C398" s="25" t="s">
        <v>407</v>
      </c>
      <c r="D398" s="10" t="s">
        <v>219</v>
      </c>
      <c r="E398" s="10" t="s">
        <v>34</v>
      </c>
      <c r="F398" s="571"/>
      <c r="G398" s="572"/>
      <c r="H398" s="572"/>
      <c r="I398" s="573"/>
      <c r="J398" s="10"/>
      <c r="K398" s="26">
        <f>K399+K447</f>
        <v>639183.69999999995</v>
      </c>
      <c r="L398" s="26">
        <f>L399+L447</f>
        <v>4130.2</v>
      </c>
      <c r="M398" s="26">
        <v>643313.9</v>
      </c>
    </row>
    <row r="399" spans="1:13" s="121" customFormat="1" ht="54" customHeight="1" x14ac:dyDescent="0.35">
      <c r="A399" s="11"/>
      <c r="B399" s="24" t="s">
        <v>200</v>
      </c>
      <c r="C399" s="25" t="s">
        <v>407</v>
      </c>
      <c r="D399" s="10" t="s">
        <v>219</v>
      </c>
      <c r="E399" s="10" t="s">
        <v>34</v>
      </c>
      <c r="F399" s="571" t="s">
        <v>34</v>
      </c>
      <c r="G399" s="572" t="s">
        <v>37</v>
      </c>
      <c r="H399" s="572" t="s">
        <v>38</v>
      </c>
      <c r="I399" s="573" t="s">
        <v>39</v>
      </c>
      <c r="J399" s="10"/>
      <c r="K399" s="26">
        <f>K400+K443</f>
        <v>631929.5</v>
      </c>
      <c r="L399" s="26">
        <f>L400+L443</f>
        <v>4130.2</v>
      </c>
      <c r="M399" s="26">
        <v>636059.70000000007</v>
      </c>
    </row>
    <row r="400" spans="1:13" s="121" customFormat="1" ht="36" customHeight="1" x14ac:dyDescent="0.35">
      <c r="A400" s="11"/>
      <c r="B400" s="24" t="s">
        <v>201</v>
      </c>
      <c r="C400" s="25" t="s">
        <v>407</v>
      </c>
      <c r="D400" s="10" t="s">
        <v>219</v>
      </c>
      <c r="E400" s="10" t="s">
        <v>34</v>
      </c>
      <c r="F400" s="571" t="s">
        <v>34</v>
      </c>
      <c r="G400" s="572" t="s">
        <v>40</v>
      </c>
      <c r="H400" s="572" t="s">
        <v>38</v>
      </c>
      <c r="I400" s="573" t="s">
        <v>39</v>
      </c>
      <c r="J400" s="10"/>
      <c r="K400" s="26">
        <f>K401</f>
        <v>628854.69999999995</v>
      </c>
      <c r="L400" s="26">
        <f>L401</f>
        <v>4130.2</v>
      </c>
      <c r="M400" s="26">
        <v>632984.9</v>
      </c>
    </row>
    <row r="401" spans="1:13" s="121" customFormat="1" ht="18.75" customHeight="1" x14ac:dyDescent="0.35">
      <c r="A401" s="11"/>
      <c r="B401" s="24" t="s">
        <v>260</v>
      </c>
      <c r="C401" s="25" t="s">
        <v>407</v>
      </c>
      <c r="D401" s="10" t="s">
        <v>219</v>
      </c>
      <c r="E401" s="10" t="s">
        <v>34</v>
      </c>
      <c r="F401" s="571" t="s">
        <v>34</v>
      </c>
      <c r="G401" s="572" t="s">
        <v>40</v>
      </c>
      <c r="H401" s="572" t="s">
        <v>34</v>
      </c>
      <c r="I401" s="573" t="s">
        <v>39</v>
      </c>
      <c r="J401" s="10"/>
      <c r="K401" s="26">
        <f>K410+K413+K422+K426+K430+K402+K407+K436+K419+K417+K439+K433</f>
        <v>628854.69999999995</v>
      </c>
      <c r="L401" s="26">
        <f>L410+L413+L422+L426+L430+L402+L407+L436+L419+L417+L439+L433</f>
        <v>4130.2</v>
      </c>
      <c r="M401" s="26">
        <v>632984.9</v>
      </c>
    </row>
    <row r="402" spans="1:13" s="117" customFormat="1" ht="35.25" customHeight="1" x14ac:dyDescent="0.35">
      <c r="A402" s="11"/>
      <c r="B402" s="27" t="s">
        <v>437</v>
      </c>
      <c r="C402" s="25" t="s">
        <v>407</v>
      </c>
      <c r="D402" s="10" t="s">
        <v>219</v>
      </c>
      <c r="E402" s="10" t="s">
        <v>34</v>
      </c>
      <c r="F402" s="571" t="s">
        <v>34</v>
      </c>
      <c r="G402" s="572" t="s">
        <v>40</v>
      </c>
      <c r="H402" s="572" t="s">
        <v>34</v>
      </c>
      <c r="I402" s="573" t="s">
        <v>86</v>
      </c>
      <c r="J402" s="10"/>
      <c r="K402" s="26">
        <f>K405+K406+K404+K403</f>
        <v>68072</v>
      </c>
      <c r="L402" s="26">
        <f>L405+L406+L404+L403</f>
        <v>0</v>
      </c>
      <c r="M402" s="26">
        <v>68072</v>
      </c>
    </row>
    <row r="403" spans="1:13" s="117" customFormat="1" ht="101.4" customHeight="1" x14ac:dyDescent="0.35">
      <c r="A403" s="11"/>
      <c r="B403" s="24" t="s">
        <v>44</v>
      </c>
      <c r="C403" s="25" t="s">
        <v>407</v>
      </c>
      <c r="D403" s="10" t="s">
        <v>219</v>
      </c>
      <c r="E403" s="10" t="s">
        <v>34</v>
      </c>
      <c r="F403" s="571" t="s">
        <v>34</v>
      </c>
      <c r="G403" s="572" t="s">
        <v>40</v>
      </c>
      <c r="H403" s="572" t="s">
        <v>34</v>
      </c>
      <c r="I403" s="573" t="s">
        <v>86</v>
      </c>
      <c r="J403" s="10" t="s">
        <v>45</v>
      </c>
      <c r="K403" s="26">
        <f>319.1+6.4</f>
        <v>325.5</v>
      </c>
      <c r="L403" s="26">
        <f>M403-K403</f>
        <v>0</v>
      </c>
      <c r="M403" s="26">
        <v>325.5</v>
      </c>
    </row>
    <row r="404" spans="1:13" s="117" customFormat="1" ht="56.25" customHeight="1" x14ac:dyDescent="0.35">
      <c r="A404" s="11"/>
      <c r="B404" s="24" t="s">
        <v>50</v>
      </c>
      <c r="C404" s="25" t="s">
        <v>407</v>
      </c>
      <c r="D404" s="10" t="s">
        <v>219</v>
      </c>
      <c r="E404" s="10" t="s">
        <v>34</v>
      </c>
      <c r="F404" s="571" t="s">
        <v>34</v>
      </c>
      <c r="G404" s="572" t="s">
        <v>40</v>
      </c>
      <c r="H404" s="572" t="s">
        <v>34</v>
      </c>
      <c r="I404" s="573" t="s">
        <v>86</v>
      </c>
      <c r="J404" s="10" t="s">
        <v>51</v>
      </c>
      <c r="K404" s="26">
        <v>5512.9</v>
      </c>
      <c r="L404" s="26">
        <f>M404-K404</f>
        <v>0</v>
      </c>
      <c r="M404" s="26">
        <v>5512.9</v>
      </c>
    </row>
    <row r="405" spans="1:13" s="117" customFormat="1" ht="56.25" customHeight="1" x14ac:dyDescent="0.35">
      <c r="A405" s="11"/>
      <c r="B405" s="24" t="s">
        <v>71</v>
      </c>
      <c r="C405" s="25" t="s">
        <v>407</v>
      </c>
      <c r="D405" s="10" t="s">
        <v>219</v>
      </c>
      <c r="E405" s="10" t="s">
        <v>34</v>
      </c>
      <c r="F405" s="571" t="s">
        <v>34</v>
      </c>
      <c r="G405" s="572" t="s">
        <v>40</v>
      </c>
      <c r="H405" s="572" t="s">
        <v>34</v>
      </c>
      <c r="I405" s="573" t="s">
        <v>86</v>
      </c>
      <c r="J405" s="10" t="s">
        <v>72</v>
      </c>
      <c r="K405" s="26">
        <f>61585.5+81.7</f>
        <v>61667.199999999997</v>
      </c>
      <c r="L405" s="26">
        <f>M405-K405</f>
        <v>0</v>
      </c>
      <c r="M405" s="26">
        <v>61667.199999999997</v>
      </c>
    </row>
    <row r="406" spans="1:13" s="117" customFormat="1" ht="18.75" customHeight="1" x14ac:dyDescent="0.35">
      <c r="A406" s="11"/>
      <c r="B406" s="24" t="s">
        <v>52</v>
      </c>
      <c r="C406" s="25" t="s">
        <v>407</v>
      </c>
      <c r="D406" s="10" t="s">
        <v>219</v>
      </c>
      <c r="E406" s="10" t="s">
        <v>34</v>
      </c>
      <c r="F406" s="571" t="s">
        <v>34</v>
      </c>
      <c r="G406" s="572" t="s">
        <v>40</v>
      </c>
      <c r="H406" s="572" t="s">
        <v>34</v>
      </c>
      <c r="I406" s="573" t="s">
        <v>86</v>
      </c>
      <c r="J406" s="10" t="s">
        <v>53</v>
      </c>
      <c r="K406" s="26">
        <v>566.4</v>
      </c>
      <c r="L406" s="26">
        <f>M406-K406</f>
        <v>0</v>
      </c>
      <c r="M406" s="26">
        <v>566.4</v>
      </c>
    </row>
    <row r="407" spans="1:13" s="117" customFormat="1" ht="20.25" customHeight="1" x14ac:dyDescent="0.35">
      <c r="A407" s="11"/>
      <c r="B407" s="24" t="s">
        <v>438</v>
      </c>
      <c r="C407" s="25" t="s">
        <v>407</v>
      </c>
      <c r="D407" s="10" t="s">
        <v>219</v>
      </c>
      <c r="E407" s="10" t="s">
        <v>34</v>
      </c>
      <c r="F407" s="571" t="s">
        <v>34</v>
      </c>
      <c r="G407" s="572" t="s">
        <v>40</v>
      </c>
      <c r="H407" s="572" t="s">
        <v>34</v>
      </c>
      <c r="I407" s="573" t="s">
        <v>376</v>
      </c>
      <c r="J407" s="10"/>
      <c r="K407" s="26">
        <f>K409+K408</f>
        <v>7094.1</v>
      </c>
      <c r="L407" s="26">
        <f>L409+L408</f>
        <v>90.800000000000182</v>
      </c>
      <c r="M407" s="26">
        <v>7184.9000000000005</v>
      </c>
    </row>
    <row r="408" spans="1:13" s="117" customFormat="1" ht="37.950000000000003" customHeight="1" x14ac:dyDescent="0.35">
      <c r="A408" s="11"/>
      <c r="B408" s="24" t="s">
        <v>50</v>
      </c>
      <c r="C408" s="25" t="s">
        <v>407</v>
      </c>
      <c r="D408" s="10" t="s">
        <v>219</v>
      </c>
      <c r="E408" s="10" t="s">
        <v>34</v>
      </c>
      <c r="F408" s="571" t="s">
        <v>34</v>
      </c>
      <c r="G408" s="572" t="s">
        <v>40</v>
      </c>
      <c r="H408" s="572" t="s">
        <v>34</v>
      </c>
      <c r="I408" s="573" t="s">
        <v>376</v>
      </c>
      <c r="J408" s="10" t="s">
        <v>51</v>
      </c>
      <c r="K408" s="26">
        <f>1071-475.2</f>
        <v>595.79999999999995</v>
      </c>
      <c r="L408" s="26">
        <f>M408-K408</f>
        <v>0</v>
      </c>
      <c r="M408" s="26">
        <v>595.79999999999995</v>
      </c>
    </row>
    <row r="409" spans="1:13" s="117" customFormat="1" ht="56.25" customHeight="1" x14ac:dyDescent="0.35">
      <c r="A409" s="11"/>
      <c r="B409" s="24" t="s">
        <v>71</v>
      </c>
      <c r="C409" s="25" t="s">
        <v>407</v>
      </c>
      <c r="D409" s="10" t="s">
        <v>219</v>
      </c>
      <c r="E409" s="10" t="s">
        <v>34</v>
      </c>
      <c r="F409" s="571" t="s">
        <v>34</v>
      </c>
      <c r="G409" s="572" t="s">
        <v>40</v>
      </c>
      <c r="H409" s="572" t="s">
        <v>34</v>
      </c>
      <c r="I409" s="573" t="s">
        <v>376</v>
      </c>
      <c r="J409" s="10" t="s">
        <v>72</v>
      </c>
      <c r="K409" s="26">
        <f>6021.3+249+228</f>
        <v>6498.3</v>
      </c>
      <c r="L409" s="26">
        <f>M409-K409</f>
        <v>90.800000000000182</v>
      </c>
      <c r="M409" s="26">
        <v>6589.1</v>
      </c>
    </row>
    <row r="410" spans="1:13" s="121" customFormat="1" ht="56.25" customHeight="1" x14ac:dyDescent="0.35">
      <c r="A410" s="11"/>
      <c r="B410" s="24" t="s">
        <v>202</v>
      </c>
      <c r="C410" s="25" t="s">
        <v>407</v>
      </c>
      <c r="D410" s="10" t="s">
        <v>219</v>
      </c>
      <c r="E410" s="10" t="s">
        <v>34</v>
      </c>
      <c r="F410" s="571" t="s">
        <v>34</v>
      </c>
      <c r="G410" s="572" t="s">
        <v>40</v>
      </c>
      <c r="H410" s="572" t="s">
        <v>34</v>
      </c>
      <c r="I410" s="573" t="s">
        <v>261</v>
      </c>
      <c r="J410" s="10"/>
      <c r="K410" s="26">
        <f t="shared" ref="K410:L410" si="67">SUM(K411:K412)</f>
        <v>27235.7</v>
      </c>
      <c r="L410" s="26">
        <f t="shared" si="67"/>
        <v>1746</v>
      </c>
      <c r="M410" s="26">
        <v>28981.7</v>
      </c>
    </row>
    <row r="411" spans="1:13" s="121" customFormat="1" ht="56.25" customHeight="1" x14ac:dyDescent="0.35">
      <c r="A411" s="11"/>
      <c r="B411" s="24" t="s">
        <v>50</v>
      </c>
      <c r="C411" s="25" t="s">
        <v>407</v>
      </c>
      <c r="D411" s="10" t="s">
        <v>219</v>
      </c>
      <c r="E411" s="10" t="s">
        <v>34</v>
      </c>
      <c r="F411" s="571" t="s">
        <v>34</v>
      </c>
      <c r="G411" s="572" t="s">
        <v>40</v>
      </c>
      <c r="H411" s="572" t="s">
        <v>34</v>
      </c>
      <c r="I411" s="573" t="s">
        <v>261</v>
      </c>
      <c r="J411" s="10" t="s">
        <v>51</v>
      </c>
      <c r="K411" s="26">
        <v>4061.3</v>
      </c>
      <c r="L411" s="26">
        <f>M411-K411</f>
        <v>0</v>
      </c>
      <c r="M411" s="26">
        <v>4061.3</v>
      </c>
    </row>
    <row r="412" spans="1:13" s="121" customFormat="1" ht="56.25" customHeight="1" x14ac:dyDescent="0.35">
      <c r="A412" s="11"/>
      <c r="B412" s="24" t="s">
        <v>71</v>
      </c>
      <c r="C412" s="25" t="s">
        <v>407</v>
      </c>
      <c r="D412" s="10" t="s">
        <v>219</v>
      </c>
      <c r="E412" s="10" t="s">
        <v>34</v>
      </c>
      <c r="F412" s="571" t="s">
        <v>34</v>
      </c>
      <c r="G412" s="572" t="s">
        <v>40</v>
      </c>
      <c r="H412" s="572" t="s">
        <v>34</v>
      </c>
      <c r="I412" s="573" t="s">
        <v>261</v>
      </c>
      <c r="J412" s="10" t="s">
        <v>72</v>
      </c>
      <c r="K412" s="26">
        <f>23174.4</f>
        <v>23174.400000000001</v>
      </c>
      <c r="L412" s="26">
        <f>M412-K412</f>
        <v>1746</v>
      </c>
      <c r="M412" s="26">
        <v>24920.400000000001</v>
      </c>
    </row>
    <row r="413" spans="1:13" s="121" customFormat="1" ht="37.5" customHeight="1" x14ac:dyDescent="0.35">
      <c r="A413" s="11"/>
      <c r="B413" s="24" t="s">
        <v>203</v>
      </c>
      <c r="C413" s="25" t="s">
        <v>407</v>
      </c>
      <c r="D413" s="10" t="s">
        <v>219</v>
      </c>
      <c r="E413" s="10" t="s">
        <v>34</v>
      </c>
      <c r="F413" s="571" t="s">
        <v>34</v>
      </c>
      <c r="G413" s="572" t="s">
        <v>40</v>
      </c>
      <c r="H413" s="572" t="s">
        <v>34</v>
      </c>
      <c r="I413" s="573" t="s">
        <v>262</v>
      </c>
      <c r="J413" s="10"/>
      <c r="K413" s="26">
        <f>SUM(K414:K416)</f>
        <v>13550.8</v>
      </c>
      <c r="L413" s="26">
        <f>SUM(L414:L416)</f>
        <v>2293.3999999999996</v>
      </c>
      <c r="M413" s="26">
        <v>15844.2</v>
      </c>
    </row>
    <row r="414" spans="1:13" s="121" customFormat="1" ht="56.25" customHeight="1" x14ac:dyDescent="0.35">
      <c r="A414" s="11"/>
      <c r="B414" s="24" t="s">
        <v>50</v>
      </c>
      <c r="C414" s="25" t="s">
        <v>407</v>
      </c>
      <c r="D414" s="10" t="s">
        <v>219</v>
      </c>
      <c r="E414" s="10" t="s">
        <v>34</v>
      </c>
      <c r="F414" s="571" t="s">
        <v>34</v>
      </c>
      <c r="G414" s="572" t="s">
        <v>40</v>
      </c>
      <c r="H414" s="572" t="s">
        <v>34</v>
      </c>
      <c r="I414" s="573" t="s">
        <v>262</v>
      </c>
      <c r="J414" s="10" t="s">
        <v>51</v>
      </c>
      <c r="K414" s="26">
        <v>252.7</v>
      </c>
      <c r="L414" s="26">
        <f>M414-K414</f>
        <v>0</v>
      </c>
      <c r="M414" s="26">
        <v>252.7</v>
      </c>
    </row>
    <row r="415" spans="1:13" s="121" customFormat="1" ht="56.25" customHeight="1" x14ac:dyDescent="0.35">
      <c r="A415" s="11"/>
      <c r="B415" s="107" t="s">
        <v>198</v>
      </c>
      <c r="C415" s="25" t="s">
        <v>407</v>
      </c>
      <c r="D415" s="10" t="s">
        <v>219</v>
      </c>
      <c r="E415" s="10" t="s">
        <v>34</v>
      </c>
      <c r="F415" s="571" t="s">
        <v>34</v>
      </c>
      <c r="G415" s="572" t="s">
        <v>40</v>
      </c>
      <c r="H415" s="572" t="s">
        <v>34</v>
      </c>
      <c r="I415" s="573" t="s">
        <v>262</v>
      </c>
      <c r="J415" s="10" t="s">
        <v>199</v>
      </c>
      <c r="K415" s="26">
        <v>3000</v>
      </c>
      <c r="L415" s="26">
        <f>M415-K415</f>
        <v>2293.3999999999996</v>
      </c>
      <c r="M415" s="26">
        <v>5293.4</v>
      </c>
    </row>
    <row r="416" spans="1:13" s="121" customFormat="1" ht="56.25" customHeight="1" x14ac:dyDescent="0.35">
      <c r="A416" s="11"/>
      <c r="B416" s="24" t="s">
        <v>71</v>
      </c>
      <c r="C416" s="25" t="s">
        <v>407</v>
      </c>
      <c r="D416" s="10" t="s">
        <v>219</v>
      </c>
      <c r="E416" s="10" t="s">
        <v>34</v>
      </c>
      <c r="F416" s="571" t="s">
        <v>34</v>
      </c>
      <c r="G416" s="572" t="s">
        <v>40</v>
      </c>
      <c r="H416" s="572" t="s">
        <v>34</v>
      </c>
      <c r="I416" s="573" t="s">
        <v>262</v>
      </c>
      <c r="J416" s="10" t="s">
        <v>72</v>
      </c>
      <c r="K416" s="26">
        <v>10298.1</v>
      </c>
      <c r="L416" s="26">
        <f>M416-K416</f>
        <v>0</v>
      </c>
      <c r="M416" s="26">
        <v>10298.1</v>
      </c>
    </row>
    <row r="417" spans="1:13" s="121" customFormat="1" ht="56.25" customHeight="1" x14ac:dyDescent="0.35">
      <c r="A417" s="11"/>
      <c r="B417" s="24" t="s">
        <v>508</v>
      </c>
      <c r="C417" s="25" t="s">
        <v>407</v>
      </c>
      <c r="D417" s="10" t="s">
        <v>219</v>
      </c>
      <c r="E417" s="10" t="s">
        <v>34</v>
      </c>
      <c r="F417" s="571" t="s">
        <v>34</v>
      </c>
      <c r="G417" s="572" t="s">
        <v>40</v>
      </c>
      <c r="H417" s="572" t="s">
        <v>34</v>
      </c>
      <c r="I417" s="573" t="s">
        <v>509</v>
      </c>
      <c r="J417" s="10"/>
      <c r="K417" s="26">
        <f>K418</f>
        <v>30</v>
      </c>
      <c r="L417" s="26">
        <f>L418</f>
        <v>0</v>
      </c>
      <c r="M417" s="26">
        <v>30</v>
      </c>
    </row>
    <row r="418" spans="1:13" s="121" customFormat="1" ht="56.25" customHeight="1" x14ac:dyDescent="0.35">
      <c r="A418" s="11"/>
      <c r="B418" s="24" t="s">
        <v>71</v>
      </c>
      <c r="C418" s="25" t="s">
        <v>407</v>
      </c>
      <c r="D418" s="10" t="s">
        <v>219</v>
      </c>
      <c r="E418" s="10" t="s">
        <v>34</v>
      </c>
      <c r="F418" s="571" t="s">
        <v>34</v>
      </c>
      <c r="G418" s="572" t="s">
        <v>40</v>
      </c>
      <c r="H418" s="572" t="s">
        <v>34</v>
      </c>
      <c r="I418" s="573" t="s">
        <v>509</v>
      </c>
      <c r="J418" s="10" t="s">
        <v>72</v>
      </c>
      <c r="K418" s="26">
        <v>30</v>
      </c>
      <c r="L418" s="26">
        <f>M418-K418</f>
        <v>0</v>
      </c>
      <c r="M418" s="26">
        <v>30</v>
      </c>
    </row>
    <row r="419" spans="1:13" s="121" customFormat="1" ht="201" customHeight="1" x14ac:dyDescent="0.35">
      <c r="A419" s="11"/>
      <c r="B419" s="24" t="s">
        <v>554</v>
      </c>
      <c r="C419" s="25" t="s">
        <v>407</v>
      </c>
      <c r="D419" s="10" t="s">
        <v>219</v>
      </c>
      <c r="E419" s="10" t="s">
        <v>34</v>
      </c>
      <c r="F419" s="571" t="s">
        <v>34</v>
      </c>
      <c r="G419" s="572" t="s">
        <v>40</v>
      </c>
      <c r="H419" s="572" t="s">
        <v>34</v>
      </c>
      <c r="I419" s="573" t="s">
        <v>510</v>
      </c>
      <c r="J419" s="10"/>
      <c r="K419" s="26">
        <f>K420+K421</f>
        <v>33409.299999999996</v>
      </c>
      <c r="L419" s="26">
        <f>L420+L421</f>
        <v>0</v>
      </c>
      <c r="M419" s="26">
        <v>33409.299999999996</v>
      </c>
    </row>
    <row r="420" spans="1:13" s="121" customFormat="1" ht="111" customHeight="1" x14ac:dyDescent="0.35">
      <c r="A420" s="11"/>
      <c r="B420" s="24" t="s">
        <v>44</v>
      </c>
      <c r="C420" s="25" t="s">
        <v>407</v>
      </c>
      <c r="D420" s="10" t="s">
        <v>219</v>
      </c>
      <c r="E420" s="10" t="s">
        <v>34</v>
      </c>
      <c r="F420" s="571" t="s">
        <v>34</v>
      </c>
      <c r="G420" s="572" t="s">
        <v>40</v>
      </c>
      <c r="H420" s="572" t="s">
        <v>34</v>
      </c>
      <c r="I420" s="573" t="s">
        <v>510</v>
      </c>
      <c r="J420" s="10" t="s">
        <v>45</v>
      </c>
      <c r="K420" s="26">
        <v>2734.2</v>
      </c>
      <c r="L420" s="26">
        <f>M420-K420</f>
        <v>0</v>
      </c>
      <c r="M420" s="26">
        <v>2734.2</v>
      </c>
    </row>
    <row r="421" spans="1:13" s="121" customFormat="1" ht="56.25" customHeight="1" x14ac:dyDescent="0.35">
      <c r="A421" s="11"/>
      <c r="B421" s="24" t="s">
        <v>71</v>
      </c>
      <c r="C421" s="25" t="s">
        <v>407</v>
      </c>
      <c r="D421" s="10" t="s">
        <v>219</v>
      </c>
      <c r="E421" s="10" t="s">
        <v>34</v>
      </c>
      <c r="F421" s="571" t="s">
        <v>34</v>
      </c>
      <c r="G421" s="572" t="s">
        <v>40</v>
      </c>
      <c r="H421" s="572" t="s">
        <v>34</v>
      </c>
      <c r="I421" s="573" t="s">
        <v>510</v>
      </c>
      <c r="J421" s="10" t="s">
        <v>72</v>
      </c>
      <c r="K421" s="26">
        <v>30675.1</v>
      </c>
      <c r="L421" s="26">
        <f>M421-K421</f>
        <v>0</v>
      </c>
      <c r="M421" s="26">
        <v>30675.1</v>
      </c>
    </row>
    <row r="422" spans="1:13" s="121" customFormat="1" ht="181.2" customHeight="1" x14ac:dyDescent="0.35">
      <c r="A422" s="11"/>
      <c r="B422" s="24" t="s">
        <v>256</v>
      </c>
      <c r="C422" s="25" t="s">
        <v>407</v>
      </c>
      <c r="D422" s="10" t="s">
        <v>219</v>
      </c>
      <c r="E422" s="10" t="s">
        <v>34</v>
      </c>
      <c r="F422" s="571" t="s">
        <v>34</v>
      </c>
      <c r="G422" s="572" t="s">
        <v>40</v>
      </c>
      <c r="H422" s="572" t="s">
        <v>34</v>
      </c>
      <c r="I422" s="573" t="s">
        <v>257</v>
      </c>
      <c r="J422" s="10"/>
      <c r="K422" s="26">
        <f>SUM(K423:K425)</f>
        <v>1595.1</v>
      </c>
      <c r="L422" s="26">
        <f>SUM(L423:L425)</f>
        <v>0</v>
      </c>
      <c r="M422" s="26">
        <v>1595.1</v>
      </c>
    </row>
    <row r="423" spans="1:13" s="121" customFormat="1" ht="112.5" customHeight="1" x14ac:dyDescent="0.35">
      <c r="A423" s="11"/>
      <c r="B423" s="24" t="s">
        <v>44</v>
      </c>
      <c r="C423" s="25" t="s">
        <v>407</v>
      </c>
      <c r="D423" s="10" t="s">
        <v>219</v>
      </c>
      <c r="E423" s="10" t="s">
        <v>34</v>
      </c>
      <c r="F423" s="571" t="s">
        <v>34</v>
      </c>
      <c r="G423" s="572" t="s">
        <v>40</v>
      </c>
      <c r="H423" s="572" t="s">
        <v>34</v>
      </c>
      <c r="I423" s="573" t="s">
        <v>257</v>
      </c>
      <c r="J423" s="10" t="s">
        <v>45</v>
      </c>
      <c r="K423" s="26">
        <v>99.7</v>
      </c>
      <c r="L423" s="26">
        <f>M423-K423</f>
        <v>0</v>
      </c>
      <c r="M423" s="26">
        <v>99.7</v>
      </c>
    </row>
    <row r="424" spans="1:13" s="121" customFormat="1" ht="37.5" customHeight="1" x14ac:dyDescent="0.35">
      <c r="A424" s="11"/>
      <c r="B424" s="24" t="s">
        <v>115</v>
      </c>
      <c r="C424" s="25" t="s">
        <v>407</v>
      </c>
      <c r="D424" s="10" t="s">
        <v>219</v>
      </c>
      <c r="E424" s="10" t="s">
        <v>34</v>
      </c>
      <c r="F424" s="571" t="s">
        <v>34</v>
      </c>
      <c r="G424" s="572" t="s">
        <v>40</v>
      </c>
      <c r="H424" s="572" t="s">
        <v>34</v>
      </c>
      <c r="I424" s="573" t="s">
        <v>257</v>
      </c>
      <c r="J424" s="10" t="s">
        <v>116</v>
      </c>
      <c r="K424" s="26">
        <v>6.6</v>
      </c>
      <c r="L424" s="26">
        <f>M424-K424</f>
        <v>0</v>
      </c>
      <c r="M424" s="26">
        <v>6.6</v>
      </c>
    </row>
    <row r="425" spans="1:13" s="121" customFormat="1" ht="56.25" customHeight="1" x14ac:dyDescent="0.35">
      <c r="A425" s="11"/>
      <c r="B425" s="24" t="s">
        <v>71</v>
      </c>
      <c r="C425" s="25" t="s">
        <v>407</v>
      </c>
      <c r="D425" s="10" t="s">
        <v>219</v>
      </c>
      <c r="E425" s="10" t="s">
        <v>34</v>
      </c>
      <c r="F425" s="571" t="s">
        <v>34</v>
      </c>
      <c r="G425" s="572" t="s">
        <v>40</v>
      </c>
      <c r="H425" s="572" t="s">
        <v>34</v>
      </c>
      <c r="I425" s="573" t="s">
        <v>257</v>
      </c>
      <c r="J425" s="10" t="s">
        <v>72</v>
      </c>
      <c r="K425" s="26">
        <f>1595.1-99.7-6.6</f>
        <v>1488.8</v>
      </c>
      <c r="L425" s="26">
        <f>M425-K425</f>
        <v>0</v>
      </c>
      <c r="M425" s="26">
        <v>1488.8</v>
      </c>
    </row>
    <row r="426" spans="1:13" s="121" customFormat="1" ht="115.5" customHeight="1" x14ac:dyDescent="0.35">
      <c r="A426" s="11"/>
      <c r="B426" s="24" t="s">
        <v>334</v>
      </c>
      <c r="C426" s="25" t="s">
        <v>407</v>
      </c>
      <c r="D426" s="10" t="s">
        <v>219</v>
      </c>
      <c r="E426" s="10" t="s">
        <v>34</v>
      </c>
      <c r="F426" s="571" t="s">
        <v>34</v>
      </c>
      <c r="G426" s="572" t="s">
        <v>40</v>
      </c>
      <c r="H426" s="572" t="s">
        <v>34</v>
      </c>
      <c r="I426" s="573" t="s">
        <v>258</v>
      </c>
      <c r="J426" s="10"/>
      <c r="K426" s="26">
        <f>K427+K428+K429</f>
        <v>402579.3</v>
      </c>
      <c r="L426" s="26">
        <f>L427+L428+L429</f>
        <v>0</v>
      </c>
      <c r="M426" s="26">
        <v>402579.3</v>
      </c>
    </row>
    <row r="427" spans="1:13" s="121" customFormat="1" ht="112.5" customHeight="1" x14ac:dyDescent="0.35">
      <c r="A427" s="11"/>
      <c r="B427" s="24" t="s">
        <v>44</v>
      </c>
      <c r="C427" s="25" t="s">
        <v>407</v>
      </c>
      <c r="D427" s="10" t="s">
        <v>219</v>
      </c>
      <c r="E427" s="10" t="s">
        <v>34</v>
      </c>
      <c r="F427" s="571" t="s">
        <v>34</v>
      </c>
      <c r="G427" s="572" t="s">
        <v>40</v>
      </c>
      <c r="H427" s="572" t="s">
        <v>34</v>
      </c>
      <c r="I427" s="573" t="s">
        <v>258</v>
      </c>
      <c r="J427" s="10" t="s">
        <v>45</v>
      </c>
      <c r="K427" s="26">
        <v>26623.599999999999</v>
      </c>
      <c r="L427" s="26">
        <f>M427-K427</f>
        <v>0</v>
      </c>
      <c r="M427" s="26">
        <v>26623.599999999999</v>
      </c>
    </row>
    <row r="428" spans="1:13" s="121" customFormat="1" ht="56.25" customHeight="1" x14ac:dyDescent="0.35">
      <c r="A428" s="11"/>
      <c r="B428" s="24" t="s">
        <v>50</v>
      </c>
      <c r="C428" s="25" t="s">
        <v>407</v>
      </c>
      <c r="D428" s="10" t="s">
        <v>219</v>
      </c>
      <c r="E428" s="10" t="s">
        <v>34</v>
      </c>
      <c r="F428" s="571" t="s">
        <v>34</v>
      </c>
      <c r="G428" s="572" t="s">
        <v>40</v>
      </c>
      <c r="H428" s="572" t="s">
        <v>34</v>
      </c>
      <c r="I428" s="573" t="s">
        <v>258</v>
      </c>
      <c r="J428" s="10" t="s">
        <v>51</v>
      </c>
      <c r="K428" s="26">
        <v>3027.7</v>
      </c>
      <c r="L428" s="26">
        <f>M428-K428</f>
        <v>0</v>
      </c>
      <c r="M428" s="26">
        <v>3027.7</v>
      </c>
    </row>
    <row r="429" spans="1:13" s="121" customFormat="1" ht="56.25" customHeight="1" x14ac:dyDescent="0.35">
      <c r="A429" s="11"/>
      <c r="B429" s="24" t="s">
        <v>71</v>
      </c>
      <c r="C429" s="25" t="s">
        <v>407</v>
      </c>
      <c r="D429" s="10" t="s">
        <v>219</v>
      </c>
      <c r="E429" s="10" t="s">
        <v>34</v>
      </c>
      <c r="F429" s="571" t="s">
        <v>34</v>
      </c>
      <c r="G429" s="572" t="s">
        <v>40</v>
      </c>
      <c r="H429" s="572" t="s">
        <v>34</v>
      </c>
      <c r="I429" s="573" t="s">
        <v>258</v>
      </c>
      <c r="J429" s="10" t="s">
        <v>72</v>
      </c>
      <c r="K429" s="26">
        <v>372928</v>
      </c>
      <c r="L429" s="26">
        <f>M429-K429</f>
        <v>0</v>
      </c>
      <c r="M429" s="26">
        <v>372928</v>
      </c>
    </row>
    <row r="430" spans="1:13" s="117" customFormat="1" ht="93.75" customHeight="1" x14ac:dyDescent="0.35">
      <c r="A430" s="11"/>
      <c r="B430" s="24" t="s">
        <v>204</v>
      </c>
      <c r="C430" s="25" t="s">
        <v>407</v>
      </c>
      <c r="D430" s="10" t="s">
        <v>219</v>
      </c>
      <c r="E430" s="10" t="s">
        <v>34</v>
      </c>
      <c r="F430" s="571" t="s">
        <v>34</v>
      </c>
      <c r="G430" s="572" t="s">
        <v>40</v>
      </c>
      <c r="H430" s="572" t="s">
        <v>34</v>
      </c>
      <c r="I430" s="573" t="s">
        <v>263</v>
      </c>
      <c r="J430" s="10"/>
      <c r="K430" s="26">
        <f t="shared" ref="K430:L430" si="68">SUM(K431:K432)</f>
        <v>2260.9</v>
      </c>
      <c r="L430" s="26">
        <f t="shared" si="68"/>
        <v>0</v>
      </c>
      <c r="M430" s="26">
        <v>2260.9</v>
      </c>
    </row>
    <row r="431" spans="1:13" s="117" customFormat="1" ht="56.25" customHeight="1" x14ac:dyDescent="0.35">
      <c r="A431" s="11"/>
      <c r="B431" s="24" t="s">
        <v>50</v>
      </c>
      <c r="C431" s="25" t="s">
        <v>407</v>
      </c>
      <c r="D431" s="10" t="s">
        <v>219</v>
      </c>
      <c r="E431" s="10" t="s">
        <v>34</v>
      </c>
      <c r="F431" s="571" t="s">
        <v>34</v>
      </c>
      <c r="G431" s="572" t="s">
        <v>40</v>
      </c>
      <c r="H431" s="572" t="s">
        <v>34</v>
      </c>
      <c r="I431" s="573" t="s">
        <v>263</v>
      </c>
      <c r="J431" s="10" t="s">
        <v>51</v>
      </c>
      <c r="K431" s="26">
        <v>106.9</v>
      </c>
      <c r="L431" s="26">
        <f>M431-K431</f>
        <v>0</v>
      </c>
      <c r="M431" s="26">
        <v>106.9</v>
      </c>
    </row>
    <row r="432" spans="1:13" s="117" customFormat="1" ht="56.25" customHeight="1" x14ac:dyDescent="0.35">
      <c r="A432" s="11"/>
      <c r="B432" s="24" t="s">
        <v>71</v>
      </c>
      <c r="C432" s="25" t="s">
        <v>407</v>
      </c>
      <c r="D432" s="10" t="s">
        <v>219</v>
      </c>
      <c r="E432" s="10" t="s">
        <v>34</v>
      </c>
      <c r="F432" s="571" t="s">
        <v>34</v>
      </c>
      <c r="G432" s="572" t="s">
        <v>40</v>
      </c>
      <c r="H432" s="572" t="s">
        <v>34</v>
      </c>
      <c r="I432" s="573" t="s">
        <v>263</v>
      </c>
      <c r="J432" s="10" t="s">
        <v>72</v>
      </c>
      <c r="K432" s="26">
        <v>2154</v>
      </c>
      <c r="L432" s="26">
        <f>M432-K432</f>
        <v>0</v>
      </c>
      <c r="M432" s="26">
        <v>2154</v>
      </c>
    </row>
    <row r="433" spans="1:13" s="117" customFormat="1" ht="157.5" customHeight="1" x14ac:dyDescent="0.35">
      <c r="A433" s="11"/>
      <c r="B433" s="24" t="s">
        <v>541</v>
      </c>
      <c r="C433" s="25" t="s">
        <v>407</v>
      </c>
      <c r="D433" s="10" t="s">
        <v>219</v>
      </c>
      <c r="E433" s="10" t="s">
        <v>34</v>
      </c>
      <c r="F433" s="571" t="s">
        <v>34</v>
      </c>
      <c r="G433" s="572" t="s">
        <v>40</v>
      </c>
      <c r="H433" s="572" t="s">
        <v>34</v>
      </c>
      <c r="I433" s="573" t="s">
        <v>540</v>
      </c>
      <c r="J433" s="10"/>
      <c r="K433" s="26">
        <f>K434+K435</f>
        <v>1196.0999999999999</v>
      </c>
      <c r="L433" s="26">
        <f>L434+L435</f>
        <v>0</v>
      </c>
      <c r="M433" s="26">
        <v>1196.0999999999999</v>
      </c>
    </row>
    <row r="434" spans="1:13" s="117" customFormat="1" ht="56.25" customHeight="1" x14ac:dyDescent="0.35">
      <c r="A434" s="11"/>
      <c r="B434" s="24" t="s">
        <v>50</v>
      </c>
      <c r="C434" s="25" t="s">
        <v>407</v>
      </c>
      <c r="D434" s="10" t="s">
        <v>219</v>
      </c>
      <c r="E434" s="10" t="s">
        <v>34</v>
      </c>
      <c r="F434" s="571" t="s">
        <v>34</v>
      </c>
      <c r="G434" s="572" t="s">
        <v>40</v>
      </c>
      <c r="H434" s="572" t="s">
        <v>34</v>
      </c>
      <c r="I434" s="573" t="s">
        <v>540</v>
      </c>
      <c r="J434" s="10" t="s">
        <v>51</v>
      </c>
      <c r="K434" s="26">
        <v>15</v>
      </c>
      <c r="L434" s="26">
        <f>M434-K434</f>
        <v>0</v>
      </c>
      <c r="M434" s="26">
        <v>15</v>
      </c>
    </row>
    <row r="435" spans="1:13" s="117" customFormat="1" ht="56.25" customHeight="1" x14ac:dyDescent="0.35">
      <c r="A435" s="11"/>
      <c r="B435" s="24" t="s">
        <v>71</v>
      </c>
      <c r="C435" s="25" t="s">
        <v>407</v>
      </c>
      <c r="D435" s="10" t="s">
        <v>219</v>
      </c>
      <c r="E435" s="10" t="s">
        <v>34</v>
      </c>
      <c r="F435" s="571" t="s">
        <v>34</v>
      </c>
      <c r="G435" s="572" t="s">
        <v>40</v>
      </c>
      <c r="H435" s="572" t="s">
        <v>34</v>
      </c>
      <c r="I435" s="573" t="s">
        <v>540</v>
      </c>
      <c r="J435" s="10" t="s">
        <v>72</v>
      </c>
      <c r="K435" s="26">
        <v>1181.0999999999999</v>
      </c>
      <c r="L435" s="26">
        <f>M435-K435</f>
        <v>0</v>
      </c>
      <c r="M435" s="26">
        <v>1181.0999999999999</v>
      </c>
    </row>
    <row r="436" spans="1:13" s="117" customFormat="1" ht="93.75" customHeight="1" x14ac:dyDescent="0.35">
      <c r="A436" s="11"/>
      <c r="B436" s="24" t="s">
        <v>431</v>
      </c>
      <c r="C436" s="25" t="s">
        <v>407</v>
      </c>
      <c r="D436" s="10" t="s">
        <v>219</v>
      </c>
      <c r="E436" s="10" t="s">
        <v>34</v>
      </c>
      <c r="F436" s="571" t="s">
        <v>34</v>
      </c>
      <c r="G436" s="572" t="s">
        <v>40</v>
      </c>
      <c r="H436" s="572" t="s">
        <v>34</v>
      </c>
      <c r="I436" s="573" t="s">
        <v>430</v>
      </c>
      <c r="J436" s="10"/>
      <c r="K436" s="26">
        <f>K437+K438</f>
        <v>59054.899999999994</v>
      </c>
      <c r="L436" s="26">
        <f>L437+L438</f>
        <v>0</v>
      </c>
      <c r="M436" s="26">
        <v>59054.899999999994</v>
      </c>
    </row>
    <row r="437" spans="1:13" s="117" customFormat="1" ht="56.25" customHeight="1" x14ac:dyDescent="0.35">
      <c r="A437" s="11"/>
      <c r="B437" s="24" t="s">
        <v>50</v>
      </c>
      <c r="C437" s="25" t="s">
        <v>407</v>
      </c>
      <c r="D437" s="10" t="s">
        <v>219</v>
      </c>
      <c r="E437" s="10" t="s">
        <v>34</v>
      </c>
      <c r="F437" s="571" t="s">
        <v>34</v>
      </c>
      <c r="G437" s="572" t="s">
        <v>40</v>
      </c>
      <c r="H437" s="572" t="s">
        <v>34</v>
      </c>
      <c r="I437" s="573" t="s">
        <v>430</v>
      </c>
      <c r="J437" s="10" t="s">
        <v>51</v>
      </c>
      <c r="K437" s="26">
        <f>1799+45</f>
        <v>1844</v>
      </c>
      <c r="L437" s="26">
        <f>M437-K437</f>
        <v>0</v>
      </c>
      <c r="M437" s="26">
        <v>1844</v>
      </c>
    </row>
    <row r="438" spans="1:13" s="117" customFormat="1" ht="56.25" customHeight="1" x14ac:dyDescent="0.35">
      <c r="A438" s="11"/>
      <c r="B438" s="24" t="s">
        <v>71</v>
      </c>
      <c r="C438" s="25" t="s">
        <v>407</v>
      </c>
      <c r="D438" s="10" t="s">
        <v>219</v>
      </c>
      <c r="E438" s="10" t="s">
        <v>34</v>
      </c>
      <c r="F438" s="571" t="s">
        <v>34</v>
      </c>
      <c r="G438" s="572" t="s">
        <v>40</v>
      </c>
      <c r="H438" s="572" t="s">
        <v>34</v>
      </c>
      <c r="I438" s="573" t="s">
        <v>430</v>
      </c>
      <c r="J438" s="10" t="s">
        <v>72</v>
      </c>
      <c r="K438" s="26">
        <f>56105.7+1105.2</f>
        <v>57210.899999999994</v>
      </c>
      <c r="L438" s="26">
        <f>M438-K438</f>
        <v>0</v>
      </c>
      <c r="M438" s="26">
        <v>57210.899999999994</v>
      </c>
    </row>
    <row r="439" spans="1:13" s="117" customFormat="1" ht="90" x14ac:dyDescent="0.35">
      <c r="A439" s="11"/>
      <c r="B439" s="24" t="s">
        <v>539</v>
      </c>
      <c r="C439" s="25" t="s">
        <v>407</v>
      </c>
      <c r="D439" s="10" t="s">
        <v>219</v>
      </c>
      <c r="E439" s="10" t="s">
        <v>34</v>
      </c>
      <c r="F439" s="571" t="s">
        <v>34</v>
      </c>
      <c r="G439" s="572" t="s">
        <v>40</v>
      </c>
      <c r="H439" s="572" t="s">
        <v>34</v>
      </c>
      <c r="I439" s="573" t="s">
        <v>538</v>
      </c>
      <c r="J439" s="10"/>
      <c r="K439" s="26">
        <f>SUM(K440:K442)</f>
        <v>12776.5</v>
      </c>
      <c r="L439" s="26">
        <f>SUM(L440:L442)</f>
        <v>0</v>
      </c>
      <c r="M439" s="26">
        <v>12776.5</v>
      </c>
    </row>
    <row r="440" spans="1:13" s="117" customFormat="1" ht="56.25" customHeight="1" x14ac:dyDescent="0.35">
      <c r="A440" s="11"/>
      <c r="B440" s="24" t="s">
        <v>50</v>
      </c>
      <c r="C440" s="25" t="s">
        <v>407</v>
      </c>
      <c r="D440" s="10" t="s">
        <v>219</v>
      </c>
      <c r="E440" s="10" t="s">
        <v>34</v>
      </c>
      <c r="F440" s="571" t="s">
        <v>34</v>
      </c>
      <c r="G440" s="572" t="s">
        <v>40</v>
      </c>
      <c r="H440" s="572" t="s">
        <v>34</v>
      </c>
      <c r="I440" s="573" t="s">
        <v>538</v>
      </c>
      <c r="J440" s="10" t="s">
        <v>51</v>
      </c>
      <c r="K440" s="26">
        <v>81.7</v>
      </c>
      <c r="L440" s="26">
        <f>M440-K440</f>
        <v>0</v>
      </c>
      <c r="M440" s="26">
        <v>81.7</v>
      </c>
    </row>
    <row r="441" spans="1:13" s="117" customFormat="1" ht="36" x14ac:dyDescent="0.35">
      <c r="A441" s="11"/>
      <c r="B441" s="24" t="s">
        <v>115</v>
      </c>
      <c r="C441" s="25" t="s">
        <v>407</v>
      </c>
      <c r="D441" s="10" t="s">
        <v>219</v>
      </c>
      <c r="E441" s="10" t="s">
        <v>34</v>
      </c>
      <c r="F441" s="571" t="s">
        <v>34</v>
      </c>
      <c r="G441" s="572" t="s">
        <v>40</v>
      </c>
      <c r="H441" s="572" t="s">
        <v>34</v>
      </c>
      <c r="I441" s="573" t="s">
        <v>538</v>
      </c>
      <c r="J441" s="10" t="s">
        <v>116</v>
      </c>
      <c r="K441" s="26">
        <v>65.2</v>
      </c>
      <c r="L441" s="26">
        <f>M441-K441</f>
        <v>0</v>
      </c>
      <c r="M441" s="26">
        <v>65.2</v>
      </c>
    </row>
    <row r="442" spans="1:13" s="117" customFormat="1" ht="56.25" customHeight="1" x14ac:dyDescent="0.35">
      <c r="A442" s="11"/>
      <c r="B442" s="24" t="s">
        <v>71</v>
      </c>
      <c r="C442" s="25" t="s">
        <v>407</v>
      </c>
      <c r="D442" s="10" t="s">
        <v>219</v>
      </c>
      <c r="E442" s="10" t="s">
        <v>34</v>
      </c>
      <c r="F442" s="571" t="s">
        <v>34</v>
      </c>
      <c r="G442" s="572" t="s">
        <v>40</v>
      </c>
      <c r="H442" s="572" t="s">
        <v>34</v>
      </c>
      <c r="I442" s="573" t="s">
        <v>538</v>
      </c>
      <c r="J442" s="10" t="s">
        <v>72</v>
      </c>
      <c r="K442" s="26">
        <v>12629.6</v>
      </c>
      <c r="L442" s="26">
        <f>M442-K442</f>
        <v>0</v>
      </c>
      <c r="M442" s="26">
        <v>12629.6</v>
      </c>
    </row>
    <row r="443" spans="1:13" s="121" customFormat="1" ht="56.25" customHeight="1" x14ac:dyDescent="0.35">
      <c r="A443" s="11"/>
      <c r="B443" s="24" t="s">
        <v>207</v>
      </c>
      <c r="C443" s="25" t="s">
        <v>407</v>
      </c>
      <c r="D443" s="10" t="s">
        <v>219</v>
      </c>
      <c r="E443" s="10" t="s">
        <v>34</v>
      </c>
      <c r="F443" s="571" t="s">
        <v>34</v>
      </c>
      <c r="G443" s="572" t="s">
        <v>25</v>
      </c>
      <c r="H443" s="572" t="s">
        <v>38</v>
      </c>
      <c r="I443" s="573" t="s">
        <v>39</v>
      </c>
      <c r="J443" s="10"/>
      <c r="K443" s="26">
        <f t="shared" ref="K443:M444" si="69">K444</f>
        <v>3074.8</v>
      </c>
      <c r="L443" s="26">
        <f t="shared" si="69"/>
        <v>0</v>
      </c>
      <c r="M443" s="26">
        <v>3074.8</v>
      </c>
    </row>
    <row r="444" spans="1:13" s="121" customFormat="1" ht="37.5" customHeight="1" x14ac:dyDescent="0.35">
      <c r="A444" s="11"/>
      <c r="B444" s="24" t="s">
        <v>270</v>
      </c>
      <c r="C444" s="25" t="s">
        <v>407</v>
      </c>
      <c r="D444" s="10" t="s">
        <v>219</v>
      </c>
      <c r="E444" s="10" t="s">
        <v>34</v>
      </c>
      <c r="F444" s="571" t="s">
        <v>34</v>
      </c>
      <c r="G444" s="572" t="s">
        <v>25</v>
      </c>
      <c r="H444" s="572" t="s">
        <v>32</v>
      </c>
      <c r="I444" s="573" t="s">
        <v>39</v>
      </c>
      <c r="J444" s="10"/>
      <c r="K444" s="26">
        <f t="shared" si="69"/>
        <v>3074.8</v>
      </c>
      <c r="L444" s="26">
        <f t="shared" si="69"/>
        <v>0</v>
      </c>
      <c r="M444" s="26">
        <v>3074.8</v>
      </c>
    </row>
    <row r="445" spans="1:13" s="121" customFormat="1" ht="253.2" customHeight="1" x14ac:dyDescent="0.35">
      <c r="A445" s="11"/>
      <c r="B445" s="24" t="s">
        <v>412</v>
      </c>
      <c r="C445" s="25" t="s">
        <v>407</v>
      </c>
      <c r="D445" s="10" t="s">
        <v>219</v>
      </c>
      <c r="E445" s="10" t="s">
        <v>34</v>
      </c>
      <c r="F445" s="571" t="s">
        <v>34</v>
      </c>
      <c r="G445" s="572" t="s">
        <v>25</v>
      </c>
      <c r="H445" s="572" t="s">
        <v>32</v>
      </c>
      <c r="I445" s="573" t="s">
        <v>335</v>
      </c>
      <c r="J445" s="10"/>
      <c r="K445" s="26">
        <f>K446</f>
        <v>3074.8</v>
      </c>
      <c r="L445" s="26">
        <f>L446</f>
        <v>0</v>
      </c>
      <c r="M445" s="26">
        <v>3074.8</v>
      </c>
    </row>
    <row r="446" spans="1:13" s="121" customFormat="1" ht="56.25" customHeight="1" x14ac:dyDescent="0.35">
      <c r="A446" s="11"/>
      <c r="B446" s="24" t="s">
        <v>71</v>
      </c>
      <c r="C446" s="25" t="s">
        <v>407</v>
      </c>
      <c r="D446" s="10" t="s">
        <v>219</v>
      </c>
      <c r="E446" s="10" t="s">
        <v>34</v>
      </c>
      <c r="F446" s="571" t="s">
        <v>34</v>
      </c>
      <c r="G446" s="572" t="s">
        <v>25</v>
      </c>
      <c r="H446" s="572" t="s">
        <v>32</v>
      </c>
      <c r="I446" s="573" t="s">
        <v>335</v>
      </c>
      <c r="J446" s="10" t="s">
        <v>72</v>
      </c>
      <c r="K446" s="26">
        <f>2294.8+780</f>
        <v>3074.8</v>
      </c>
      <c r="L446" s="26">
        <f>M446-K446</f>
        <v>0</v>
      </c>
      <c r="M446" s="26">
        <v>3074.8</v>
      </c>
    </row>
    <row r="447" spans="1:13" s="121" customFormat="1" ht="56.25" customHeight="1" x14ac:dyDescent="0.35">
      <c r="A447" s="11"/>
      <c r="B447" s="24" t="s">
        <v>75</v>
      </c>
      <c r="C447" s="25" t="s">
        <v>407</v>
      </c>
      <c r="D447" s="10" t="s">
        <v>219</v>
      </c>
      <c r="E447" s="10" t="s">
        <v>34</v>
      </c>
      <c r="F447" s="571" t="s">
        <v>76</v>
      </c>
      <c r="G447" s="572" t="s">
        <v>37</v>
      </c>
      <c r="H447" s="572" t="s">
        <v>38</v>
      </c>
      <c r="I447" s="573" t="s">
        <v>39</v>
      </c>
      <c r="J447" s="10"/>
      <c r="K447" s="26">
        <f t="shared" ref="K447:M449" si="70">K448</f>
        <v>7254.2</v>
      </c>
      <c r="L447" s="26">
        <f t="shared" si="70"/>
        <v>0</v>
      </c>
      <c r="M447" s="26">
        <v>7254.2</v>
      </c>
    </row>
    <row r="448" spans="1:13" s="121" customFormat="1" ht="56.25" customHeight="1" x14ac:dyDescent="0.35">
      <c r="A448" s="11"/>
      <c r="B448" s="24" t="s">
        <v>120</v>
      </c>
      <c r="C448" s="25" t="s">
        <v>407</v>
      </c>
      <c r="D448" s="10" t="s">
        <v>219</v>
      </c>
      <c r="E448" s="10" t="s">
        <v>34</v>
      </c>
      <c r="F448" s="571" t="s">
        <v>76</v>
      </c>
      <c r="G448" s="572" t="s">
        <v>84</v>
      </c>
      <c r="H448" s="572" t="s">
        <v>38</v>
      </c>
      <c r="I448" s="573" t="s">
        <v>39</v>
      </c>
      <c r="J448" s="10"/>
      <c r="K448" s="26">
        <f t="shared" si="70"/>
        <v>7254.2</v>
      </c>
      <c r="L448" s="26">
        <f t="shared" si="70"/>
        <v>0</v>
      </c>
      <c r="M448" s="26">
        <v>7254.2</v>
      </c>
    </row>
    <row r="449" spans="1:13" s="121" customFormat="1" ht="56.25" customHeight="1" x14ac:dyDescent="0.35">
      <c r="A449" s="11"/>
      <c r="B449" s="24" t="s">
        <v>259</v>
      </c>
      <c r="C449" s="25" t="s">
        <v>407</v>
      </c>
      <c r="D449" s="10" t="s">
        <v>219</v>
      </c>
      <c r="E449" s="10" t="s">
        <v>34</v>
      </c>
      <c r="F449" s="571" t="s">
        <v>76</v>
      </c>
      <c r="G449" s="572" t="s">
        <v>84</v>
      </c>
      <c r="H449" s="572" t="s">
        <v>32</v>
      </c>
      <c r="I449" s="573" t="s">
        <v>39</v>
      </c>
      <c r="J449" s="10"/>
      <c r="K449" s="26">
        <f t="shared" si="70"/>
        <v>7254.2</v>
      </c>
      <c r="L449" s="26">
        <f t="shared" si="70"/>
        <v>0</v>
      </c>
      <c r="M449" s="26">
        <v>7254.2</v>
      </c>
    </row>
    <row r="450" spans="1:13" s="121" customFormat="1" ht="56.25" customHeight="1" x14ac:dyDescent="0.35">
      <c r="A450" s="11"/>
      <c r="B450" s="24" t="s">
        <v>410</v>
      </c>
      <c r="C450" s="25" t="s">
        <v>407</v>
      </c>
      <c r="D450" s="10" t="s">
        <v>219</v>
      </c>
      <c r="E450" s="10" t="s">
        <v>34</v>
      </c>
      <c r="F450" s="571" t="s">
        <v>76</v>
      </c>
      <c r="G450" s="572" t="s">
        <v>84</v>
      </c>
      <c r="H450" s="572" t="s">
        <v>32</v>
      </c>
      <c r="I450" s="573" t="s">
        <v>411</v>
      </c>
      <c r="J450" s="10"/>
      <c r="K450" s="26">
        <f>K451+K452</f>
        <v>7254.2</v>
      </c>
      <c r="L450" s="26">
        <f>L451+L452</f>
        <v>0</v>
      </c>
      <c r="M450" s="26">
        <v>7254.2</v>
      </c>
    </row>
    <row r="451" spans="1:13" s="121" customFormat="1" ht="56.25" customHeight="1" x14ac:dyDescent="0.35">
      <c r="A451" s="11"/>
      <c r="B451" s="24" t="s">
        <v>50</v>
      </c>
      <c r="C451" s="25" t="s">
        <v>407</v>
      </c>
      <c r="D451" s="10" t="s">
        <v>219</v>
      </c>
      <c r="E451" s="10" t="s">
        <v>34</v>
      </c>
      <c r="F451" s="571" t="s">
        <v>76</v>
      </c>
      <c r="G451" s="572" t="s">
        <v>84</v>
      </c>
      <c r="H451" s="572" t="s">
        <v>32</v>
      </c>
      <c r="I451" s="573" t="s">
        <v>411</v>
      </c>
      <c r="J451" s="10" t="s">
        <v>51</v>
      </c>
      <c r="K451" s="26">
        <v>905.2</v>
      </c>
      <c r="L451" s="26">
        <f>M451-K451</f>
        <v>0</v>
      </c>
      <c r="M451" s="26">
        <v>905.2</v>
      </c>
    </row>
    <row r="452" spans="1:13" s="121" customFormat="1" ht="56.25" customHeight="1" x14ac:dyDescent="0.35">
      <c r="A452" s="11"/>
      <c r="B452" s="24" t="s">
        <v>71</v>
      </c>
      <c r="C452" s="25" t="s">
        <v>407</v>
      </c>
      <c r="D452" s="10" t="s">
        <v>219</v>
      </c>
      <c r="E452" s="10" t="s">
        <v>34</v>
      </c>
      <c r="F452" s="571" t="s">
        <v>76</v>
      </c>
      <c r="G452" s="572" t="s">
        <v>84</v>
      </c>
      <c r="H452" s="572" t="s">
        <v>32</v>
      </c>
      <c r="I452" s="573" t="s">
        <v>411</v>
      </c>
      <c r="J452" s="10" t="s">
        <v>72</v>
      </c>
      <c r="K452" s="26">
        <v>6349</v>
      </c>
      <c r="L452" s="26">
        <f>M452-K452</f>
        <v>0</v>
      </c>
      <c r="M452" s="26">
        <v>6349</v>
      </c>
    </row>
    <row r="453" spans="1:13" s="121" customFormat="1" ht="18.75" customHeight="1" x14ac:dyDescent="0.35">
      <c r="A453" s="11"/>
      <c r="B453" s="24" t="s">
        <v>338</v>
      </c>
      <c r="C453" s="25" t="s">
        <v>407</v>
      </c>
      <c r="D453" s="10" t="s">
        <v>219</v>
      </c>
      <c r="E453" s="10" t="s">
        <v>58</v>
      </c>
      <c r="F453" s="571"/>
      <c r="G453" s="572"/>
      <c r="H453" s="572"/>
      <c r="I453" s="573"/>
      <c r="J453" s="10"/>
      <c r="K453" s="26">
        <f>K454</f>
        <v>63956.799999999996</v>
      </c>
      <c r="L453" s="26">
        <f>L454</f>
        <v>0</v>
      </c>
      <c r="M453" s="26">
        <v>63956.799999999996</v>
      </c>
    </row>
    <row r="454" spans="1:13" s="121" customFormat="1" ht="56.25" customHeight="1" x14ac:dyDescent="0.35">
      <c r="A454" s="11"/>
      <c r="B454" s="86" t="s">
        <v>200</v>
      </c>
      <c r="C454" s="25" t="s">
        <v>407</v>
      </c>
      <c r="D454" s="10" t="s">
        <v>219</v>
      </c>
      <c r="E454" s="10" t="s">
        <v>58</v>
      </c>
      <c r="F454" s="571" t="s">
        <v>34</v>
      </c>
      <c r="G454" s="572" t="s">
        <v>37</v>
      </c>
      <c r="H454" s="572" t="s">
        <v>38</v>
      </c>
      <c r="I454" s="573" t="s">
        <v>39</v>
      </c>
      <c r="J454" s="10"/>
      <c r="K454" s="26">
        <f t="shared" ref="K454:M454" si="71">K455</f>
        <v>63956.799999999996</v>
      </c>
      <c r="L454" s="26">
        <f t="shared" si="71"/>
        <v>0</v>
      </c>
      <c r="M454" s="26">
        <v>63956.799999999996</v>
      </c>
    </row>
    <row r="455" spans="1:13" s="121" customFormat="1" ht="24" customHeight="1" x14ac:dyDescent="0.35">
      <c r="A455" s="11"/>
      <c r="B455" s="24" t="s">
        <v>205</v>
      </c>
      <c r="C455" s="25" t="s">
        <v>407</v>
      </c>
      <c r="D455" s="10" t="s">
        <v>219</v>
      </c>
      <c r="E455" s="10" t="s">
        <v>58</v>
      </c>
      <c r="F455" s="571" t="s">
        <v>34</v>
      </c>
      <c r="G455" s="572" t="s">
        <v>84</v>
      </c>
      <c r="H455" s="572" t="s">
        <v>38</v>
      </c>
      <c r="I455" s="573" t="s">
        <v>39</v>
      </c>
      <c r="J455" s="10"/>
      <c r="K455" s="26">
        <f>K456</f>
        <v>63956.799999999996</v>
      </c>
      <c r="L455" s="26">
        <f>L456</f>
        <v>0</v>
      </c>
      <c r="M455" s="26">
        <v>63956.799999999996</v>
      </c>
    </row>
    <row r="456" spans="1:13" s="121" customFormat="1" ht="37.5" customHeight="1" x14ac:dyDescent="0.35">
      <c r="A456" s="11"/>
      <c r="B456" s="24" t="s">
        <v>264</v>
      </c>
      <c r="C456" s="25" t="s">
        <v>407</v>
      </c>
      <c r="D456" s="10" t="s">
        <v>219</v>
      </c>
      <c r="E456" s="10" t="s">
        <v>58</v>
      </c>
      <c r="F456" s="571" t="s">
        <v>34</v>
      </c>
      <c r="G456" s="572" t="s">
        <v>84</v>
      </c>
      <c r="H456" s="572" t="s">
        <v>32</v>
      </c>
      <c r="I456" s="573" t="s">
        <v>39</v>
      </c>
      <c r="J456" s="10"/>
      <c r="K456" s="26">
        <f>K457+K470+K462+K472+K465+K467</f>
        <v>63956.799999999996</v>
      </c>
      <c r="L456" s="26">
        <f>L457+L470+L462+L472+L465+L467</f>
        <v>0</v>
      </c>
      <c r="M456" s="26">
        <v>63956.799999999996</v>
      </c>
    </row>
    <row r="457" spans="1:13" s="121" customFormat="1" ht="37.5" customHeight="1" x14ac:dyDescent="0.35">
      <c r="A457" s="11"/>
      <c r="B457" s="27" t="s">
        <v>437</v>
      </c>
      <c r="C457" s="25" t="s">
        <v>407</v>
      </c>
      <c r="D457" s="10" t="s">
        <v>219</v>
      </c>
      <c r="E457" s="10" t="s">
        <v>58</v>
      </c>
      <c r="F457" s="571" t="s">
        <v>34</v>
      </c>
      <c r="G457" s="572" t="s">
        <v>84</v>
      </c>
      <c r="H457" s="572" t="s">
        <v>32</v>
      </c>
      <c r="I457" s="573" t="s">
        <v>86</v>
      </c>
      <c r="J457" s="10"/>
      <c r="K457" s="26">
        <f>K460+K458+K459+K461</f>
        <v>47271.5</v>
      </c>
      <c r="L457" s="26">
        <f>L460+L458+L459+L461</f>
        <v>0</v>
      </c>
      <c r="M457" s="26">
        <v>47271.5</v>
      </c>
    </row>
    <row r="458" spans="1:13" s="121" customFormat="1" ht="112.5" customHeight="1" x14ac:dyDescent="0.35">
      <c r="A458" s="11"/>
      <c r="B458" s="24" t="s">
        <v>44</v>
      </c>
      <c r="C458" s="25" t="s">
        <v>407</v>
      </c>
      <c r="D458" s="10" t="s">
        <v>219</v>
      </c>
      <c r="E458" s="10" t="s">
        <v>58</v>
      </c>
      <c r="F458" s="571" t="s">
        <v>34</v>
      </c>
      <c r="G458" s="572" t="s">
        <v>84</v>
      </c>
      <c r="H458" s="572" t="s">
        <v>32</v>
      </c>
      <c r="I458" s="573" t="s">
        <v>86</v>
      </c>
      <c r="J458" s="10" t="s">
        <v>45</v>
      </c>
      <c r="K458" s="26">
        <f>20543.4+54.4+273.7</f>
        <v>20871.500000000004</v>
      </c>
      <c r="L458" s="26">
        <f>M458-K458</f>
        <v>0</v>
      </c>
      <c r="M458" s="26">
        <v>20871.500000000004</v>
      </c>
    </row>
    <row r="459" spans="1:13" s="121" customFormat="1" ht="56.25" customHeight="1" x14ac:dyDescent="0.35">
      <c r="A459" s="11"/>
      <c r="B459" s="24" t="s">
        <v>50</v>
      </c>
      <c r="C459" s="25" t="s">
        <v>407</v>
      </c>
      <c r="D459" s="10" t="s">
        <v>219</v>
      </c>
      <c r="E459" s="10" t="s">
        <v>58</v>
      </c>
      <c r="F459" s="571" t="s">
        <v>34</v>
      </c>
      <c r="G459" s="572" t="s">
        <v>84</v>
      </c>
      <c r="H459" s="572" t="s">
        <v>32</v>
      </c>
      <c r="I459" s="573" t="s">
        <v>86</v>
      </c>
      <c r="J459" s="10" t="s">
        <v>51</v>
      </c>
      <c r="K459" s="26">
        <v>2008</v>
      </c>
      <c r="L459" s="26">
        <f>M459-K459</f>
        <v>0</v>
      </c>
      <c r="M459" s="26">
        <v>2008</v>
      </c>
    </row>
    <row r="460" spans="1:13" s="121" customFormat="1" ht="56.25" customHeight="1" x14ac:dyDescent="0.35">
      <c r="A460" s="11"/>
      <c r="B460" s="24" t="s">
        <v>71</v>
      </c>
      <c r="C460" s="25" t="s">
        <v>407</v>
      </c>
      <c r="D460" s="10" t="s">
        <v>219</v>
      </c>
      <c r="E460" s="10" t="s">
        <v>58</v>
      </c>
      <c r="F460" s="571" t="s">
        <v>34</v>
      </c>
      <c r="G460" s="572" t="s">
        <v>84</v>
      </c>
      <c r="H460" s="572" t="s">
        <v>32</v>
      </c>
      <c r="I460" s="573" t="s">
        <v>86</v>
      </c>
      <c r="J460" s="10" t="s">
        <v>72</v>
      </c>
      <c r="K460" s="26">
        <f>28679.6+64.4-4465.2</f>
        <v>24278.799999999999</v>
      </c>
      <c r="L460" s="26">
        <f>M460-K460</f>
        <v>0</v>
      </c>
      <c r="M460" s="26">
        <v>24278.799999999999</v>
      </c>
    </row>
    <row r="461" spans="1:13" s="121" customFormat="1" ht="18.75" customHeight="1" x14ac:dyDescent="0.35">
      <c r="A461" s="11"/>
      <c r="B461" s="24" t="s">
        <v>52</v>
      </c>
      <c r="C461" s="25" t="s">
        <v>407</v>
      </c>
      <c r="D461" s="10" t="s">
        <v>219</v>
      </c>
      <c r="E461" s="10" t="s">
        <v>58</v>
      </c>
      <c r="F461" s="571" t="s">
        <v>34</v>
      </c>
      <c r="G461" s="572" t="s">
        <v>84</v>
      </c>
      <c r="H461" s="572" t="s">
        <v>32</v>
      </c>
      <c r="I461" s="573" t="s">
        <v>86</v>
      </c>
      <c r="J461" s="10" t="s">
        <v>53</v>
      </c>
      <c r="K461" s="26">
        <v>113.2</v>
      </c>
      <c r="L461" s="26">
        <f>M461-K461</f>
        <v>0</v>
      </c>
      <c r="M461" s="26">
        <v>113.2</v>
      </c>
    </row>
    <row r="462" spans="1:13" s="121" customFormat="1" ht="56.25" customHeight="1" x14ac:dyDescent="0.35">
      <c r="A462" s="11"/>
      <c r="B462" s="24" t="s">
        <v>202</v>
      </c>
      <c r="C462" s="25" t="s">
        <v>407</v>
      </c>
      <c r="D462" s="10" t="s">
        <v>219</v>
      </c>
      <c r="E462" s="10" t="s">
        <v>58</v>
      </c>
      <c r="F462" s="571" t="s">
        <v>34</v>
      </c>
      <c r="G462" s="572" t="s">
        <v>84</v>
      </c>
      <c r="H462" s="572" t="s">
        <v>32</v>
      </c>
      <c r="I462" s="573" t="s">
        <v>261</v>
      </c>
      <c r="J462" s="10"/>
      <c r="K462" s="26">
        <f>K464+K463</f>
        <v>1535</v>
      </c>
      <c r="L462" s="26">
        <f>L464+L463</f>
        <v>0</v>
      </c>
      <c r="M462" s="26">
        <v>1535</v>
      </c>
    </row>
    <row r="463" spans="1:13" s="121" customFormat="1" ht="56.25" customHeight="1" x14ac:dyDescent="0.35">
      <c r="A463" s="11"/>
      <c r="B463" s="24" t="s">
        <v>50</v>
      </c>
      <c r="C463" s="25" t="s">
        <v>407</v>
      </c>
      <c r="D463" s="10" t="s">
        <v>219</v>
      </c>
      <c r="E463" s="10" t="s">
        <v>58</v>
      </c>
      <c r="F463" s="571" t="s">
        <v>34</v>
      </c>
      <c r="G463" s="572" t="s">
        <v>84</v>
      </c>
      <c r="H463" s="572" t="s">
        <v>32</v>
      </c>
      <c r="I463" s="573" t="s">
        <v>261</v>
      </c>
      <c r="J463" s="10" t="s">
        <v>51</v>
      </c>
      <c r="K463" s="26">
        <v>676.5</v>
      </c>
      <c r="L463" s="26">
        <f>M463-K463</f>
        <v>0</v>
      </c>
      <c r="M463" s="26">
        <v>676.5</v>
      </c>
    </row>
    <row r="464" spans="1:13" s="121" customFormat="1" ht="56.25" customHeight="1" x14ac:dyDescent="0.35">
      <c r="A464" s="11"/>
      <c r="B464" s="86" t="s">
        <v>71</v>
      </c>
      <c r="C464" s="25" t="s">
        <v>407</v>
      </c>
      <c r="D464" s="10" t="s">
        <v>219</v>
      </c>
      <c r="E464" s="10" t="s">
        <v>58</v>
      </c>
      <c r="F464" s="571" t="s">
        <v>34</v>
      </c>
      <c r="G464" s="572" t="s">
        <v>84</v>
      </c>
      <c r="H464" s="572" t="s">
        <v>32</v>
      </c>
      <c r="I464" s="573" t="s">
        <v>261</v>
      </c>
      <c r="J464" s="10" t="s">
        <v>72</v>
      </c>
      <c r="K464" s="26">
        <v>858.5</v>
      </c>
      <c r="L464" s="26">
        <f>M464-K464</f>
        <v>0</v>
      </c>
      <c r="M464" s="26">
        <v>858.5</v>
      </c>
    </row>
    <row r="465" spans="1:13" s="121" customFormat="1" ht="37.5" customHeight="1" x14ac:dyDescent="0.35">
      <c r="A465" s="11"/>
      <c r="B465" s="24" t="s">
        <v>203</v>
      </c>
      <c r="C465" s="25" t="s">
        <v>407</v>
      </c>
      <c r="D465" s="10" t="s">
        <v>219</v>
      </c>
      <c r="E465" s="10" t="s">
        <v>58</v>
      </c>
      <c r="F465" s="571" t="s">
        <v>34</v>
      </c>
      <c r="G465" s="572" t="s">
        <v>84</v>
      </c>
      <c r="H465" s="572" t="s">
        <v>32</v>
      </c>
      <c r="I465" s="573" t="s">
        <v>262</v>
      </c>
      <c r="J465" s="10"/>
      <c r="K465" s="26">
        <f>K466</f>
        <v>17</v>
      </c>
      <c r="L465" s="26">
        <f>L466</f>
        <v>0</v>
      </c>
      <c r="M465" s="26">
        <v>17</v>
      </c>
    </row>
    <row r="466" spans="1:13" s="121" customFormat="1" ht="56.25" customHeight="1" x14ac:dyDescent="0.35">
      <c r="A466" s="11"/>
      <c r="B466" s="86" t="s">
        <v>71</v>
      </c>
      <c r="C466" s="25" t="s">
        <v>407</v>
      </c>
      <c r="D466" s="10" t="s">
        <v>219</v>
      </c>
      <c r="E466" s="10" t="s">
        <v>58</v>
      </c>
      <c r="F466" s="571" t="s">
        <v>34</v>
      </c>
      <c r="G466" s="572" t="s">
        <v>84</v>
      </c>
      <c r="H466" s="572" t="s">
        <v>32</v>
      </c>
      <c r="I466" s="573" t="s">
        <v>262</v>
      </c>
      <c r="J466" s="10" t="s">
        <v>72</v>
      </c>
      <c r="K466" s="26">
        <v>17</v>
      </c>
      <c r="L466" s="26">
        <f>M466-K466</f>
        <v>0</v>
      </c>
      <c r="M466" s="26">
        <v>17</v>
      </c>
    </row>
    <row r="467" spans="1:13" s="121" customFormat="1" ht="56.25" customHeight="1" x14ac:dyDescent="0.35">
      <c r="A467" s="11"/>
      <c r="B467" s="86" t="s">
        <v>521</v>
      </c>
      <c r="C467" s="25" t="s">
        <v>407</v>
      </c>
      <c r="D467" s="10" t="s">
        <v>219</v>
      </c>
      <c r="E467" s="10" t="s">
        <v>58</v>
      </c>
      <c r="F467" s="571" t="s">
        <v>34</v>
      </c>
      <c r="G467" s="572" t="s">
        <v>84</v>
      </c>
      <c r="H467" s="572" t="s">
        <v>32</v>
      </c>
      <c r="I467" s="573" t="s">
        <v>520</v>
      </c>
      <c r="J467" s="10"/>
      <c r="K467" s="26">
        <f>SUM(K468:K469)</f>
        <v>4940.4000000000005</v>
      </c>
      <c r="L467" s="26">
        <f>SUM(L468:L469)</f>
        <v>0</v>
      </c>
      <c r="M467" s="26">
        <v>4940.4000000000005</v>
      </c>
    </row>
    <row r="468" spans="1:13" s="121" customFormat="1" ht="56.25" customHeight="1" x14ac:dyDescent="0.35">
      <c r="A468" s="11"/>
      <c r="B468" s="86" t="s">
        <v>71</v>
      </c>
      <c r="C468" s="25" t="s">
        <v>407</v>
      </c>
      <c r="D468" s="10" t="s">
        <v>219</v>
      </c>
      <c r="E468" s="10" t="s">
        <v>58</v>
      </c>
      <c r="F468" s="571" t="s">
        <v>34</v>
      </c>
      <c r="G468" s="572" t="s">
        <v>84</v>
      </c>
      <c r="H468" s="572" t="s">
        <v>32</v>
      </c>
      <c r="I468" s="573" t="s">
        <v>520</v>
      </c>
      <c r="J468" s="10" t="s">
        <v>72</v>
      </c>
      <c r="K468" s="26">
        <f>4465.2+121.3+121.3+121.3</f>
        <v>4829.1000000000004</v>
      </c>
      <c r="L468" s="26">
        <f>M468-K468</f>
        <v>0</v>
      </c>
      <c r="M468" s="26">
        <v>4829.1000000000004</v>
      </c>
    </row>
    <row r="469" spans="1:13" s="121" customFormat="1" ht="18" x14ac:dyDescent="0.35">
      <c r="A469" s="11"/>
      <c r="B469" s="24" t="s">
        <v>52</v>
      </c>
      <c r="C469" s="25" t="s">
        <v>407</v>
      </c>
      <c r="D469" s="10" t="s">
        <v>219</v>
      </c>
      <c r="E469" s="10" t="s">
        <v>58</v>
      </c>
      <c r="F469" s="571" t="s">
        <v>34</v>
      </c>
      <c r="G469" s="572" t="s">
        <v>84</v>
      </c>
      <c r="H469" s="572" t="s">
        <v>32</v>
      </c>
      <c r="I469" s="573" t="s">
        <v>520</v>
      </c>
      <c r="J469" s="10" t="s">
        <v>53</v>
      </c>
      <c r="K469" s="26">
        <v>111.3</v>
      </c>
      <c r="L469" s="26">
        <f>M469-K469</f>
        <v>0</v>
      </c>
      <c r="M469" s="26">
        <v>111.3</v>
      </c>
    </row>
    <row r="470" spans="1:13" s="121" customFormat="1" ht="181.95" customHeight="1" x14ac:dyDescent="0.35">
      <c r="A470" s="11"/>
      <c r="B470" s="24" t="s">
        <v>256</v>
      </c>
      <c r="C470" s="25" t="s">
        <v>407</v>
      </c>
      <c r="D470" s="10" t="s">
        <v>219</v>
      </c>
      <c r="E470" s="10" t="s">
        <v>58</v>
      </c>
      <c r="F470" s="571" t="s">
        <v>34</v>
      </c>
      <c r="G470" s="572" t="s">
        <v>84</v>
      </c>
      <c r="H470" s="572" t="s">
        <v>32</v>
      </c>
      <c r="I470" s="573" t="s">
        <v>257</v>
      </c>
      <c r="J470" s="10"/>
      <c r="K470" s="26">
        <f>K471</f>
        <v>106.1</v>
      </c>
      <c r="L470" s="26">
        <f>L471</f>
        <v>0</v>
      </c>
      <c r="M470" s="26">
        <v>106.1</v>
      </c>
    </row>
    <row r="471" spans="1:13" s="121" customFormat="1" ht="52.95" customHeight="1" x14ac:dyDescent="0.35">
      <c r="A471" s="11"/>
      <c r="B471" s="24" t="s">
        <v>71</v>
      </c>
      <c r="C471" s="25" t="s">
        <v>407</v>
      </c>
      <c r="D471" s="10" t="s">
        <v>219</v>
      </c>
      <c r="E471" s="10" t="s">
        <v>58</v>
      </c>
      <c r="F471" s="571" t="s">
        <v>34</v>
      </c>
      <c r="G471" s="572" t="s">
        <v>84</v>
      </c>
      <c r="H471" s="572" t="s">
        <v>32</v>
      </c>
      <c r="I471" s="573" t="s">
        <v>257</v>
      </c>
      <c r="J471" s="10" t="s">
        <v>72</v>
      </c>
      <c r="K471" s="26">
        <v>106.1</v>
      </c>
      <c r="L471" s="26">
        <f>M471-K471</f>
        <v>0</v>
      </c>
      <c r="M471" s="26">
        <v>106.1</v>
      </c>
    </row>
    <row r="472" spans="1:13" s="121" customFormat="1" ht="105" customHeight="1" x14ac:dyDescent="0.35">
      <c r="A472" s="11"/>
      <c r="B472" s="24" t="s">
        <v>334</v>
      </c>
      <c r="C472" s="25" t="s">
        <v>407</v>
      </c>
      <c r="D472" s="10" t="s">
        <v>219</v>
      </c>
      <c r="E472" s="10" t="s">
        <v>58</v>
      </c>
      <c r="F472" s="571" t="s">
        <v>34</v>
      </c>
      <c r="G472" s="572" t="s">
        <v>84</v>
      </c>
      <c r="H472" s="572" t="s">
        <v>32</v>
      </c>
      <c r="I472" s="573" t="s">
        <v>258</v>
      </c>
      <c r="J472" s="10"/>
      <c r="K472" s="26">
        <f>K473</f>
        <v>10086.799999999999</v>
      </c>
      <c r="L472" s="26">
        <f>L473</f>
        <v>0</v>
      </c>
      <c r="M472" s="26">
        <v>10086.799999999999</v>
      </c>
    </row>
    <row r="473" spans="1:13" s="121" customFormat="1" ht="56.25" customHeight="1" x14ac:dyDescent="0.35">
      <c r="A473" s="11"/>
      <c r="B473" s="24" t="s">
        <v>71</v>
      </c>
      <c r="C473" s="25" t="s">
        <v>407</v>
      </c>
      <c r="D473" s="10" t="s">
        <v>219</v>
      </c>
      <c r="E473" s="10" t="s">
        <v>58</v>
      </c>
      <c r="F473" s="571" t="s">
        <v>34</v>
      </c>
      <c r="G473" s="572" t="s">
        <v>84</v>
      </c>
      <c r="H473" s="572" t="s">
        <v>32</v>
      </c>
      <c r="I473" s="573" t="s">
        <v>258</v>
      </c>
      <c r="J473" s="10" t="s">
        <v>72</v>
      </c>
      <c r="K473" s="26">
        <v>10086.799999999999</v>
      </c>
      <c r="L473" s="26">
        <f>M473-K473</f>
        <v>0</v>
      </c>
      <c r="M473" s="26">
        <v>10086.799999999999</v>
      </c>
    </row>
    <row r="474" spans="1:13" s="121" customFormat="1" ht="21" customHeight="1" x14ac:dyDescent="0.35">
      <c r="A474" s="11"/>
      <c r="B474" s="24" t="s">
        <v>339</v>
      </c>
      <c r="C474" s="25" t="s">
        <v>407</v>
      </c>
      <c r="D474" s="10" t="s">
        <v>219</v>
      </c>
      <c r="E474" s="10" t="s">
        <v>219</v>
      </c>
      <c r="F474" s="571"/>
      <c r="G474" s="572"/>
      <c r="H474" s="572"/>
      <c r="I474" s="573"/>
      <c r="J474" s="10"/>
      <c r="K474" s="26">
        <f t="shared" ref="K474:M475" si="72">K475</f>
        <v>5396.0999999999995</v>
      </c>
      <c r="L474" s="26">
        <f t="shared" si="72"/>
        <v>0</v>
      </c>
      <c r="M474" s="26">
        <v>5396.0999999999995</v>
      </c>
    </row>
    <row r="475" spans="1:13" s="121" customFormat="1" ht="56.25" customHeight="1" x14ac:dyDescent="0.35">
      <c r="A475" s="11"/>
      <c r="B475" s="24" t="s">
        <v>200</v>
      </c>
      <c r="C475" s="25" t="s">
        <v>407</v>
      </c>
      <c r="D475" s="10" t="s">
        <v>219</v>
      </c>
      <c r="E475" s="10" t="s">
        <v>219</v>
      </c>
      <c r="F475" s="571" t="s">
        <v>34</v>
      </c>
      <c r="G475" s="572" t="s">
        <v>37</v>
      </c>
      <c r="H475" s="572" t="s">
        <v>38</v>
      </c>
      <c r="I475" s="573" t="s">
        <v>39</v>
      </c>
      <c r="J475" s="10"/>
      <c r="K475" s="26">
        <f t="shared" si="72"/>
        <v>5396.0999999999995</v>
      </c>
      <c r="L475" s="26">
        <f t="shared" si="72"/>
        <v>0</v>
      </c>
      <c r="M475" s="26">
        <v>5396.0999999999995</v>
      </c>
    </row>
    <row r="476" spans="1:13" s="121" customFormat="1" ht="56.25" customHeight="1" x14ac:dyDescent="0.35">
      <c r="A476" s="11"/>
      <c r="B476" s="24" t="s">
        <v>207</v>
      </c>
      <c r="C476" s="25" t="s">
        <v>407</v>
      </c>
      <c r="D476" s="10" t="s">
        <v>219</v>
      </c>
      <c r="E476" s="10" t="s">
        <v>219</v>
      </c>
      <c r="F476" s="571" t="s">
        <v>34</v>
      </c>
      <c r="G476" s="572" t="s">
        <v>25</v>
      </c>
      <c r="H476" s="572" t="s">
        <v>38</v>
      </c>
      <c r="I476" s="573" t="s">
        <v>39</v>
      </c>
      <c r="J476" s="10"/>
      <c r="K476" s="26">
        <f>K477</f>
        <v>5396.0999999999995</v>
      </c>
      <c r="L476" s="26">
        <f>L477</f>
        <v>0</v>
      </c>
      <c r="M476" s="26">
        <v>5396.0999999999995</v>
      </c>
    </row>
    <row r="477" spans="1:13" s="121" customFormat="1" ht="56.25" customHeight="1" x14ac:dyDescent="0.35">
      <c r="A477" s="11"/>
      <c r="B477" s="24" t="s">
        <v>269</v>
      </c>
      <c r="C477" s="25" t="s">
        <v>407</v>
      </c>
      <c r="D477" s="10" t="s">
        <v>219</v>
      </c>
      <c r="E477" s="10" t="s">
        <v>219</v>
      </c>
      <c r="F477" s="571" t="s">
        <v>34</v>
      </c>
      <c r="G477" s="572" t="s">
        <v>25</v>
      </c>
      <c r="H477" s="572" t="s">
        <v>34</v>
      </c>
      <c r="I477" s="573" t="s">
        <v>39</v>
      </c>
      <c r="J477" s="10"/>
      <c r="K477" s="26">
        <f>K478+K480</f>
        <v>5396.0999999999995</v>
      </c>
      <c r="L477" s="26">
        <f>L478+L480</f>
        <v>0</v>
      </c>
      <c r="M477" s="26">
        <v>5396.0999999999995</v>
      </c>
    </row>
    <row r="478" spans="1:13" s="121" customFormat="1" ht="35.25" customHeight="1" x14ac:dyDescent="0.35">
      <c r="A478" s="11"/>
      <c r="B478" s="24" t="s">
        <v>444</v>
      </c>
      <c r="C478" s="25" t="s">
        <v>407</v>
      </c>
      <c r="D478" s="10" t="s">
        <v>219</v>
      </c>
      <c r="E478" s="10" t="s">
        <v>219</v>
      </c>
      <c r="F478" s="571" t="s">
        <v>34</v>
      </c>
      <c r="G478" s="572" t="s">
        <v>25</v>
      </c>
      <c r="H478" s="572" t="s">
        <v>34</v>
      </c>
      <c r="I478" s="573" t="s">
        <v>443</v>
      </c>
      <c r="J478" s="10"/>
      <c r="K478" s="26">
        <f>K479</f>
        <v>1258.8</v>
      </c>
      <c r="L478" s="26">
        <f>L479</f>
        <v>0</v>
      </c>
      <c r="M478" s="26">
        <v>1258.8</v>
      </c>
    </row>
    <row r="479" spans="1:13" s="121" customFormat="1" ht="56.25" customHeight="1" x14ac:dyDescent="0.35">
      <c r="A479" s="11"/>
      <c r="B479" s="24" t="s">
        <v>71</v>
      </c>
      <c r="C479" s="25" t="s">
        <v>407</v>
      </c>
      <c r="D479" s="10" t="s">
        <v>219</v>
      </c>
      <c r="E479" s="10" t="s">
        <v>219</v>
      </c>
      <c r="F479" s="571" t="s">
        <v>34</v>
      </c>
      <c r="G479" s="572" t="s">
        <v>25</v>
      </c>
      <c r="H479" s="572" t="s">
        <v>34</v>
      </c>
      <c r="I479" s="573" t="s">
        <v>443</v>
      </c>
      <c r="J479" s="10" t="s">
        <v>72</v>
      </c>
      <c r="K479" s="26">
        <v>1258.8</v>
      </c>
      <c r="L479" s="26">
        <f>M479-K479</f>
        <v>0</v>
      </c>
      <c r="M479" s="26">
        <v>1258.8</v>
      </c>
    </row>
    <row r="480" spans="1:13" s="121" customFormat="1" ht="102" customHeight="1" x14ac:dyDescent="0.35">
      <c r="A480" s="11"/>
      <c r="B480" s="24" t="s">
        <v>418</v>
      </c>
      <c r="C480" s="25" t="s">
        <v>407</v>
      </c>
      <c r="D480" s="10" t="s">
        <v>219</v>
      </c>
      <c r="E480" s="10" t="s">
        <v>219</v>
      </c>
      <c r="F480" s="571" t="s">
        <v>34</v>
      </c>
      <c r="G480" s="572" t="s">
        <v>25</v>
      </c>
      <c r="H480" s="572" t="s">
        <v>34</v>
      </c>
      <c r="I480" s="573" t="s">
        <v>417</v>
      </c>
      <c r="J480" s="10"/>
      <c r="K480" s="26">
        <f>K481</f>
        <v>4137.2999999999993</v>
      </c>
      <c r="L480" s="26">
        <f>L481</f>
        <v>0</v>
      </c>
      <c r="M480" s="26">
        <v>4137.2999999999993</v>
      </c>
    </row>
    <row r="481" spans="1:13" s="121" customFormat="1" ht="56.25" customHeight="1" x14ac:dyDescent="0.35">
      <c r="A481" s="11"/>
      <c r="B481" s="24" t="s">
        <v>71</v>
      </c>
      <c r="C481" s="25" t="s">
        <v>407</v>
      </c>
      <c r="D481" s="10" t="s">
        <v>219</v>
      </c>
      <c r="E481" s="10" t="s">
        <v>219</v>
      </c>
      <c r="F481" s="571" t="s">
        <v>34</v>
      </c>
      <c r="G481" s="572" t="s">
        <v>25</v>
      </c>
      <c r="H481" s="572" t="s">
        <v>34</v>
      </c>
      <c r="I481" s="573" t="s">
        <v>417</v>
      </c>
      <c r="J481" s="10" t="s">
        <v>72</v>
      </c>
      <c r="K481" s="26">
        <f>6749.9-2612.6</f>
        <v>4137.2999999999993</v>
      </c>
      <c r="L481" s="26">
        <f>M481-K481</f>
        <v>0</v>
      </c>
      <c r="M481" s="26">
        <v>4137.2999999999993</v>
      </c>
    </row>
    <row r="482" spans="1:13" s="121" customFormat="1" ht="18.75" customHeight="1" x14ac:dyDescent="0.35">
      <c r="A482" s="11"/>
      <c r="B482" s="24" t="s">
        <v>181</v>
      </c>
      <c r="C482" s="25" t="s">
        <v>407</v>
      </c>
      <c r="D482" s="10" t="s">
        <v>219</v>
      </c>
      <c r="E482" s="10" t="s">
        <v>74</v>
      </c>
      <c r="F482" s="571"/>
      <c r="G482" s="572"/>
      <c r="H482" s="572"/>
      <c r="I482" s="573"/>
      <c r="J482" s="10"/>
      <c r="K482" s="26">
        <f>K483</f>
        <v>72137.099999999991</v>
      </c>
      <c r="L482" s="26">
        <f>L483</f>
        <v>162.59999999999854</v>
      </c>
      <c r="M482" s="26">
        <v>72299.7</v>
      </c>
    </row>
    <row r="483" spans="1:13" s="121" customFormat="1" ht="56.25" customHeight="1" x14ac:dyDescent="0.35">
      <c r="A483" s="11"/>
      <c r="B483" s="24" t="s">
        <v>200</v>
      </c>
      <c r="C483" s="25" t="s">
        <v>407</v>
      </c>
      <c r="D483" s="10" t="s">
        <v>219</v>
      </c>
      <c r="E483" s="10" t="s">
        <v>74</v>
      </c>
      <c r="F483" s="571" t="s">
        <v>34</v>
      </c>
      <c r="G483" s="572" t="s">
        <v>37</v>
      </c>
      <c r="H483" s="572" t="s">
        <v>38</v>
      </c>
      <c r="I483" s="573" t="s">
        <v>39</v>
      </c>
      <c r="J483" s="10"/>
      <c r="K483" s="26">
        <f>K488+K484</f>
        <v>72137.099999999991</v>
      </c>
      <c r="L483" s="26">
        <f>L488+L484</f>
        <v>162.59999999999854</v>
      </c>
      <c r="M483" s="26">
        <v>72299.7</v>
      </c>
    </row>
    <row r="484" spans="1:13" s="121" customFormat="1" ht="25.5" customHeight="1" x14ac:dyDescent="0.35">
      <c r="A484" s="11"/>
      <c r="B484" s="24" t="s">
        <v>205</v>
      </c>
      <c r="C484" s="25" t="s">
        <v>407</v>
      </c>
      <c r="D484" s="10" t="s">
        <v>219</v>
      </c>
      <c r="E484" s="10" t="s">
        <v>74</v>
      </c>
      <c r="F484" s="571" t="s">
        <v>34</v>
      </c>
      <c r="G484" s="572" t="s">
        <v>84</v>
      </c>
      <c r="H484" s="572" t="s">
        <v>38</v>
      </c>
      <c r="I484" s="573" t="s">
        <v>39</v>
      </c>
      <c r="J484" s="10"/>
      <c r="K484" s="26">
        <f t="shared" ref="K484:M486" si="73">K485</f>
        <v>54</v>
      </c>
      <c r="L484" s="26">
        <f t="shared" si="73"/>
        <v>0</v>
      </c>
      <c r="M484" s="26">
        <v>54</v>
      </c>
    </row>
    <row r="485" spans="1:13" s="121" customFormat="1" ht="18.75" customHeight="1" x14ac:dyDescent="0.35">
      <c r="A485" s="11"/>
      <c r="B485" s="24" t="s">
        <v>265</v>
      </c>
      <c r="C485" s="25" t="s">
        <v>407</v>
      </c>
      <c r="D485" s="10" t="s">
        <v>219</v>
      </c>
      <c r="E485" s="10" t="s">
        <v>74</v>
      </c>
      <c r="F485" s="571" t="s">
        <v>34</v>
      </c>
      <c r="G485" s="572" t="s">
        <v>84</v>
      </c>
      <c r="H485" s="572" t="s">
        <v>34</v>
      </c>
      <c r="I485" s="573" t="s">
        <v>39</v>
      </c>
      <c r="J485" s="10"/>
      <c r="K485" s="26">
        <f t="shared" si="73"/>
        <v>54</v>
      </c>
      <c r="L485" s="26">
        <f t="shared" si="73"/>
        <v>0</v>
      </c>
      <c r="M485" s="26">
        <v>54</v>
      </c>
    </row>
    <row r="486" spans="1:13" s="121" customFormat="1" ht="58.2" customHeight="1" x14ac:dyDescent="0.35">
      <c r="A486" s="11"/>
      <c r="B486" s="24" t="s">
        <v>266</v>
      </c>
      <c r="C486" s="25" t="s">
        <v>407</v>
      </c>
      <c r="D486" s="10" t="s">
        <v>219</v>
      </c>
      <c r="E486" s="10" t="s">
        <v>74</v>
      </c>
      <c r="F486" s="571" t="s">
        <v>34</v>
      </c>
      <c r="G486" s="572" t="s">
        <v>84</v>
      </c>
      <c r="H486" s="572" t="s">
        <v>34</v>
      </c>
      <c r="I486" s="573" t="s">
        <v>267</v>
      </c>
      <c r="J486" s="10"/>
      <c r="K486" s="26">
        <f t="shared" si="73"/>
        <v>54</v>
      </c>
      <c r="L486" s="26">
        <f t="shared" si="73"/>
        <v>0</v>
      </c>
      <c r="M486" s="26">
        <v>54</v>
      </c>
    </row>
    <row r="487" spans="1:13" s="121" customFormat="1" ht="37.5" customHeight="1" x14ac:dyDescent="0.35">
      <c r="A487" s="11"/>
      <c r="B487" s="24" t="s">
        <v>115</v>
      </c>
      <c r="C487" s="25" t="s">
        <v>407</v>
      </c>
      <c r="D487" s="10" t="s">
        <v>219</v>
      </c>
      <c r="E487" s="10" t="s">
        <v>74</v>
      </c>
      <c r="F487" s="571" t="s">
        <v>34</v>
      </c>
      <c r="G487" s="572" t="s">
        <v>84</v>
      </c>
      <c r="H487" s="572" t="s">
        <v>34</v>
      </c>
      <c r="I487" s="573" t="s">
        <v>267</v>
      </c>
      <c r="J487" s="10" t="s">
        <v>116</v>
      </c>
      <c r="K487" s="26">
        <v>54</v>
      </c>
      <c r="L487" s="26">
        <f>M487-K487</f>
        <v>0</v>
      </c>
      <c r="M487" s="26">
        <v>54</v>
      </c>
    </row>
    <row r="488" spans="1:13" s="121" customFormat="1" ht="56.25" customHeight="1" x14ac:dyDescent="0.35">
      <c r="A488" s="11"/>
      <c r="B488" s="24" t="s">
        <v>207</v>
      </c>
      <c r="C488" s="25" t="s">
        <v>407</v>
      </c>
      <c r="D488" s="10" t="s">
        <v>219</v>
      </c>
      <c r="E488" s="10" t="s">
        <v>74</v>
      </c>
      <c r="F488" s="571" t="s">
        <v>34</v>
      </c>
      <c r="G488" s="572" t="s">
        <v>25</v>
      </c>
      <c r="H488" s="572" t="s">
        <v>38</v>
      </c>
      <c r="I488" s="573" t="s">
        <v>39</v>
      </c>
      <c r="J488" s="10"/>
      <c r="K488" s="26">
        <f t="shared" ref="K488:M488" si="74">K489</f>
        <v>72083.099999999991</v>
      </c>
      <c r="L488" s="26">
        <f t="shared" si="74"/>
        <v>162.59999999999854</v>
      </c>
      <c r="M488" s="26">
        <v>72245.7</v>
      </c>
    </row>
    <row r="489" spans="1:13" s="121" customFormat="1" ht="37.5" customHeight="1" x14ac:dyDescent="0.35">
      <c r="A489" s="11"/>
      <c r="B489" s="24" t="s">
        <v>270</v>
      </c>
      <c r="C489" s="25" t="s">
        <v>407</v>
      </c>
      <c r="D489" s="10" t="s">
        <v>219</v>
      </c>
      <c r="E489" s="10" t="s">
        <v>74</v>
      </c>
      <c r="F489" s="571" t="s">
        <v>34</v>
      </c>
      <c r="G489" s="572" t="s">
        <v>25</v>
      </c>
      <c r="H489" s="572" t="s">
        <v>32</v>
      </c>
      <c r="I489" s="573" t="s">
        <v>39</v>
      </c>
      <c r="J489" s="10"/>
      <c r="K489" s="26">
        <f>K490+K494+K499+K503+K501</f>
        <v>72083.099999999991</v>
      </c>
      <c r="L489" s="26">
        <f>L490+L494+L499+L503+L501</f>
        <v>162.59999999999854</v>
      </c>
      <c r="M489" s="26">
        <v>72245.7</v>
      </c>
    </row>
    <row r="490" spans="1:13" s="121" customFormat="1" ht="37.5" customHeight="1" x14ac:dyDescent="0.35">
      <c r="A490" s="11"/>
      <c r="B490" s="24" t="s">
        <v>42</v>
      </c>
      <c r="C490" s="25" t="s">
        <v>407</v>
      </c>
      <c r="D490" s="10" t="s">
        <v>219</v>
      </c>
      <c r="E490" s="10" t="s">
        <v>74</v>
      </c>
      <c r="F490" s="571" t="s">
        <v>34</v>
      </c>
      <c r="G490" s="572" t="s">
        <v>25</v>
      </c>
      <c r="H490" s="572" t="s">
        <v>32</v>
      </c>
      <c r="I490" s="573" t="s">
        <v>43</v>
      </c>
      <c r="J490" s="10"/>
      <c r="K490" s="26">
        <f>K491+K492+K493</f>
        <v>11695.9</v>
      </c>
      <c r="L490" s="26">
        <f>L491+L492+L493</f>
        <v>0</v>
      </c>
      <c r="M490" s="26">
        <v>11695.9</v>
      </c>
    </row>
    <row r="491" spans="1:13" s="121" customFormat="1" ht="112.5" customHeight="1" x14ac:dyDescent="0.35">
      <c r="A491" s="11"/>
      <c r="B491" s="24" t="s">
        <v>44</v>
      </c>
      <c r="C491" s="25" t="s">
        <v>407</v>
      </c>
      <c r="D491" s="10" t="s">
        <v>219</v>
      </c>
      <c r="E491" s="10" t="s">
        <v>74</v>
      </c>
      <c r="F491" s="571" t="s">
        <v>34</v>
      </c>
      <c r="G491" s="572" t="s">
        <v>25</v>
      </c>
      <c r="H491" s="572" t="s">
        <v>32</v>
      </c>
      <c r="I491" s="573" t="s">
        <v>43</v>
      </c>
      <c r="J491" s="10" t="s">
        <v>45</v>
      </c>
      <c r="K491" s="26">
        <f>9369.4+1541.8</f>
        <v>10911.199999999999</v>
      </c>
      <c r="L491" s="26">
        <f>M491-K491</f>
        <v>0</v>
      </c>
      <c r="M491" s="26">
        <v>10911.199999999999</v>
      </c>
    </row>
    <row r="492" spans="1:13" s="121" customFormat="1" ht="56.25" customHeight="1" x14ac:dyDescent="0.35">
      <c r="A492" s="11"/>
      <c r="B492" s="24" t="s">
        <v>50</v>
      </c>
      <c r="C492" s="25" t="s">
        <v>407</v>
      </c>
      <c r="D492" s="10" t="s">
        <v>219</v>
      </c>
      <c r="E492" s="10" t="s">
        <v>74</v>
      </c>
      <c r="F492" s="571" t="s">
        <v>34</v>
      </c>
      <c r="G492" s="572" t="s">
        <v>25</v>
      </c>
      <c r="H492" s="572" t="s">
        <v>32</v>
      </c>
      <c r="I492" s="573" t="s">
        <v>43</v>
      </c>
      <c r="J492" s="10" t="s">
        <v>51</v>
      </c>
      <c r="K492" s="26">
        <v>767.7</v>
      </c>
      <c r="L492" s="26">
        <f>M492-K492</f>
        <v>0</v>
      </c>
      <c r="M492" s="26">
        <v>767.7</v>
      </c>
    </row>
    <row r="493" spans="1:13" s="121" customFormat="1" ht="18.75" customHeight="1" x14ac:dyDescent="0.35">
      <c r="A493" s="11"/>
      <c r="B493" s="24" t="s">
        <v>52</v>
      </c>
      <c r="C493" s="25" t="s">
        <v>407</v>
      </c>
      <c r="D493" s="10" t="s">
        <v>219</v>
      </c>
      <c r="E493" s="10" t="s">
        <v>74</v>
      </c>
      <c r="F493" s="571" t="s">
        <v>34</v>
      </c>
      <c r="G493" s="572" t="s">
        <v>25</v>
      </c>
      <c r="H493" s="572" t="s">
        <v>32</v>
      </c>
      <c r="I493" s="573" t="s">
        <v>43</v>
      </c>
      <c r="J493" s="10" t="s">
        <v>53</v>
      </c>
      <c r="K493" s="26">
        <v>17</v>
      </c>
      <c r="L493" s="26">
        <f>M493-K493</f>
        <v>0</v>
      </c>
      <c r="M493" s="26">
        <v>17</v>
      </c>
    </row>
    <row r="494" spans="1:13" s="121" customFormat="1" ht="35.25" customHeight="1" x14ac:dyDescent="0.35">
      <c r="A494" s="11"/>
      <c r="B494" s="27" t="s">
        <v>437</v>
      </c>
      <c r="C494" s="25" t="s">
        <v>407</v>
      </c>
      <c r="D494" s="10" t="s">
        <v>219</v>
      </c>
      <c r="E494" s="10" t="s">
        <v>74</v>
      </c>
      <c r="F494" s="571" t="s">
        <v>34</v>
      </c>
      <c r="G494" s="572" t="s">
        <v>25</v>
      </c>
      <c r="H494" s="572" t="s">
        <v>32</v>
      </c>
      <c r="I494" s="573" t="s">
        <v>86</v>
      </c>
      <c r="J494" s="10"/>
      <c r="K494" s="26">
        <f>K495+K496+K498+K497</f>
        <v>53636.4</v>
      </c>
      <c r="L494" s="26">
        <f>L495+L496+L498+L497</f>
        <v>162.59999999999854</v>
      </c>
      <c r="M494" s="26">
        <v>53799</v>
      </c>
    </row>
    <row r="495" spans="1:13" s="121" customFormat="1" ht="112.5" customHeight="1" x14ac:dyDescent="0.35">
      <c r="A495" s="11"/>
      <c r="B495" s="24" t="s">
        <v>44</v>
      </c>
      <c r="C495" s="25" t="s">
        <v>407</v>
      </c>
      <c r="D495" s="10" t="s">
        <v>219</v>
      </c>
      <c r="E495" s="10" t="s">
        <v>74</v>
      </c>
      <c r="F495" s="571" t="s">
        <v>34</v>
      </c>
      <c r="G495" s="572" t="s">
        <v>25</v>
      </c>
      <c r="H495" s="572" t="s">
        <v>32</v>
      </c>
      <c r="I495" s="573" t="s">
        <v>86</v>
      </c>
      <c r="J495" s="10" t="s">
        <v>45</v>
      </c>
      <c r="K495" s="26">
        <f>27291.4+3965.9+29.9</f>
        <v>31287.200000000004</v>
      </c>
      <c r="L495" s="26">
        <f>M495-K495</f>
        <v>162.59999999999854</v>
      </c>
      <c r="M495" s="26">
        <v>31449.800000000003</v>
      </c>
    </row>
    <row r="496" spans="1:13" s="121" customFormat="1" ht="56.25" customHeight="1" x14ac:dyDescent="0.35">
      <c r="A496" s="11"/>
      <c r="B496" s="24" t="s">
        <v>50</v>
      </c>
      <c r="C496" s="25" t="s">
        <v>407</v>
      </c>
      <c r="D496" s="10" t="s">
        <v>219</v>
      </c>
      <c r="E496" s="10" t="s">
        <v>74</v>
      </c>
      <c r="F496" s="571" t="s">
        <v>34</v>
      </c>
      <c r="G496" s="572" t="s">
        <v>25</v>
      </c>
      <c r="H496" s="572" t="s">
        <v>32</v>
      </c>
      <c r="I496" s="573" t="s">
        <v>86</v>
      </c>
      <c r="J496" s="10" t="s">
        <v>51</v>
      </c>
      <c r="K496" s="26">
        <v>3043.9</v>
      </c>
      <c r="L496" s="26">
        <f>M496-K496</f>
        <v>0</v>
      </c>
      <c r="M496" s="26">
        <v>3043.9</v>
      </c>
    </row>
    <row r="497" spans="1:13" s="121" customFormat="1" ht="56.25" customHeight="1" x14ac:dyDescent="0.35">
      <c r="A497" s="11"/>
      <c r="B497" s="24" t="s">
        <v>71</v>
      </c>
      <c r="C497" s="25" t="s">
        <v>407</v>
      </c>
      <c r="D497" s="10" t="s">
        <v>219</v>
      </c>
      <c r="E497" s="10" t="s">
        <v>74</v>
      </c>
      <c r="F497" s="571" t="s">
        <v>34</v>
      </c>
      <c r="G497" s="572" t="s">
        <v>25</v>
      </c>
      <c r="H497" s="572" t="s">
        <v>32</v>
      </c>
      <c r="I497" s="573" t="s">
        <v>86</v>
      </c>
      <c r="J497" s="10" t="s">
        <v>72</v>
      </c>
      <c r="K497" s="26">
        <f>18895.6+403.5</f>
        <v>19299.099999999999</v>
      </c>
      <c r="L497" s="26">
        <f>M497-K497</f>
        <v>0</v>
      </c>
      <c r="M497" s="26">
        <v>19299.099999999999</v>
      </c>
    </row>
    <row r="498" spans="1:13" s="121" customFormat="1" ht="18.75" customHeight="1" x14ac:dyDescent="0.35">
      <c r="A498" s="11"/>
      <c r="B498" s="24" t="s">
        <v>52</v>
      </c>
      <c r="C498" s="25" t="s">
        <v>407</v>
      </c>
      <c r="D498" s="10" t="s">
        <v>219</v>
      </c>
      <c r="E498" s="10" t="s">
        <v>74</v>
      </c>
      <c r="F498" s="571" t="s">
        <v>34</v>
      </c>
      <c r="G498" s="572" t="s">
        <v>25</v>
      </c>
      <c r="H498" s="572" t="s">
        <v>32</v>
      </c>
      <c r="I498" s="573" t="s">
        <v>86</v>
      </c>
      <c r="J498" s="10" t="s">
        <v>53</v>
      </c>
      <c r="K498" s="26">
        <v>6.2</v>
      </c>
      <c r="L498" s="26">
        <f>M498-K498</f>
        <v>0</v>
      </c>
      <c r="M498" s="26">
        <v>6.2</v>
      </c>
    </row>
    <row r="499" spans="1:13" s="121" customFormat="1" ht="18.75" customHeight="1" x14ac:dyDescent="0.35">
      <c r="A499" s="11"/>
      <c r="B499" s="24" t="s">
        <v>438</v>
      </c>
      <c r="C499" s="25" t="s">
        <v>407</v>
      </c>
      <c r="D499" s="10" t="s">
        <v>219</v>
      </c>
      <c r="E499" s="10" t="s">
        <v>74</v>
      </c>
      <c r="F499" s="571" t="s">
        <v>34</v>
      </c>
      <c r="G499" s="572" t="s">
        <v>25</v>
      </c>
      <c r="H499" s="572" t="s">
        <v>32</v>
      </c>
      <c r="I499" s="573" t="s">
        <v>376</v>
      </c>
      <c r="J499" s="10"/>
      <c r="K499" s="26">
        <f>K500</f>
        <v>550.9</v>
      </c>
      <c r="L499" s="26">
        <f>L500</f>
        <v>0</v>
      </c>
      <c r="M499" s="26">
        <v>550.9</v>
      </c>
    </row>
    <row r="500" spans="1:13" s="121" customFormat="1" ht="56.25" customHeight="1" x14ac:dyDescent="0.35">
      <c r="A500" s="11"/>
      <c r="B500" s="24" t="s">
        <v>50</v>
      </c>
      <c r="C500" s="25" t="s">
        <v>407</v>
      </c>
      <c r="D500" s="10" t="s">
        <v>219</v>
      </c>
      <c r="E500" s="10" t="s">
        <v>74</v>
      </c>
      <c r="F500" s="571" t="s">
        <v>34</v>
      </c>
      <c r="G500" s="572" t="s">
        <v>25</v>
      </c>
      <c r="H500" s="572" t="s">
        <v>32</v>
      </c>
      <c r="I500" s="573" t="s">
        <v>376</v>
      </c>
      <c r="J500" s="10" t="s">
        <v>51</v>
      </c>
      <c r="K500" s="26">
        <v>550.9</v>
      </c>
      <c r="L500" s="26">
        <f>M500-K500</f>
        <v>0</v>
      </c>
      <c r="M500" s="26">
        <v>550.9</v>
      </c>
    </row>
    <row r="501" spans="1:13" s="121" customFormat="1" ht="34.5" customHeight="1" x14ac:dyDescent="0.35">
      <c r="A501" s="11"/>
      <c r="B501" s="24" t="s">
        <v>203</v>
      </c>
      <c r="C501" s="25" t="s">
        <v>407</v>
      </c>
      <c r="D501" s="10" t="s">
        <v>219</v>
      </c>
      <c r="E501" s="10" t="s">
        <v>74</v>
      </c>
      <c r="F501" s="571" t="s">
        <v>34</v>
      </c>
      <c r="G501" s="572" t="s">
        <v>25</v>
      </c>
      <c r="H501" s="572" t="s">
        <v>32</v>
      </c>
      <c r="I501" s="573" t="s">
        <v>262</v>
      </c>
      <c r="J501" s="10"/>
      <c r="K501" s="26">
        <f>K502</f>
        <v>10</v>
      </c>
      <c r="L501" s="26">
        <f>L502</f>
        <v>0</v>
      </c>
      <c r="M501" s="26">
        <v>10</v>
      </c>
    </row>
    <row r="502" spans="1:13" s="121" customFormat="1" ht="57" customHeight="1" x14ac:dyDescent="0.35">
      <c r="A502" s="11"/>
      <c r="B502" s="24" t="s">
        <v>50</v>
      </c>
      <c r="C502" s="25" t="s">
        <v>407</v>
      </c>
      <c r="D502" s="10" t="s">
        <v>219</v>
      </c>
      <c r="E502" s="10" t="s">
        <v>74</v>
      </c>
      <c r="F502" s="571" t="s">
        <v>34</v>
      </c>
      <c r="G502" s="572" t="s">
        <v>25</v>
      </c>
      <c r="H502" s="572" t="s">
        <v>32</v>
      </c>
      <c r="I502" s="573" t="s">
        <v>262</v>
      </c>
      <c r="J502" s="10" t="s">
        <v>51</v>
      </c>
      <c r="K502" s="26">
        <v>10</v>
      </c>
      <c r="L502" s="26">
        <f>M502-K502</f>
        <v>0</v>
      </c>
      <c r="M502" s="26">
        <v>10</v>
      </c>
    </row>
    <row r="503" spans="1:13" s="121" customFormat="1" ht="111" customHeight="1" x14ac:dyDescent="0.35">
      <c r="A503" s="11"/>
      <c r="B503" s="24" t="s">
        <v>334</v>
      </c>
      <c r="C503" s="25" t="s">
        <v>407</v>
      </c>
      <c r="D503" s="10" t="s">
        <v>219</v>
      </c>
      <c r="E503" s="10" t="s">
        <v>74</v>
      </c>
      <c r="F503" s="571" t="s">
        <v>34</v>
      </c>
      <c r="G503" s="572" t="s">
        <v>25</v>
      </c>
      <c r="H503" s="572" t="s">
        <v>32</v>
      </c>
      <c r="I503" s="573" t="s">
        <v>258</v>
      </c>
      <c r="J503" s="10"/>
      <c r="K503" s="26">
        <f>K504</f>
        <v>6189.9</v>
      </c>
      <c r="L503" s="26">
        <f>L504</f>
        <v>0</v>
      </c>
      <c r="M503" s="26">
        <v>6189.9</v>
      </c>
    </row>
    <row r="504" spans="1:13" s="121" customFormat="1" ht="112.5" customHeight="1" x14ac:dyDescent="0.35">
      <c r="A504" s="11"/>
      <c r="B504" s="24" t="s">
        <v>44</v>
      </c>
      <c r="C504" s="25" t="s">
        <v>407</v>
      </c>
      <c r="D504" s="10" t="s">
        <v>219</v>
      </c>
      <c r="E504" s="10" t="s">
        <v>74</v>
      </c>
      <c r="F504" s="571" t="s">
        <v>34</v>
      </c>
      <c r="G504" s="572" t="s">
        <v>25</v>
      </c>
      <c r="H504" s="572" t="s">
        <v>32</v>
      </c>
      <c r="I504" s="573" t="s">
        <v>258</v>
      </c>
      <c r="J504" s="10" t="s">
        <v>45</v>
      </c>
      <c r="K504" s="26">
        <v>6189.9</v>
      </c>
      <c r="L504" s="26">
        <f>M504-K504</f>
        <v>0</v>
      </c>
      <c r="M504" s="26">
        <v>6189.9</v>
      </c>
    </row>
    <row r="505" spans="1:13" s="121" customFormat="1" ht="18.75" customHeight="1" x14ac:dyDescent="0.35">
      <c r="A505" s="11"/>
      <c r="B505" s="29" t="s">
        <v>114</v>
      </c>
      <c r="C505" s="25" t="s">
        <v>407</v>
      </c>
      <c r="D505" s="10" t="s">
        <v>99</v>
      </c>
      <c r="E505" s="10"/>
      <c r="F505" s="571"/>
      <c r="G505" s="572"/>
      <c r="H505" s="572"/>
      <c r="I505" s="573"/>
      <c r="J505" s="10"/>
      <c r="K505" s="26">
        <f t="shared" ref="K505:M506" si="75">K506</f>
        <v>5452.5</v>
      </c>
      <c r="L505" s="26">
        <f t="shared" si="75"/>
        <v>0</v>
      </c>
      <c r="M505" s="26">
        <v>5452.5</v>
      </c>
    </row>
    <row r="506" spans="1:13" s="121" customFormat="1" ht="18.75" customHeight="1" x14ac:dyDescent="0.35">
      <c r="A506" s="11"/>
      <c r="B506" s="29" t="s">
        <v>188</v>
      </c>
      <c r="C506" s="25" t="s">
        <v>407</v>
      </c>
      <c r="D506" s="10" t="s">
        <v>99</v>
      </c>
      <c r="E506" s="10" t="s">
        <v>47</v>
      </c>
      <c r="F506" s="571"/>
      <c r="G506" s="572"/>
      <c r="H506" s="572"/>
      <c r="I506" s="573"/>
      <c r="J506" s="10"/>
      <c r="K506" s="26">
        <f t="shared" si="75"/>
        <v>5452.5</v>
      </c>
      <c r="L506" s="26">
        <f t="shared" si="75"/>
        <v>0</v>
      </c>
      <c r="M506" s="26">
        <v>5452.5</v>
      </c>
    </row>
    <row r="507" spans="1:13" s="121" customFormat="1" ht="56.25" customHeight="1" x14ac:dyDescent="0.35">
      <c r="A507" s="11"/>
      <c r="B507" s="24" t="s">
        <v>200</v>
      </c>
      <c r="C507" s="25" t="s">
        <v>407</v>
      </c>
      <c r="D507" s="10" t="s">
        <v>99</v>
      </c>
      <c r="E507" s="10" t="s">
        <v>47</v>
      </c>
      <c r="F507" s="571" t="s">
        <v>34</v>
      </c>
      <c r="G507" s="572" t="s">
        <v>37</v>
      </c>
      <c r="H507" s="572" t="s">
        <v>38</v>
      </c>
      <c r="I507" s="573" t="s">
        <v>39</v>
      </c>
      <c r="J507" s="10"/>
      <c r="K507" s="26">
        <f t="shared" ref="K507:M509" si="76">K508</f>
        <v>5452.5</v>
      </c>
      <c r="L507" s="26">
        <f t="shared" si="76"/>
        <v>0</v>
      </c>
      <c r="M507" s="26">
        <v>5452.5</v>
      </c>
    </row>
    <row r="508" spans="1:13" s="121" customFormat="1" ht="37.5" customHeight="1" x14ac:dyDescent="0.35">
      <c r="A508" s="11"/>
      <c r="B508" s="24" t="s">
        <v>201</v>
      </c>
      <c r="C508" s="25" t="s">
        <v>407</v>
      </c>
      <c r="D508" s="10" t="s">
        <v>99</v>
      </c>
      <c r="E508" s="10" t="s">
        <v>47</v>
      </c>
      <c r="F508" s="571" t="s">
        <v>34</v>
      </c>
      <c r="G508" s="572" t="s">
        <v>40</v>
      </c>
      <c r="H508" s="572" t="s">
        <v>38</v>
      </c>
      <c r="I508" s="573" t="s">
        <v>39</v>
      </c>
      <c r="J508" s="10"/>
      <c r="K508" s="26">
        <f t="shared" si="76"/>
        <v>5452.5</v>
      </c>
      <c r="L508" s="26">
        <f t="shared" si="76"/>
        <v>0</v>
      </c>
      <c r="M508" s="26">
        <v>5452.5</v>
      </c>
    </row>
    <row r="509" spans="1:13" s="121" customFormat="1" ht="37.5" customHeight="1" x14ac:dyDescent="0.35">
      <c r="A509" s="11"/>
      <c r="B509" s="24" t="s">
        <v>255</v>
      </c>
      <c r="C509" s="25" t="s">
        <v>407</v>
      </c>
      <c r="D509" s="10" t="s">
        <v>99</v>
      </c>
      <c r="E509" s="10" t="s">
        <v>47</v>
      </c>
      <c r="F509" s="571" t="s">
        <v>34</v>
      </c>
      <c r="G509" s="572" t="s">
        <v>40</v>
      </c>
      <c r="H509" s="572" t="s">
        <v>32</v>
      </c>
      <c r="I509" s="573" t="s">
        <v>39</v>
      </c>
      <c r="J509" s="10"/>
      <c r="K509" s="26">
        <f t="shared" si="76"/>
        <v>5452.5</v>
      </c>
      <c r="L509" s="26">
        <f t="shared" si="76"/>
        <v>0</v>
      </c>
      <c r="M509" s="26">
        <v>5452.5</v>
      </c>
    </row>
    <row r="510" spans="1:13" s="121" customFormat="1" ht="127.2" customHeight="1" x14ac:dyDescent="0.35">
      <c r="A510" s="11"/>
      <c r="B510" s="24" t="s">
        <v>271</v>
      </c>
      <c r="C510" s="25" t="s">
        <v>407</v>
      </c>
      <c r="D510" s="10" t="s">
        <v>99</v>
      </c>
      <c r="E510" s="10" t="s">
        <v>47</v>
      </c>
      <c r="F510" s="571" t="s">
        <v>34</v>
      </c>
      <c r="G510" s="572" t="s">
        <v>40</v>
      </c>
      <c r="H510" s="572" t="s">
        <v>32</v>
      </c>
      <c r="I510" s="573" t="s">
        <v>272</v>
      </c>
      <c r="J510" s="10"/>
      <c r="K510" s="26">
        <f>K511+K512</f>
        <v>5452.5</v>
      </c>
      <c r="L510" s="26">
        <f>L511+L512</f>
        <v>0</v>
      </c>
      <c r="M510" s="26">
        <v>5452.5</v>
      </c>
    </row>
    <row r="511" spans="1:13" s="121" customFormat="1" ht="56.25" customHeight="1" x14ac:dyDescent="0.35">
      <c r="A511" s="11"/>
      <c r="B511" s="24" t="s">
        <v>50</v>
      </c>
      <c r="C511" s="25" t="s">
        <v>407</v>
      </c>
      <c r="D511" s="10" t="s">
        <v>99</v>
      </c>
      <c r="E511" s="10" t="s">
        <v>47</v>
      </c>
      <c r="F511" s="571" t="s">
        <v>34</v>
      </c>
      <c r="G511" s="572" t="s">
        <v>40</v>
      </c>
      <c r="H511" s="572" t="s">
        <v>32</v>
      </c>
      <c r="I511" s="573" t="s">
        <v>272</v>
      </c>
      <c r="J511" s="10" t="s">
        <v>51</v>
      </c>
      <c r="K511" s="26">
        <v>80.5</v>
      </c>
      <c r="L511" s="26">
        <f>M511-K511</f>
        <v>0</v>
      </c>
      <c r="M511" s="26">
        <v>80.5</v>
      </c>
    </row>
    <row r="512" spans="1:13" s="121" customFormat="1" ht="37.5" customHeight="1" x14ac:dyDescent="0.35">
      <c r="A512" s="11"/>
      <c r="B512" s="28" t="s">
        <v>115</v>
      </c>
      <c r="C512" s="25" t="s">
        <v>407</v>
      </c>
      <c r="D512" s="10" t="s">
        <v>99</v>
      </c>
      <c r="E512" s="10" t="s">
        <v>47</v>
      </c>
      <c r="F512" s="571" t="s">
        <v>34</v>
      </c>
      <c r="G512" s="572" t="s">
        <v>40</v>
      </c>
      <c r="H512" s="572" t="s">
        <v>32</v>
      </c>
      <c r="I512" s="573" t="s">
        <v>272</v>
      </c>
      <c r="J512" s="10" t="s">
        <v>116</v>
      </c>
      <c r="K512" s="26">
        <v>5372</v>
      </c>
      <c r="L512" s="26">
        <f>M512-K512</f>
        <v>0</v>
      </c>
      <c r="M512" s="26">
        <v>5372</v>
      </c>
    </row>
    <row r="513" spans="1:13" s="138" customFormat="1" ht="18.75" customHeight="1" x14ac:dyDescent="0.35">
      <c r="A513" s="133"/>
      <c r="B513" s="107"/>
      <c r="C513" s="167"/>
      <c r="D513" s="168"/>
      <c r="E513" s="168"/>
      <c r="F513" s="169"/>
      <c r="G513" s="170"/>
      <c r="H513" s="170"/>
      <c r="I513" s="171"/>
      <c r="J513" s="168"/>
      <c r="K513" s="137"/>
      <c r="L513" s="137"/>
      <c r="M513" s="137"/>
    </row>
    <row r="514" spans="1:13" s="117" customFormat="1" ht="56.25" customHeight="1" x14ac:dyDescent="0.3">
      <c r="A514" s="116">
        <v>6</v>
      </c>
      <c r="B514" s="154" t="s">
        <v>7</v>
      </c>
      <c r="C514" s="19" t="s">
        <v>301</v>
      </c>
      <c r="D514" s="20"/>
      <c r="E514" s="20"/>
      <c r="F514" s="21"/>
      <c r="G514" s="22"/>
      <c r="H514" s="22"/>
      <c r="I514" s="23"/>
      <c r="J514" s="20"/>
      <c r="K514" s="40">
        <f>K522+K545+K515</f>
        <v>101258</v>
      </c>
      <c r="L514" s="40">
        <f>L522+L545+L515</f>
        <v>38.600000000000364</v>
      </c>
      <c r="M514" s="40">
        <v>101296.59999999999</v>
      </c>
    </row>
    <row r="515" spans="1:13" s="117" customFormat="1" ht="24.75" customHeight="1" x14ac:dyDescent="0.35">
      <c r="A515" s="116"/>
      <c r="B515" s="24" t="s">
        <v>31</v>
      </c>
      <c r="C515" s="25" t="s">
        <v>301</v>
      </c>
      <c r="D515" s="35" t="s">
        <v>32</v>
      </c>
      <c r="E515" s="20"/>
      <c r="F515" s="21"/>
      <c r="G515" s="22"/>
      <c r="H515" s="22"/>
      <c r="I515" s="23"/>
      <c r="J515" s="20"/>
      <c r="K515" s="224">
        <f t="shared" ref="K515:M520" si="77">K516</f>
        <v>53.3</v>
      </c>
      <c r="L515" s="224">
        <f t="shared" si="77"/>
        <v>0</v>
      </c>
      <c r="M515" s="224">
        <v>53.3</v>
      </c>
    </row>
    <row r="516" spans="1:13" s="117" customFormat="1" ht="20.25" customHeight="1" x14ac:dyDescent="0.35">
      <c r="A516" s="116"/>
      <c r="B516" s="24" t="s">
        <v>65</v>
      </c>
      <c r="C516" s="25" t="s">
        <v>301</v>
      </c>
      <c r="D516" s="35" t="s">
        <v>32</v>
      </c>
      <c r="E516" s="35" t="s">
        <v>66</v>
      </c>
      <c r="F516" s="21"/>
      <c r="G516" s="22"/>
      <c r="H516" s="22"/>
      <c r="I516" s="23"/>
      <c r="J516" s="20"/>
      <c r="K516" s="224">
        <f>K518</f>
        <v>53.3</v>
      </c>
      <c r="L516" s="224">
        <f>L518</f>
        <v>0</v>
      </c>
      <c r="M516" s="224">
        <v>53.3</v>
      </c>
    </row>
    <row r="517" spans="1:13" s="117" customFormat="1" ht="56.25" customHeight="1" x14ac:dyDescent="0.35">
      <c r="A517" s="116"/>
      <c r="B517" s="30" t="s">
        <v>208</v>
      </c>
      <c r="C517" s="25" t="s">
        <v>301</v>
      </c>
      <c r="D517" s="10" t="s">
        <v>32</v>
      </c>
      <c r="E517" s="10" t="s">
        <v>66</v>
      </c>
      <c r="F517" s="571" t="s">
        <v>58</v>
      </c>
      <c r="G517" s="572" t="s">
        <v>37</v>
      </c>
      <c r="H517" s="572" t="s">
        <v>38</v>
      </c>
      <c r="I517" s="573" t="s">
        <v>39</v>
      </c>
      <c r="J517" s="20"/>
      <c r="K517" s="224">
        <f t="shared" ref="K517:M518" si="78">K518</f>
        <v>53.3</v>
      </c>
      <c r="L517" s="224">
        <f t="shared" si="78"/>
        <v>0</v>
      </c>
      <c r="M517" s="224">
        <v>53.3</v>
      </c>
    </row>
    <row r="518" spans="1:13" s="117" customFormat="1" ht="56.25" customHeight="1" x14ac:dyDescent="0.35">
      <c r="A518" s="116"/>
      <c r="B518" s="24" t="s">
        <v>211</v>
      </c>
      <c r="C518" s="25" t="s">
        <v>301</v>
      </c>
      <c r="D518" s="35" t="s">
        <v>32</v>
      </c>
      <c r="E518" s="35" t="s">
        <v>66</v>
      </c>
      <c r="F518" s="221" t="s">
        <v>58</v>
      </c>
      <c r="G518" s="222" t="s">
        <v>25</v>
      </c>
      <c r="H518" s="222" t="s">
        <v>38</v>
      </c>
      <c r="I518" s="223" t="s">
        <v>39</v>
      </c>
      <c r="J518" s="20"/>
      <c r="K518" s="224">
        <f t="shared" si="78"/>
        <v>53.3</v>
      </c>
      <c r="L518" s="224">
        <f t="shared" si="78"/>
        <v>0</v>
      </c>
      <c r="M518" s="224">
        <v>53.3</v>
      </c>
    </row>
    <row r="519" spans="1:13" s="117" customFormat="1" ht="37.5" customHeight="1" x14ac:dyDescent="0.35">
      <c r="A519" s="116"/>
      <c r="B519" s="24" t="s">
        <v>340</v>
      </c>
      <c r="C519" s="25" t="s">
        <v>301</v>
      </c>
      <c r="D519" s="35" t="s">
        <v>32</v>
      </c>
      <c r="E519" s="35" t="s">
        <v>66</v>
      </c>
      <c r="F519" s="221" t="s">
        <v>58</v>
      </c>
      <c r="G519" s="222" t="s">
        <v>25</v>
      </c>
      <c r="H519" s="222" t="s">
        <v>34</v>
      </c>
      <c r="I519" s="223" t="s">
        <v>39</v>
      </c>
      <c r="J519" s="20"/>
      <c r="K519" s="224">
        <f t="shared" si="77"/>
        <v>53.3</v>
      </c>
      <c r="L519" s="224">
        <f t="shared" si="77"/>
        <v>0</v>
      </c>
      <c r="M519" s="224">
        <v>53.3</v>
      </c>
    </row>
    <row r="520" spans="1:13" s="117" customFormat="1" ht="54.75" customHeight="1" x14ac:dyDescent="0.35">
      <c r="A520" s="116"/>
      <c r="B520" s="24" t="s">
        <v>341</v>
      </c>
      <c r="C520" s="25" t="s">
        <v>301</v>
      </c>
      <c r="D520" s="35" t="s">
        <v>32</v>
      </c>
      <c r="E520" s="35" t="s">
        <v>66</v>
      </c>
      <c r="F520" s="221" t="s">
        <v>58</v>
      </c>
      <c r="G520" s="222" t="s">
        <v>25</v>
      </c>
      <c r="H520" s="222" t="s">
        <v>34</v>
      </c>
      <c r="I520" s="223" t="s">
        <v>100</v>
      </c>
      <c r="J520" s="20"/>
      <c r="K520" s="224">
        <f t="shared" si="77"/>
        <v>53.3</v>
      </c>
      <c r="L520" s="224">
        <f t="shared" si="77"/>
        <v>0</v>
      </c>
      <c r="M520" s="224">
        <v>53.3</v>
      </c>
    </row>
    <row r="521" spans="1:13" s="117" customFormat="1" ht="56.25" customHeight="1" x14ac:dyDescent="0.35">
      <c r="A521" s="116"/>
      <c r="B521" s="24" t="s">
        <v>50</v>
      </c>
      <c r="C521" s="25" t="s">
        <v>301</v>
      </c>
      <c r="D521" s="35" t="s">
        <v>32</v>
      </c>
      <c r="E521" s="35" t="s">
        <v>66</v>
      </c>
      <c r="F521" s="221" t="s">
        <v>58</v>
      </c>
      <c r="G521" s="222" t="s">
        <v>25</v>
      </c>
      <c r="H521" s="222" t="s">
        <v>34</v>
      </c>
      <c r="I521" s="223" t="s">
        <v>100</v>
      </c>
      <c r="J521" s="35" t="s">
        <v>51</v>
      </c>
      <c r="K521" s="224">
        <v>53.3</v>
      </c>
      <c r="L521" s="26">
        <f>M521-K521</f>
        <v>0</v>
      </c>
      <c r="M521" s="224">
        <v>53.3</v>
      </c>
    </row>
    <row r="522" spans="1:13" s="7" customFormat="1" ht="18.75" customHeight="1" x14ac:dyDescent="0.35">
      <c r="A522" s="11"/>
      <c r="B522" s="30" t="s">
        <v>174</v>
      </c>
      <c r="C522" s="25" t="s">
        <v>301</v>
      </c>
      <c r="D522" s="10" t="s">
        <v>219</v>
      </c>
      <c r="E522" s="10"/>
      <c r="F522" s="571"/>
      <c r="G522" s="572"/>
      <c r="H522" s="572"/>
      <c r="I522" s="573"/>
      <c r="J522" s="10"/>
      <c r="K522" s="26">
        <f>K523+K539+K533</f>
        <v>59468.7</v>
      </c>
      <c r="L522" s="26">
        <f>L523+L539+L533</f>
        <v>0</v>
      </c>
      <c r="M522" s="26">
        <v>59468.7</v>
      </c>
    </row>
    <row r="523" spans="1:13" s="117" customFormat="1" ht="18.75" customHeight="1" x14ac:dyDescent="0.35">
      <c r="A523" s="11"/>
      <c r="B523" s="30" t="s">
        <v>338</v>
      </c>
      <c r="C523" s="25" t="s">
        <v>301</v>
      </c>
      <c r="D523" s="10" t="s">
        <v>219</v>
      </c>
      <c r="E523" s="10" t="s">
        <v>58</v>
      </c>
      <c r="F523" s="571"/>
      <c r="G523" s="572"/>
      <c r="H523" s="572"/>
      <c r="I523" s="573"/>
      <c r="J523" s="10"/>
      <c r="K523" s="26">
        <f t="shared" ref="K523:M524" si="79">K524</f>
        <v>58954.7</v>
      </c>
      <c r="L523" s="26">
        <f t="shared" si="79"/>
        <v>0</v>
      </c>
      <c r="M523" s="26">
        <v>58954.7</v>
      </c>
    </row>
    <row r="524" spans="1:13" s="117" customFormat="1" ht="56.25" customHeight="1" x14ac:dyDescent="0.35">
      <c r="A524" s="11"/>
      <c r="B524" s="30" t="s">
        <v>208</v>
      </c>
      <c r="C524" s="25" t="s">
        <v>301</v>
      </c>
      <c r="D524" s="10" t="s">
        <v>219</v>
      </c>
      <c r="E524" s="10" t="s">
        <v>58</v>
      </c>
      <c r="F524" s="571" t="s">
        <v>58</v>
      </c>
      <c r="G524" s="572" t="s">
        <v>37</v>
      </c>
      <c r="H524" s="572" t="s">
        <v>38</v>
      </c>
      <c r="I524" s="573" t="s">
        <v>39</v>
      </c>
      <c r="J524" s="10"/>
      <c r="K524" s="26">
        <f t="shared" si="79"/>
        <v>58954.7</v>
      </c>
      <c r="L524" s="26">
        <f t="shared" si="79"/>
        <v>0</v>
      </c>
      <c r="M524" s="26">
        <v>58954.7</v>
      </c>
    </row>
    <row r="525" spans="1:13" s="117" customFormat="1" ht="75" customHeight="1" x14ac:dyDescent="0.35">
      <c r="A525" s="11"/>
      <c r="B525" s="30" t="s">
        <v>209</v>
      </c>
      <c r="C525" s="25" t="s">
        <v>301</v>
      </c>
      <c r="D525" s="10" t="s">
        <v>219</v>
      </c>
      <c r="E525" s="10" t="s">
        <v>58</v>
      </c>
      <c r="F525" s="571" t="s">
        <v>58</v>
      </c>
      <c r="G525" s="572" t="s">
        <v>40</v>
      </c>
      <c r="H525" s="572" t="s">
        <v>38</v>
      </c>
      <c r="I525" s="573" t="s">
        <v>39</v>
      </c>
      <c r="J525" s="10"/>
      <c r="K525" s="26">
        <f>K526</f>
        <v>58954.7</v>
      </c>
      <c r="L525" s="26">
        <f>L526</f>
        <v>0</v>
      </c>
      <c r="M525" s="26">
        <v>58954.7</v>
      </c>
    </row>
    <row r="526" spans="1:13" s="117" customFormat="1" ht="37.5" customHeight="1" x14ac:dyDescent="0.35">
      <c r="A526" s="11"/>
      <c r="B526" s="30" t="s">
        <v>264</v>
      </c>
      <c r="C526" s="25" t="s">
        <v>301</v>
      </c>
      <c r="D526" s="10" t="s">
        <v>219</v>
      </c>
      <c r="E526" s="10" t="s">
        <v>58</v>
      </c>
      <c r="F526" s="571" t="s">
        <v>58</v>
      </c>
      <c r="G526" s="572" t="s">
        <v>40</v>
      </c>
      <c r="H526" s="572" t="s">
        <v>32</v>
      </c>
      <c r="I526" s="573" t="s">
        <v>39</v>
      </c>
      <c r="J526" s="10"/>
      <c r="K526" s="26">
        <f>K527+K531+K529</f>
        <v>58954.7</v>
      </c>
      <c r="L526" s="26">
        <f>L527+L531+L529</f>
        <v>0</v>
      </c>
      <c r="M526" s="26">
        <v>58954.7</v>
      </c>
    </row>
    <row r="527" spans="1:13" s="117" customFormat="1" ht="37.5" customHeight="1" x14ac:dyDescent="0.35">
      <c r="A527" s="11"/>
      <c r="B527" s="27" t="s">
        <v>437</v>
      </c>
      <c r="C527" s="25" t="s">
        <v>301</v>
      </c>
      <c r="D527" s="10" t="s">
        <v>219</v>
      </c>
      <c r="E527" s="10" t="s">
        <v>58</v>
      </c>
      <c r="F527" s="571" t="s">
        <v>58</v>
      </c>
      <c r="G527" s="572" t="s">
        <v>40</v>
      </c>
      <c r="H527" s="572" t="s">
        <v>32</v>
      </c>
      <c r="I527" s="573" t="s">
        <v>86</v>
      </c>
      <c r="J527" s="10"/>
      <c r="K527" s="26">
        <f>K528</f>
        <v>55802.799999999996</v>
      </c>
      <c r="L527" s="26">
        <f>L528</f>
        <v>0</v>
      </c>
      <c r="M527" s="26">
        <v>55802.799999999996</v>
      </c>
    </row>
    <row r="528" spans="1:13" s="7" customFormat="1" ht="56.25" customHeight="1" x14ac:dyDescent="0.35">
      <c r="A528" s="11"/>
      <c r="B528" s="28" t="s">
        <v>71</v>
      </c>
      <c r="C528" s="25" t="s">
        <v>301</v>
      </c>
      <c r="D528" s="10" t="s">
        <v>219</v>
      </c>
      <c r="E528" s="10" t="s">
        <v>58</v>
      </c>
      <c r="F528" s="571" t="s">
        <v>58</v>
      </c>
      <c r="G528" s="572" t="s">
        <v>40</v>
      </c>
      <c r="H528" s="572" t="s">
        <v>32</v>
      </c>
      <c r="I528" s="573" t="s">
        <v>86</v>
      </c>
      <c r="J528" s="10" t="s">
        <v>72</v>
      </c>
      <c r="K528" s="26">
        <f>56186.1-425.8+162.1-119.6</f>
        <v>55802.799999999996</v>
      </c>
      <c r="L528" s="26">
        <f>M528-K528</f>
        <v>0</v>
      </c>
      <c r="M528" s="26">
        <v>55802.799999999996</v>
      </c>
    </row>
    <row r="529" spans="1:13" s="7" customFormat="1" ht="21" customHeight="1" x14ac:dyDescent="0.35">
      <c r="A529" s="11"/>
      <c r="B529" s="28" t="s">
        <v>438</v>
      </c>
      <c r="C529" s="25" t="s">
        <v>301</v>
      </c>
      <c r="D529" s="10" t="s">
        <v>219</v>
      </c>
      <c r="E529" s="10" t="s">
        <v>58</v>
      </c>
      <c r="F529" s="571" t="s">
        <v>58</v>
      </c>
      <c r="G529" s="572" t="s">
        <v>40</v>
      </c>
      <c r="H529" s="572" t="s">
        <v>32</v>
      </c>
      <c r="I529" s="573" t="s">
        <v>376</v>
      </c>
      <c r="J529" s="10"/>
      <c r="K529" s="26">
        <f>K530</f>
        <v>1168.5999999999999</v>
      </c>
      <c r="L529" s="26">
        <f>L530</f>
        <v>0</v>
      </c>
      <c r="M529" s="26">
        <v>1168.5999999999999</v>
      </c>
    </row>
    <row r="530" spans="1:13" s="7" customFormat="1" ht="56.25" customHeight="1" x14ac:dyDescent="0.35">
      <c r="A530" s="11"/>
      <c r="B530" s="28" t="s">
        <v>71</v>
      </c>
      <c r="C530" s="25" t="s">
        <v>301</v>
      </c>
      <c r="D530" s="10" t="s">
        <v>219</v>
      </c>
      <c r="E530" s="10" t="s">
        <v>58</v>
      </c>
      <c r="F530" s="571" t="s">
        <v>58</v>
      </c>
      <c r="G530" s="572" t="s">
        <v>40</v>
      </c>
      <c r="H530" s="572" t="s">
        <v>32</v>
      </c>
      <c r="I530" s="573" t="s">
        <v>376</v>
      </c>
      <c r="J530" s="10" t="s">
        <v>72</v>
      </c>
      <c r="K530" s="26">
        <v>1168.5999999999999</v>
      </c>
      <c r="L530" s="26">
        <f>M530-K530</f>
        <v>0</v>
      </c>
      <c r="M530" s="26">
        <v>1168.5999999999999</v>
      </c>
    </row>
    <row r="531" spans="1:13" s="7" customFormat="1" ht="37.5" customHeight="1" x14ac:dyDescent="0.35">
      <c r="A531" s="11"/>
      <c r="B531" s="28" t="s">
        <v>302</v>
      </c>
      <c r="C531" s="25" t="s">
        <v>301</v>
      </c>
      <c r="D531" s="10" t="s">
        <v>219</v>
      </c>
      <c r="E531" s="10" t="s">
        <v>58</v>
      </c>
      <c r="F531" s="571" t="s">
        <v>58</v>
      </c>
      <c r="G531" s="572" t="s">
        <v>40</v>
      </c>
      <c r="H531" s="572" t="s">
        <v>32</v>
      </c>
      <c r="I531" s="573" t="s">
        <v>303</v>
      </c>
      <c r="J531" s="10"/>
      <c r="K531" s="26">
        <f>K532</f>
        <v>1983.3</v>
      </c>
      <c r="L531" s="26">
        <f>L532</f>
        <v>0</v>
      </c>
      <c r="M531" s="26">
        <v>1983.3</v>
      </c>
    </row>
    <row r="532" spans="1:13" s="7" customFormat="1" ht="56.25" customHeight="1" x14ac:dyDescent="0.35">
      <c r="A532" s="11"/>
      <c r="B532" s="28" t="s">
        <v>71</v>
      </c>
      <c r="C532" s="25" t="s">
        <v>301</v>
      </c>
      <c r="D532" s="10" t="s">
        <v>219</v>
      </c>
      <c r="E532" s="10" t="s">
        <v>58</v>
      </c>
      <c r="F532" s="571" t="s">
        <v>58</v>
      </c>
      <c r="G532" s="572" t="s">
        <v>40</v>
      </c>
      <c r="H532" s="572" t="s">
        <v>32</v>
      </c>
      <c r="I532" s="573" t="s">
        <v>303</v>
      </c>
      <c r="J532" s="10" t="s">
        <v>72</v>
      </c>
      <c r="K532" s="26">
        <v>1983.3</v>
      </c>
      <c r="L532" s="26">
        <f>M532-K532</f>
        <v>0</v>
      </c>
      <c r="M532" s="26">
        <v>1983.3</v>
      </c>
    </row>
    <row r="533" spans="1:13" s="7" customFormat="1" ht="22.5" customHeight="1" x14ac:dyDescent="0.35">
      <c r="A533" s="11"/>
      <c r="B533" s="28" t="s">
        <v>442</v>
      </c>
      <c r="C533" s="25" t="s">
        <v>301</v>
      </c>
      <c r="D533" s="10" t="s">
        <v>219</v>
      </c>
      <c r="E533" s="10" t="s">
        <v>219</v>
      </c>
      <c r="F533" s="571"/>
      <c r="G533" s="572"/>
      <c r="H533" s="572"/>
      <c r="I533" s="573"/>
      <c r="J533" s="10"/>
      <c r="K533" s="26">
        <f t="shared" ref="K533:M537" si="80">K534</f>
        <v>289</v>
      </c>
      <c r="L533" s="26">
        <f t="shared" si="80"/>
        <v>0</v>
      </c>
      <c r="M533" s="26">
        <v>289</v>
      </c>
    </row>
    <row r="534" spans="1:13" s="7" customFormat="1" ht="56.25" customHeight="1" x14ac:dyDescent="0.35">
      <c r="A534" s="11"/>
      <c r="B534" s="30" t="s">
        <v>208</v>
      </c>
      <c r="C534" s="25" t="s">
        <v>301</v>
      </c>
      <c r="D534" s="10" t="s">
        <v>219</v>
      </c>
      <c r="E534" s="10" t="s">
        <v>219</v>
      </c>
      <c r="F534" s="571" t="s">
        <v>58</v>
      </c>
      <c r="G534" s="572" t="s">
        <v>37</v>
      </c>
      <c r="H534" s="572" t="s">
        <v>38</v>
      </c>
      <c r="I534" s="573" t="s">
        <v>39</v>
      </c>
      <c r="J534" s="10"/>
      <c r="K534" s="26">
        <f t="shared" si="80"/>
        <v>289</v>
      </c>
      <c r="L534" s="26">
        <f t="shared" si="80"/>
        <v>0</v>
      </c>
      <c r="M534" s="26">
        <v>289</v>
      </c>
    </row>
    <row r="535" spans="1:13" s="7" customFormat="1" ht="74.25" customHeight="1" x14ac:dyDescent="0.35">
      <c r="A535" s="11"/>
      <c r="B535" s="30" t="s">
        <v>209</v>
      </c>
      <c r="C535" s="25" t="s">
        <v>301</v>
      </c>
      <c r="D535" s="10" t="s">
        <v>219</v>
      </c>
      <c r="E535" s="10" t="s">
        <v>219</v>
      </c>
      <c r="F535" s="571" t="s">
        <v>58</v>
      </c>
      <c r="G535" s="572" t="s">
        <v>40</v>
      </c>
      <c r="H535" s="572" t="s">
        <v>38</v>
      </c>
      <c r="I535" s="573" t="s">
        <v>39</v>
      </c>
      <c r="J535" s="10"/>
      <c r="K535" s="26">
        <f t="shared" si="80"/>
        <v>289</v>
      </c>
      <c r="L535" s="26">
        <f t="shared" si="80"/>
        <v>0</v>
      </c>
      <c r="M535" s="26">
        <v>289</v>
      </c>
    </row>
    <row r="536" spans="1:13" s="7" customFormat="1" ht="54.75" customHeight="1" x14ac:dyDescent="0.35">
      <c r="A536" s="11"/>
      <c r="B536" s="28" t="s">
        <v>269</v>
      </c>
      <c r="C536" s="25" t="s">
        <v>301</v>
      </c>
      <c r="D536" s="10" t="s">
        <v>219</v>
      </c>
      <c r="E536" s="10" t="s">
        <v>219</v>
      </c>
      <c r="F536" s="571" t="s">
        <v>58</v>
      </c>
      <c r="G536" s="572" t="s">
        <v>40</v>
      </c>
      <c r="H536" s="572" t="s">
        <v>60</v>
      </c>
      <c r="I536" s="573" t="s">
        <v>39</v>
      </c>
      <c r="J536" s="10"/>
      <c r="K536" s="26">
        <f t="shared" si="80"/>
        <v>289</v>
      </c>
      <c r="L536" s="26">
        <f t="shared" si="80"/>
        <v>0</v>
      </c>
      <c r="M536" s="26">
        <v>289</v>
      </c>
    </row>
    <row r="537" spans="1:13" s="7" customFormat="1" ht="36.75" customHeight="1" x14ac:dyDescent="0.35">
      <c r="A537" s="11"/>
      <c r="B537" s="28" t="s">
        <v>444</v>
      </c>
      <c r="C537" s="25" t="s">
        <v>301</v>
      </c>
      <c r="D537" s="10" t="s">
        <v>219</v>
      </c>
      <c r="E537" s="10" t="s">
        <v>219</v>
      </c>
      <c r="F537" s="571" t="s">
        <v>58</v>
      </c>
      <c r="G537" s="572" t="s">
        <v>40</v>
      </c>
      <c r="H537" s="572" t="s">
        <v>60</v>
      </c>
      <c r="I537" s="573" t="s">
        <v>443</v>
      </c>
      <c r="J537" s="10"/>
      <c r="K537" s="26">
        <f t="shared" si="80"/>
        <v>289</v>
      </c>
      <c r="L537" s="26">
        <f t="shared" si="80"/>
        <v>0</v>
      </c>
      <c r="M537" s="26">
        <v>289</v>
      </c>
    </row>
    <row r="538" spans="1:13" s="7" customFormat="1" ht="56.25" customHeight="1" x14ac:dyDescent="0.35">
      <c r="A538" s="11"/>
      <c r="B538" s="28" t="s">
        <v>71</v>
      </c>
      <c r="C538" s="25" t="s">
        <v>301</v>
      </c>
      <c r="D538" s="10" t="s">
        <v>219</v>
      </c>
      <c r="E538" s="10" t="s">
        <v>219</v>
      </c>
      <c r="F538" s="571" t="s">
        <v>58</v>
      </c>
      <c r="G538" s="572" t="s">
        <v>40</v>
      </c>
      <c r="H538" s="572" t="s">
        <v>60</v>
      </c>
      <c r="I538" s="573" t="s">
        <v>443</v>
      </c>
      <c r="J538" s="10" t="s">
        <v>72</v>
      </c>
      <c r="K538" s="26">
        <v>289</v>
      </c>
      <c r="L538" s="26">
        <f>M538-K538</f>
        <v>0</v>
      </c>
      <c r="M538" s="26">
        <v>289</v>
      </c>
    </row>
    <row r="539" spans="1:13" s="7" customFormat="1" ht="18.75" customHeight="1" x14ac:dyDescent="0.35">
      <c r="A539" s="11"/>
      <c r="B539" s="24" t="s">
        <v>181</v>
      </c>
      <c r="C539" s="25" t="s">
        <v>301</v>
      </c>
      <c r="D539" s="10" t="s">
        <v>219</v>
      </c>
      <c r="E539" s="10" t="s">
        <v>74</v>
      </c>
      <c r="F539" s="571"/>
      <c r="G539" s="572"/>
      <c r="H539" s="572"/>
      <c r="I539" s="573"/>
      <c r="J539" s="10"/>
      <c r="K539" s="26">
        <f t="shared" ref="K539:M543" si="81">K540</f>
        <v>225</v>
      </c>
      <c r="L539" s="26">
        <f t="shared" si="81"/>
        <v>0</v>
      </c>
      <c r="M539" s="26">
        <v>225</v>
      </c>
    </row>
    <row r="540" spans="1:13" s="7" customFormat="1" ht="56.25" customHeight="1" x14ac:dyDescent="0.35">
      <c r="A540" s="11"/>
      <c r="B540" s="30" t="s">
        <v>208</v>
      </c>
      <c r="C540" s="25" t="s">
        <v>301</v>
      </c>
      <c r="D540" s="10" t="s">
        <v>219</v>
      </c>
      <c r="E540" s="10" t="s">
        <v>74</v>
      </c>
      <c r="F540" s="571" t="s">
        <v>58</v>
      </c>
      <c r="G540" s="572" t="s">
        <v>37</v>
      </c>
      <c r="H540" s="572" t="s">
        <v>38</v>
      </c>
      <c r="I540" s="573" t="s">
        <v>39</v>
      </c>
      <c r="J540" s="10"/>
      <c r="K540" s="26">
        <f t="shared" si="81"/>
        <v>225</v>
      </c>
      <c r="L540" s="26">
        <f t="shared" si="81"/>
        <v>0</v>
      </c>
      <c r="M540" s="26">
        <v>225</v>
      </c>
    </row>
    <row r="541" spans="1:13" s="7" customFormat="1" ht="75" customHeight="1" x14ac:dyDescent="0.35">
      <c r="A541" s="11"/>
      <c r="B541" s="30" t="s">
        <v>209</v>
      </c>
      <c r="C541" s="25" t="s">
        <v>301</v>
      </c>
      <c r="D541" s="10" t="s">
        <v>219</v>
      </c>
      <c r="E541" s="10" t="s">
        <v>74</v>
      </c>
      <c r="F541" s="571" t="s">
        <v>58</v>
      </c>
      <c r="G541" s="572" t="s">
        <v>40</v>
      </c>
      <c r="H541" s="572" t="s">
        <v>38</v>
      </c>
      <c r="I541" s="573" t="s">
        <v>39</v>
      </c>
      <c r="J541" s="10"/>
      <c r="K541" s="26">
        <f t="shared" si="81"/>
        <v>225</v>
      </c>
      <c r="L541" s="26">
        <f t="shared" si="81"/>
        <v>0</v>
      </c>
      <c r="M541" s="26">
        <v>225</v>
      </c>
    </row>
    <row r="542" spans="1:13" s="7" customFormat="1" ht="18.75" customHeight="1" x14ac:dyDescent="0.35">
      <c r="A542" s="11"/>
      <c r="B542" s="28" t="s">
        <v>265</v>
      </c>
      <c r="C542" s="25" t="s">
        <v>301</v>
      </c>
      <c r="D542" s="10" t="s">
        <v>219</v>
      </c>
      <c r="E542" s="10" t="s">
        <v>74</v>
      </c>
      <c r="F542" s="571" t="s">
        <v>58</v>
      </c>
      <c r="G542" s="572" t="s">
        <v>40</v>
      </c>
      <c r="H542" s="572" t="s">
        <v>34</v>
      </c>
      <c r="I542" s="573" t="s">
        <v>39</v>
      </c>
      <c r="J542" s="10"/>
      <c r="K542" s="26">
        <f t="shared" si="81"/>
        <v>225</v>
      </c>
      <c r="L542" s="26">
        <f t="shared" si="81"/>
        <v>0</v>
      </c>
      <c r="M542" s="26">
        <v>225</v>
      </c>
    </row>
    <row r="543" spans="1:13" s="7" customFormat="1" ht="58.95" customHeight="1" x14ac:dyDescent="0.35">
      <c r="A543" s="11"/>
      <c r="B543" s="28" t="s">
        <v>206</v>
      </c>
      <c r="C543" s="25" t="s">
        <v>301</v>
      </c>
      <c r="D543" s="10" t="s">
        <v>219</v>
      </c>
      <c r="E543" s="10" t="s">
        <v>74</v>
      </c>
      <c r="F543" s="571" t="s">
        <v>58</v>
      </c>
      <c r="G543" s="572" t="s">
        <v>40</v>
      </c>
      <c r="H543" s="572" t="s">
        <v>34</v>
      </c>
      <c r="I543" s="573" t="s">
        <v>267</v>
      </c>
      <c r="J543" s="10"/>
      <c r="K543" s="26">
        <f t="shared" si="81"/>
        <v>225</v>
      </c>
      <c r="L543" s="26">
        <f t="shared" si="81"/>
        <v>0</v>
      </c>
      <c r="M543" s="26">
        <v>225</v>
      </c>
    </row>
    <row r="544" spans="1:13" s="7" customFormat="1" ht="37.5" customHeight="1" x14ac:dyDescent="0.35">
      <c r="A544" s="11"/>
      <c r="B544" s="28" t="s">
        <v>115</v>
      </c>
      <c r="C544" s="25" t="s">
        <v>301</v>
      </c>
      <c r="D544" s="10" t="s">
        <v>219</v>
      </c>
      <c r="E544" s="10" t="s">
        <v>74</v>
      </c>
      <c r="F544" s="571" t="s">
        <v>58</v>
      </c>
      <c r="G544" s="572" t="s">
        <v>40</v>
      </c>
      <c r="H544" s="572" t="s">
        <v>34</v>
      </c>
      <c r="I544" s="573" t="s">
        <v>267</v>
      </c>
      <c r="J544" s="10" t="s">
        <v>116</v>
      </c>
      <c r="K544" s="26">
        <v>225</v>
      </c>
      <c r="L544" s="26">
        <f>M544-K544</f>
        <v>0</v>
      </c>
      <c r="M544" s="26">
        <v>225</v>
      </c>
    </row>
    <row r="545" spans="1:13" s="7" customFormat="1" ht="18.75" customHeight="1" x14ac:dyDescent="0.35">
      <c r="A545" s="11"/>
      <c r="B545" s="24" t="s">
        <v>183</v>
      </c>
      <c r="C545" s="25" t="s">
        <v>301</v>
      </c>
      <c r="D545" s="10" t="s">
        <v>221</v>
      </c>
      <c r="E545" s="10"/>
      <c r="F545" s="571"/>
      <c r="G545" s="572"/>
      <c r="H545" s="572"/>
      <c r="I545" s="573"/>
      <c r="J545" s="10"/>
      <c r="K545" s="26">
        <f>K546+K570</f>
        <v>41736</v>
      </c>
      <c r="L545" s="26">
        <f>L546+L570</f>
        <v>38.600000000000364</v>
      </c>
      <c r="M545" s="26">
        <v>41774.6</v>
      </c>
    </row>
    <row r="546" spans="1:13" s="7" customFormat="1" ht="18.75" customHeight="1" x14ac:dyDescent="0.35">
      <c r="A546" s="11"/>
      <c r="B546" s="24" t="s">
        <v>185</v>
      </c>
      <c r="C546" s="25" t="s">
        <v>301</v>
      </c>
      <c r="D546" s="10" t="s">
        <v>221</v>
      </c>
      <c r="E546" s="10" t="s">
        <v>32</v>
      </c>
      <c r="F546" s="571"/>
      <c r="G546" s="572"/>
      <c r="H546" s="572"/>
      <c r="I546" s="573"/>
      <c r="J546" s="10"/>
      <c r="K546" s="26">
        <f>K547</f>
        <v>30046.5</v>
      </c>
      <c r="L546" s="26">
        <f>L547</f>
        <v>0</v>
      </c>
      <c r="M546" s="26">
        <v>30046.5</v>
      </c>
    </row>
    <row r="547" spans="1:13" s="7" customFormat="1" ht="56.25" customHeight="1" x14ac:dyDescent="0.35">
      <c r="A547" s="11"/>
      <c r="B547" s="30" t="s">
        <v>208</v>
      </c>
      <c r="C547" s="25" t="s">
        <v>301</v>
      </c>
      <c r="D547" s="10" t="s">
        <v>221</v>
      </c>
      <c r="E547" s="10" t="s">
        <v>32</v>
      </c>
      <c r="F547" s="571" t="s">
        <v>58</v>
      </c>
      <c r="G547" s="572" t="s">
        <v>37</v>
      </c>
      <c r="H547" s="572" t="s">
        <v>38</v>
      </c>
      <c r="I547" s="573" t="s">
        <v>39</v>
      </c>
      <c r="J547" s="10"/>
      <c r="K547" s="26">
        <f>K548+K563</f>
        <v>30046.5</v>
      </c>
      <c r="L547" s="26">
        <f>L548+L563</f>
        <v>0</v>
      </c>
      <c r="M547" s="26">
        <v>30046.5</v>
      </c>
    </row>
    <row r="548" spans="1:13" s="7" customFormat="1" ht="75" customHeight="1" x14ac:dyDescent="0.35">
      <c r="A548" s="11"/>
      <c r="B548" s="30" t="s">
        <v>209</v>
      </c>
      <c r="C548" s="25" t="s">
        <v>301</v>
      </c>
      <c r="D548" s="10" t="s">
        <v>221</v>
      </c>
      <c r="E548" s="10" t="s">
        <v>32</v>
      </c>
      <c r="F548" s="34" t="s">
        <v>58</v>
      </c>
      <c r="G548" s="91" t="s">
        <v>40</v>
      </c>
      <c r="H548" s="91" t="s">
        <v>38</v>
      </c>
      <c r="I548" s="92" t="s">
        <v>39</v>
      </c>
      <c r="J548" s="93"/>
      <c r="K548" s="26">
        <f>K549+K556</f>
        <v>29697</v>
      </c>
      <c r="L548" s="26">
        <f>L549+L556</f>
        <v>0</v>
      </c>
      <c r="M548" s="26">
        <v>29697</v>
      </c>
    </row>
    <row r="549" spans="1:13" s="7" customFormat="1" ht="18.75" customHeight="1" x14ac:dyDescent="0.35">
      <c r="A549" s="11"/>
      <c r="B549" s="24" t="s">
        <v>304</v>
      </c>
      <c r="C549" s="25" t="s">
        <v>301</v>
      </c>
      <c r="D549" s="10" t="s">
        <v>221</v>
      </c>
      <c r="E549" s="10" t="s">
        <v>32</v>
      </c>
      <c r="F549" s="34" t="s">
        <v>58</v>
      </c>
      <c r="G549" s="91" t="s">
        <v>40</v>
      </c>
      <c r="H549" s="91" t="s">
        <v>58</v>
      </c>
      <c r="I549" s="92" t="s">
        <v>39</v>
      </c>
      <c r="J549" s="93"/>
      <c r="K549" s="26">
        <f>K550+K552+K554</f>
        <v>12204.5</v>
      </c>
      <c r="L549" s="26">
        <f>L550+L552+L554</f>
        <v>0</v>
      </c>
      <c r="M549" s="26">
        <v>12204.5</v>
      </c>
    </row>
    <row r="550" spans="1:13" s="7" customFormat="1" ht="35.25" customHeight="1" x14ac:dyDescent="0.35">
      <c r="A550" s="11"/>
      <c r="B550" s="27" t="s">
        <v>437</v>
      </c>
      <c r="C550" s="25" t="s">
        <v>301</v>
      </c>
      <c r="D550" s="10" t="s">
        <v>221</v>
      </c>
      <c r="E550" s="10" t="s">
        <v>32</v>
      </c>
      <c r="F550" s="34" t="s">
        <v>58</v>
      </c>
      <c r="G550" s="91" t="s">
        <v>40</v>
      </c>
      <c r="H550" s="91" t="s">
        <v>58</v>
      </c>
      <c r="I550" s="92" t="s">
        <v>86</v>
      </c>
      <c r="J550" s="93"/>
      <c r="K550" s="26">
        <f>K551</f>
        <v>11475.3</v>
      </c>
      <c r="L550" s="26">
        <f>L551</f>
        <v>0</v>
      </c>
      <c r="M550" s="26">
        <v>11475.3</v>
      </c>
    </row>
    <row r="551" spans="1:13" s="7" customFormat="1" ht="56.25" customHeight="1" x14ac:dyDescent="0.35">
      <c r="A551" s="11"/>
      <c r="B551" s="28" t="s">
        <v>71</v>
      </c>
      <c r="C551" s="25" t="s">
        <v>301</v>
      </c>
      <c r="D551" s="10" t="s">
        <v>221</v>
      </c>
      <c r="E551" s="10" t="s">
        <v>32</v>
      </c>
      <c r="F551" s="571" t="s">
        <v>58</v>
      </c>
      <c r="G551" s="572" t="s">
        <v>40</v>
      </c>
      <c r="H551" s="572" t="s">
        <v>58</v>
      </c>
      <c r="I551" s="573" t="s">
        <v>86</v>
      </c>
      <c r="J551" s="10" t="s">
        <v>72</v>
      </c>
      <c r="K551" s="26">
        <f>11234+219.5+21.8</f>
        <v>11475.3</v>
      </c>
      <c r="L551" s="26">
        <f>M551-K551</f>
        <v>0</v>
      </c>
      <c r="M551" s="26">
        <v>11475.3</v>
      </c>
    </row>
    <row r="552" spans="1:13" s="7" customFormat="1" ht="37.5" customHeight="1" x14ac:dyDescent="0.35">
      <c r="A552" s="11"/>
      <c r="B552" s="28" t="s">
        <v>302</v>
      </c>
      <c r="C552" s="25" t="s">
        <v>301</v>
      </c>
      <c r="D552" s="10" t="s">
        <v>221</v>
      </c>
      <c r="E552" s="10" t="s">
        <v>32</v>
      </c>
      <c r="F552" s="34" t="s">
        <v>58</v>
      </c>
      <c r="G552" s="91" t="s">
        <v>40</v>
      </c>
      <c r="H552" s="91" t="s">
        <v>58</v>
      </c>
      <c r="I552" s="92" t="s">
        <v>303</v>
      </c>
      <c r="J552" s="93"/>
      <c r="K552" s="26">
        <f>K553</f>
        <v>258.2</v>
      </c>
      <c r="L552" s="26">
        <f>L553</f>
        <v>0</v>
      </c>
      <c r="M552" s="26">
        <v>258.2</v>
      </c>
    </row>
    <row r="553" spans="1:13" s="7" customFormat="1" ht="56.25" customHeight="1" x14ac:dyDescent="0.35">
      <c r="A553" s="11"/>
      <c r="B553" s="28" t="s">
        <v>71</v>
      </c>
      <c r="C553" s="25" t="s">
        <v>301</v>
      </c>
      <c r="D553" s="10" t="s">
        <v>221</v>
      </c>
      <c r="E553" s="10" t="s">
        <v>32</v>
      </c>
      <c r="F553" s="34" t="s">
        <v>58</v>
      </c>
      <c r="G553" s="91" t="s">
        <v>40</v>
      </c>
      <c r="H553" s="91" t="s">
        <v>58</v>
      </c>
      <c r="I553" s="92" t="s">
        <v>303</v>
      </c>
      <c r="J553" s="93" t="s">
        <v>72</v>
      </c>
      <c r="K553" s="26">
        <v>258.2</v>
      </c>
      <c r="L553" s="26">
        <f>M553-K553</f>
        <v>0</v>
      </c>
      <c r="M553" s="26">
        <v>258.2</v>
      </c>
    </row>
    <row r="554" spans="1:13" s="7" customFormat="1" ht="56.25" customHeight="1" x14ac:dyDescent="0.35">
      <c r="A554" s="11"/>
      <c r="B554" s="28" t="s">
        <v>210</v>
      </c>
      <c r="C554" s="25" t="s">
        <v>301</v>
      </c>
      <c r="D554" s="10" t="s">
        <v>221</v>
      </c>
      <c r="E554" s="10" t="s">
        <v>32</v>
      </c>
      <c r="F554" s="571" t="s">
        <v>58</v>
      </c>
      <c r="G554" s="572" t="s">
        <v>40</v>
      </c>
      <c r="H554" s="572" t="s">
        <v>58</v>
      </c>
      <c r="I554" s="573" t="s">
        <v>305</v>
      </c>
      <c r="J554" s="10"/>
      <c r="K554" s="26">
        <f>K555</f>
        <v>471</v>
      </c>
      <c r="L554" s="26">
        <f>L555</f>
        <v>0</v>
      </c>
      <c r="M554" s="26">
        <v>471</v>
      </c>
    </row>
    <row r="555" spans="1:13" s="7" customFormat="1" ht="56.25" customHeight="1" x14ac:dyDescent="0.35">
      <c r="A555" s="11"/>
      <c r="B555" s="28" t="s">
        <v>71</v>
      </c>
      <c r="C555" s="25" t="s">
        <v>301</v>
      </c>
      <c r="D555" s="10" t="s">
        <v>221</v>
      </c>
      <c r="E555" s="10" t="s">
        <v>32</v>
      </c>
      <c r="F555" s="571" t="s">
        <v>58</v>
      </c>
      <c r="G555" s="572" t="s">
        <v>40</v>
      </c>
      <c r="H555" s="572" t="s">
        <v>58</v>
      </c>
      <c r="I555" s="573" t="s">
        <v>305</v>
      </c>
      <c r="J555" s="10" t="s">
        <v>72</v>
      </c>
      <c r="K555" s="26">
        <v>471</v>
      </c>
      <c r="L555" s="26">
        <f>M555-K555</f>
        <v>0</v>
      </c>
      <c r="M555" s="26">
        <v>471</v>
      </c>
    </row>
    <row r="556" spans="1:13" s="7" customFormat="1" ht="37.5" customHeight="1" x14ac:dyDescent="0.35">
      <c r="A556" s="11"/>
      <c r="B556" s="28" t="s">
        <v>306</v>
      </c>
      <c r="C556" s="25" t="s">
        <v>301</v>
      </c>
      <c r="D556" s="10" t="s">
        <v>221</v>
      </c>
      <c r="E556" s="10" t="s">
        <v>32</v>
      </c>
      <c r="F556" s="34" t="s">
        <v>58</v>
      </c>
      <c r="G556" s="91" t="s">
        <v>40</v>
      </c>
      <c r="H556" s="91" t="s">
        <v>47</v>
      </c>
      <c r="I556" s="573" t="s">
        <v>39</v>
      </c>
      <c r="J556" s="10"/>
      <c r="K556" s="26">
        <f t="shared" ref="K556:L556" si="82">K557+K561</f>
        <v>17492.5</v>
      </c>
      <c r="L556" s="26">
        <f t="shared" si="82"/>
        <v>0</v>
      </c>
      <c r="M556" s="26">
        <v>17492.5</v>
      </c>
    </row>
    <row r="557" spans="1:13" s="7" customFormat="1" ht="44.25" customHeight="1" x14ac:dyDescent="0.35">
      <c r="A557" s="11"/>
      <c r="B557" s="27" t="s">
        <v>437</v>
      </c>
      <c r="C557" s="25" t="s">
        <v>301</v>
      </c>
      <c r="D557" s="10" t="s">
        <v>221</v>
      </c>
      <c r="E557" s="10" t="s">
        <v>32</v>
      </c>
      <c r="F557" s="34" t="s">
        <v>58</v>
      </c>
      <c r="G557" s="91" t="s">
        <v>40</v>
      </c>
      <c r="H557" s="91" t="s">
        <v>47</v>
      </c>
      <c r="I557" s="92" t="s">
        <v>86</v>
      </c>
      <c r="J557" s="93"/>
      <c r="K557" s="26">
        <f>K558+K559+K560</f>
        <v>13245.4</v>
      </c>
      <c r="L557" s="26">
        <f>L558+L559+L560</f>
        <v>0</v>
      </c>
      <c r="M557" s="26">
        <v>13245.4</v>
      </c>
    </row>
    <row r="558" spans="1:13" s="7" customFormat="1" ht="87" customHeight="1" x14ac:dyDescent="0.35">
      <c r="A558" s="11"/>
      <c r="B558" s="24" t="s">
        <v>44</v>
      </c>
      <c r="C558" s="25" t="s">
        <v>301</v>
      </c>
      <c r="D558" s="10" t="s">
        <v>221</v>
      </c>
      <c r="E558" s="10" t="s">
        <v>32</v>
      </c>
      <c r="F558" s="571" t="s">
        <v>58</v>
      </c>
      <c r="G558" s="572" t="s">
        <v>40</v>
      </c>
      <c r="H558" s="572" t="s">
        <v>47</v>
      </c>
      <c r="I558" s="573" t="s">
        <v>86</v>
      </c>
      <c r="J558" s="10" t="s">
        <v>45</v>
      </c>
      <c r="K558" s="26">
        <f>11895.6+206.3+39.2</f>
        <v>12141.1</v>
      </c>
      <c r="L558" s="26">
        <f>M558-K558</f>
        <v>0</v>
      </c>
      <c r="M558" s="26">
        <v>12141.1</v>
      </c>
    </row>
    <row r="559" spans="1:13" s="7" customFormat="1" ht="53.4" customHeight="1" x14ac:dyDescent="0.35">
      <c r="A559" s="11"/>
      <c r="B559" s="24" t="s">
        <v>50</v>
      </c>
      <c r="C559" s="25" t="s">
        <v>301</v>
      </c>
      <c r="D559" s="10" t="s">
        <v>221</v>
      </c>
      <c r="E559" s="10" t="s">
        <v>32</v>
      </c>
      <c r="F559" s="571" t="s">
        <v>58</v>
      </c>
      <c r="G559" s="572" t="s">
        <v>40</v>
      </c>
      <c r="H559" s="572" t="s">
        <v>47</v>
      </c>
      <c r="I559" s="573" t="s">
        <v>86</v>
      </c>
      <c r="J559" s="10" t="s">
        <v>51</v>
      </c>
      <c r="K559" s="26">
        <v>1057.3</v>
      </c>
      <c r="L559" s="26">
        <f>M559-K559</f>
        <v>0</v>
      </c>
      <c r="M559" s="26">
        <v>1057.3</v>
      </c>
    </row>
    <row r="560" spans="1:13" s="7" customFormat="1" ht="18.75" customHeight="1" x14ac:dyDescent="0.35">
      <c r="A560" s="11"/>
      <c r="B560" s="24" t="s">
        <v>52</v>
      </c>
      <c r="C560" s="25" t="s">
        <v>301</v>
      </c>
      <c r="D560" s="10" t="s">
        <v>221</v>
      </c>
      <c r="E560" s="10" t="s">
        <v>32</v>
      </c>
      <c r="F560" s="571" t="s">
        <v>58</v>
      </c>
      <c r="G560" s="572" t="s">
        <v>40</v>
      </c>
      <c r="H560" s="572" t="s">
        <v>47</v>
      </c>
      <c r="I560" s="573" t="s">
        <v>86</v>
      </c>
      <c r="J560" s="10" t="s">
        <v>53</v>
      </c>
      <c r="K560" s="26">
        <v>47</v>
      </c>
      <c r="L560" s="26">
        <f>M560-K560</f>
        <v>0</v>
      </c>
      <c r="M560" s="26">
        <v>47</v>
      </c>
    </row>
    <row r="561" spans="1:13" s="7" customFormat="1" ht="90.6" customHeight="1" x14ac:dyDescent="0.35">
      <c r="A561" s="11"/>
      <c r="B561" s="24" t="s">
        <v>526</v>
      </c>
      <c r="C561" s="25" t="s">
        <v>301</v>
      </c>
      <c r="D561" s="10" t="s">
        <v>221</v>
      </c>
      <c r="E561" s="10" t="s">
        <v>32</v>
      </c>
      <c r="F561" s="571" t="s">
        <v>58</v>
      </c>
      <c r="G561" s="572" t="s">
        <v>40</v>
      </c>
      <c r="H561" s="572" t="s">
        <v>47</v>
      </c>
      <c r="I561" s="573" t="s">
        <v>527</v>
      </c>
      <c r="J561" s="10"/>
      <c r="K561" s="26">
        <f t="shared" ref="K561:M561" si="83">K562</f>
        <v>4247.1000000000004</v>
      </c>
      <c r="L561" s="26">
        <f t="shared" si="83"/>
        <v>0</v>
      </c>
      <c r="M561" s="26">
        <v>4247.1000000000004</v>
      </c>
    </row>
    <row r="562" spans="1:13" s="7" customFormat="1" ht="56.25" customHeight="1" x14ac:dyDescent="0.35">
      <c r="A562" s="11"/>
      <c r="B562" s="24" t="s">
        <v>50</v>
      </c>
      <c r="C562" s="25" t="s">
        <v>301</v>
      </c>
      <c r="D562" s="10" t="s">
        <v>221</v>
      </c>
      <c r="E562" s="10" t="s">
        <v>32</v>
      </c>
      <c r="F562" s="571" t="s">
        <v>58</v>
      </c>
      <c r="G562" s="572" t="s">
        <v>40</v>
      </c>
      <c r="H562" s="572" t="s">
        <v>47</v>
      </c>
      <c r="I562" s="573" t="s">
        <v>527</v>
      </c>
      <c r="J562" s="10" t="s">
        <v>51</v>
      </c>
      <c r="K562" s="26">
        <f>424.7+3822.4</f>
        <v>4247.1000000000004</v>
      </c>
      <c r="L562" s="26">
        <f>M562-K562</f>
        <v>0</v>
      </c>
      <c r="M562" s="26">
        <v>4247.1000000000004</v>
      </c>
    </row>
    <row r="563" spans="1:13" s="7" customFormat="1" ht="52.95" customHeight="1" x14ac:dyDescent="0.35">
      <c r="A563" s="11"/>
      <c r="B563" s="24" t="s">
        <v>315</v>
      </c>
      <c r="C563" s="25" t="s">
        <v>301</v>
      </c>
      <c r="D563" s="10" t="s">
        <v>221</v>
      </c>
      <c r="E563" s="10" t="s">
        <v>32</v>
      </c>
      <c r="F563" s="34" t="s">
        <v>58</v>
      </c>
      <c r="G563" s="91" t="s">
        <v>84</v>
      </c>
      <c r="H563" s="91" t="s">
        <v>38</v>
      </c>
      <c r="I563" s="573" t="s">
        <v>39</v>
      </c>
      <c r="J563" s="10"/>
      <c r="K563" s="26">
        <f>K564</f>
        <v>349.5</v>
      </c>
      <c r="L563" s="26">
        <f>L564</f>
        <v>0</v>
      </c>
      <c r="M563" s="26">
        <v>349.5</v>
      </c>
    </row>
    <row r="564" spans="1:13" s="7" customFormat="1" ht="92.25" customHeight="1" x14ac:dyDescent="0.35">
      <c r="A564" s="11"/>
      <c r="B564" s="28" t="s">
        <v>307</v>
      </c>
      <c r="C564" s="25" t="s">
        <v>301</v>
      </c>
      <c r="D564" s="10" t="s">
        <v>221</v>
      </c>
      <c r="E564" s="10" t="s">
        <v>32</v>
      </c>
      <c r="F564" s="34" t="s">
        <v>58</v>
      </c>
      <c r="G564" s="91" t="s">
        <v>84</v>
      </c>
      <c r="H564" s="91" t="s">
        <v>58</v>
      </c>
      <c r="I564" s="573" t="s">
        <v>39</v>
      </c>
      <c r="J564" s="10"/>
      <c r="K564" s="26">
        <f>K565+K568</f>
        <v>349.5</v>
      </c>
      <c r="L564" s="26">
        <f>L565+L568</f>
        <v>0</v>
      </c>
      <c r="M564" s="26">
        <v>349.5</v>
      </c>
    </row>
    <row r="565" spans="1:13" s="7" customFormat="1" ht="37.5" customHeight="1" x14ac:dyDescent="0.35">
      <c r="A565" s="11"/>
      <c r="B565" s="28" t="s">
        <v>302</v>
      </c>
      <c r="C565" s="25" t="s">
        <v>301</v>
      </c>
      <c r="D565" s="10" t="s">
        <v>221</v>
      </c>
      <c r="E565" s="10" t="s">
        <v>32</v>
      </c>
      <c r="F565" s="34" t="s">
        <v>58</v>
      </c>
      <c r="G565" s="91" t="s">
        <v>84</v>
      </c>
      <c r="H565" s="91" t="s">
        <v>58</v>
      </c>
      <c r="I565" s="92" t="s">
        <v>303</v>
      </c>
      <c r="J565" s="93"/>
      <c r="K565" s="26">
        <f t="shared" ref="K565:L565" si="84">K567+K566</f>
        <v>307.39999999999998</v>
      </c>
      <c r="L565" s="26">
        <f t="shared" si="84"/>
        <v>0</v>
      </c>
      <c r="M565" s="26">
        <v>307.39999999999998</v>
      </c>
    </row>
    <row r="566" spans="1:13" s="7" customFormat="1" ht="51.6" customHeight="1" x14ac:dyDescent="0.35">
      <c r="A566" s="11"/>
      <c r="B566" s="28" t="s">
        <v>50</v>
      </c>
      <c r="C566" s="25" t="s">
        <v>301</v>
      </c>
      <c r="D566" s="10" t="s">
        <v>221</v>
      </c>
      <c r="E566" s="10" t="s">
        <v>32</v>
      </c>
      <c r="F566" s="34" t="s">
        <v>58</v>
      </c>
      <c r="G566" s="91" t="s">
        <v>84</v>
      </c>
      <c r="H566" s="91" t="s">
        <v>58</v>
      </c>
      <c r="I566" s="92" t="s">
        <v>303</v>
      </c>
      <c r="J566" s="93" t="s">
        <v>51</v>
      </c>
      <c r="K566" s="26">
        <v>289.5</v>
      </c>
      <c r="L566" s="26">
        <f>M566-K566</f>
        <v>0</v>
      </c>
      <c r="M566" s="26">
        <v>289.5</v>
      </c>
    </row>
    <row r="567" spans="1:13" s="7" customFormat="1" ht="56.25" customHeight="1" x14ac:dyDescent="0.35">
      <c r="A567" s="11"/>
      <c r="B567" s="28" t="s">
        <v>71</v>
      </c>
      <c r="C567" s="25" t="s">
        <v>301</v>
      </c>
      <c r="D567" s="10" t="s">
        <v>221</v>
      </c>
      <c r="E567" s="10" t="s">
        <v>32</v>
      </c>
      <c r="F567" s="571" t="s">
        <v>58</v>
      </c>
      <c r="G567" s="572" t="s">
        <v>84</v>
      </c>
      <c r="H567" s="572" t="s">
        <v>58</v>
      </c>
      <c r="I567" s="573" t="s">
        <v>303</v>
      </c>
      <c r="J567" s="10" t="s">
        <v>72</v>
      </c>
      <c r="K567" s="26">
        <v>17.899999999999999</v>
      </c>
      <c r="L567" s="26">
        <f>M567-K567</f>
        <v>0</v>
      </c>
      <c r="M567" s="26">
        <v>17.899999999999999</v>
      </c>
    </row>
    <row r="568" spans="1:13" s="7" customFormat="1" ht="56.25" customHeight="1" x14ac:dyDescent="0.35">
      <c r="A568" s="11"/>
      <c r="B568" s="28" t="s">
        <v>401</v>
      </c>
      <c r="C568" s="25" t="s">
        <v>301</v>
      </c>
      <c r="D568" s="10" t="s">
        <v>221</v>
      </c>
      <c r="E568" s="10" t="s">
        <v>32</v>
      </c>
      <c r="F568" s="571" t="s">
        <v>58</v>
      </c>
      <c r="G568" s="572" t="s">
        <v>84</v>
      </c>
      <c r="H568" s="572" t="s">
        <v>58</v>
      </c>
      <c r="I568" s="573" t="s">
        <v>402</v>
      </c>
      <c r="J568" s="10"/>
      <c r="K568" s="26">
        <f>K569</f>
        <v>42.1</v>
      </c>
      <c r="L568" s="26">
        <f>L569</f>
        <v>0</v>
      </c>
      <c r="M568" s="26">
        <v>42.1</v>
      </c>
    </row>
    <row r="569" spans="1:13" s="7" customFormat="1" ht="56.25" customHeight="1" x14ac:dyDescent="0.35">
      <c r="A569" s="11"/>
      <c r="B569" s="28" t="s">
        <v>71</v>
      </c>
      <c r="C569" s="25" t="s">
        <v>301</v>
      </c>
      <c r="D569" s="10" t="s">
        <v>221</v>
      </c>
      <c r="E569" s="10" t="s">
        <v>32</v>
      </c>
      <c r="F569" s="571" t="s">
        <v>58</v>
      </c>
      <c r="G569" s="572" t="s">
        <v>84</v>
      </c>
      <c r="H569" s="572" t="s">
        <v>58</v>
      </c>
      <c r="I569" s="573" t="s">
        <v>402</v>
      </c>
      <c r="J569" s="10" t="s">
        <v>72</v>
      </c>
      <c r="K569" s="26">
        <v>42.1</v>
      </c>
      <c r="L569" s="26">
        <f>M569-K569</f>
        <v>0</v>
      </c>
      <c r="M569" s="26">
        <v>42.1</v>
      </c>
    </row>
    <row r="570" spans="1:13" s="7" customFormat="1" ht="37.5" customHeight="1" x14ac:dyDescent="0.35">
      <c r="A570" s="11"/>
      <c r="B570" s="24" t="s">
        <v>308</v>
      </c>
      <c r="C570" s="25" t="s">
        <v>301</v>
      </c>
      <c r="D570" s="10" t="s">
        <v>221</v>
      </c>
      <c r="E570" s="10" t="s">
        <v>47</v>
      </c>
      <c r="F570" s="34"/>
      <c r="G570" s="91"/>
      <c r="H570" s="91"/>
      <c r="I570" s="92"/>
      <c r="J570" s="93"/>
      <c r="K570" s="26">
        <f>K571</f>
        <v>11689.5</v>
      </c>
      <c r="L570" s="26">
        <f>L571</f>
        <v>38.600000000000364</v>
      </c>
      <c r="M570" s="26">
        <v>11728.1</v>
      </c>
    </row>
    <row r="571" spans="1:13" s="7" customFormat="1" ht="56.25" customHeight="1" x14ac:dyDescent="0.35">
      <c r="A571" s="11"/>
      <c r="B571" s="30" t="s">
        <v>208</v>
      </c>
      <c r="C571" s="25" t="s">
        <v>301</v>
      </c>
      <c r="D571" s="10" t="s">
        <v>221</v>
      </c>
      <c r="E571" s="10" t="s">
        <v>47</v>
      </c>
      <c r="F571" s="34" t="s">
        <v>58</v>
      </c>
      <c r="G571" s="91" t="s">
        <v>37</v>
      </c>
      <c r="H571" s="91" t="s">
        <v>38</v>
      </c>
      <c r="I571" s="92" t="s">
        <v>39</v>
      </c>
      <c r="J571" s="93"/>
      <c r="K571" s="26">
        <f>K576+K572</f>
        <v>11689.5</v>
      </c>
      <c r="L571" s="26">
        <f>L576+L572</f>
        <v>38.600000000000364</v>
      </c>
      <c r="M571" s="26">
        <v>11728.1</v>
      </c>
    </row>
    <row r="572" spans="1:13" s="7" customFormat="1" ht="56.25" customHeight="1" x14ac:dyDescent="0.35">
      <c r="A572" s="11"/>
      <c r="B572" s="24" t="s">
        <v>315</v>
      </c>
      <c r="C572" s="25" t="s">
        <v>301</v>
      </c>
      <c r="D572" s="10" t="s">
        <v>221</v>
      </c>
      <c r="E572" s="10" t="s">
        <v>47</v>
      </c>
      <c r="F572" s="571" t="s">
        <v>58</v>
      </c>
      <c r="G572" s="572" t="s">
        <v>84</v>
      </c>
      <c r="H572" s="572" t="s">
        <v>38</v>
      </c>
      <c r="I572" s="573" t="s">
        <v>39</v>
      </c>
      <c r="J572" s="10"/>
      <c r="K572" s="26">
        <f t="shared" ref="K572:M574" si="85">K573</f>
        <v>589.4</v>
      </c>
      <c r="L572" s="26">
        <f t="shared" si="85"/>
        <v>0</v>
      </c>
      <c r="M572" s="26">
        <v>589.4</v>
      </c>
    </row>
    <row r="573" spans="1:13" s="7" customFormat="1" ht="87" customHeight="1" x14ac:dyDescent="0.35">
      <c r="A573" s="11"/>
      <c r="B573" s="80" t="s">
        <v>307</v>
      </c>
      <c r="C573" s="25" t="s">
        <v>301</v>
      </c>
      <c r="D573" s="10" t="s">
        <v>221</v>
      </c>
      <c r="E573" s="10" t="s">
        <v>47</v>
      </c>
      <c r="F573" s="571" t="s">
        <v>58</v>
      </c>
      <c r="G573" s="572" t="s">
        <v>84</v>
      </c>
      <c r="H573" s="572" t="s">
        <v>58</v>
      </c>
      <c r="I573" s="573" t="s">
        <v>39</v>
      </c>
      <c r="J573" s="10"/>
      <c r="K573" s="26">
        <f t="shared" si="85"/>
        <v>589.4</v>
      </c>
      <c r="L573" s="26">
        <f t="shared" si="85"/>
        <v>0</v>
      </c>
      <c r="M573" s="26">
        <v>589.4</v>
      </c>
    </row>
    <row r="574" spans="1:13" s="7" customFormat="1" ht="37.5" customHeight="1" x14ac:dyDescent="0.35">
      <c r="A574" s="11"/>
      <c r="B574" s="28" t="s">
        <v>302</v>
      </c>
      <c r="C574" s="25" t="s">
        <v>301</v>
      </c>
      <c r="D574" s="10" t="s">
        <v>221</v>
      </c>
      <c r="E574" s="10" t="s">
        <v>47</v>
      </c>
      <c r="F574" s="571" t="s">
        <v>58</v>
      </c>
      <c r="G574" s="572" t="s">
        <v>84</v>
      </c>
      <c r="H574" s="572" t="s">
        <v>58</v>
      </c>
      <c r="I574" s="573" t="s">
        <v>303</v>
      </c>
      <c r="J574" s="10"/>
      <c r="K574" s="26">
        <f t="shared" si="85"/>
        <v>589.4</v>
      </c>
      <c r="L574" s="26">
        <f t="shared" si="85"/>
        <v>0</v>
      </c>
      <c r="M574" s="26">
        <v>589.4</v>
      </c>
    </row>
    <row r="575" spans="1:13" s="7" customFormat="1" ht="50.25" customHeight="1" x14ac:dyDescent="0.35">
      <c r="A575" s="11"/>
      <c r="B575" s="24" t="s">
        <v>50</v>
      </c>
      <c r="C575" s="25" t="s">
        <v>301</v>
      </c>
      <c r="D575" s="10" t="s">
        <v>221</v>
      </c>
      <c r="E575" s="10" t="s">
        <v>47</v>
      </c>
      <c r="F575" s="571" t="s">
        <v>58</v>
      </c>
      <c r="G575" s="572" t="s">
        <v>84</v>
      </c>
      <c r="H575" s="572" t="s">
        <v>58</v>
      </c>
      <c r="I575" s="573" t="s">
        <v>303</v>
      </c>
      <c r="J575" s="10" t="s">
        <v>51</v>
      </c>
      <c r="K575" s="26">
        <v>589.4</v>
      </c>
      <c r="L575" s="26">
        <f>M575-K575</f>
        <v>0</v>
      </c>
      <c r="M575" s="26">
        <v>589.4</v>
      </c>
    </row>
    <row r="576" spans="1:13" s="7" customFormat="1" ht="56.25" customHeight="1" x14ac:dyDescent="0.35">
      <c r="A576" s="11"/>
      <c r="B576" s="24" t="s">
        <v>211</v>
      </c>
      <c r="C576" s="25" t="s">
        <v>301</v>
      </c>
      <c r="D576" s="10" t="s">
        <v>221</v>
      </c>
      <c r="E576" s="10" t="s">
        <v>47</v>
      </c>
      <c r="F576" s="571" t="s">
        <v>58</v>
      </c>
      <c r="G576" s="572" t="s">
        <v>25</v>
      </c>
      <c r="H576" s="572" t="s">
        <v>38</v>
      </c>
      <c r="I576" s="573" t="s">
        <v>39</v>
      </c>
      <c r="J576" s="10"/>
      <c r="K576" s="26">
        <f>K577</f>
        <v>11100.1</v>
      </c>
      <c r="L576" s="26">
        <f>L577</f>
        <v>38.600000000000364</v>
      </c>
      <c r="M576" s="26">
        <v>11138.7</v>
      </c>
    </row>
    <row r="577" spans="1:13" s="7" customFormat="1" ht="37.5" customHeight="1" x14ac:dyDescent="0.35">
      <c r="A577" s="11"/>
      <c r="B577" s="24" t="s">
        <v>270</v>
      </c>
      <c r="C577" s="25" t="s">
        <v>301</v>
      </c>
      <c r="D577" s="10" t="s">
        <v>221</v>
      </c>
      <c r="E577" s="10" t="s">
        <v>47</v>
      </c>
      <c r="F577" s="571" t="s">
        <v>58</v>
      </c>
      <c r="G577" s="572" t="s">
        <v>25</v>
      </c>
      <c r="H577" s="572" t="s">
        <v>32</v>
      </c>
      <c r="I577" s="573" t="s">
        <v>39</v>
      </c>
      <c r="J577" s="10"/>
      <c r="K577" s="26">
        <f>K578+K582+K586</f>
        <v>11100.1</v>
      </c>
      <c r="L577" s="26">
        <f>L578+L582+L586</f>
        <v>38.600000000000364</v>
      </c>
      <c r="M577" s="26">
        <v>11138.7</v>
      </c>
    </row>
    <row r="578" spans="1:13" s="7" customFormat="1" ht="37.5" customHeight="1" x14ac:dyDescent="0.35">
      <c r="A578" s="11"/>
      <c r="B578" s="24" t="s">
        <v>42</v>
      </c>
      <c r="C578" s="25" t="s">
        <v>301</v>
      </c>
      <c r="D578" s="10" t="s">
        <v>221</v>
      </c>
      <c r="E578" s="10" t="s">
        <v>47</v>
      </c>
      <c r="F578" s="571" t="s">
        <v>58</v>
      </c>
      <c r="G578" s="572" t="s">
        <v>25</v>
      </c>
      <c r="H578" s="572" t="s">
        <v>32</v>
      </c>
      <c r="I578" s="573" t="s">
        <v>43</v>
      </c>
      <c r="J578" s="93"/>
      <c r="K578" s="26">
        <f>K579+K580+K581</f>
        <v>3290.1</v>
      </c>
      <c r="L578" s="26">
        <f>L579+L580+L581</f>
        <v>0</v>
      </c>
      <c r="M578" s="26">
        <v>3290.1</v>
      </c>
    </row>
    <row r="579" spans="1:13" s="7" customFormat="1" ht="112.5" customHeight="1" x14ac:dyDescent="0.35">
      <c r="A579" s="11"/>
      <c r="B579" s="24" t="s">
        <v>44</v>
      </c>
      <c r="C579" s="25" t="s">
        <v>301</v>
      </c>
      <c r="D579" s="10" t="s">
        <v>221</v>
      </c>
      <c r="E579" s="10" t="s">
        <v>47</v>
      </c>
      <c r="F579" s="571" t="s">
        <v>58</v>
      </c>
      <c r="G579" s="572" t="s">
        <v>25</v>
      </c>
      <c r="H579" s="572" t="s">
        <v>32</v>
      </c>
      <c r="I579" s="573" t="s">
        <v>43</v>
      </c>
      <c r="J579" s="93" t="s">
        <v>45</v>
      </c>
      <c r="K579" s="26">
        <f>2633.6+402.7</f>
        <v>3036.2999999999997</v>
      </c>
      <c r="L579" s="26">
        <f>M579-K579</f>
        <v>0</v>
      </c>
      <c r="M579" s="26">
        <v>3036.2999999999997</v>
      </c>
    </row>
    <row r="580" spans="1:13" s="7" customFormat="1" ht="56.25" customHeight="1" x14ac:dyDescent="0.35">
      <c r="A580" s="11"/>
      <c r="B580" s="24" t="s">
        <v>50</v>
      </c>
      <c r="C580" s="25" t="s">
        <v>301</v>
      </c>
      <c r="D580" s="10" t="s">
        <v>221</v>
      </c>
      <c r="E580" s="10" t="s">
        <v>47</v>
      </c>
      <c r="F580" s="571" t="s">
        <v>58</v>
      </c>
      <c r="G580" s="572" t="s">
        <v>25</v>
      </c>
      <c r="H580" s="572" t="s">
        <v>32</v>
      </c>
      <c r="I580" s="573" t="s">
        <v>43</v>
      </c>
      <c r="J580" s="93" t="s">
        <v>51</v>
      </c>
      <c r="K580" s="26">
        <v>249.4</v>
      </c>
      <c r="L580" s="26">
        <f>M580-K580</f>
        <v>0</v>
      </c>
      <c r="M580" s="26">
        <v>249.4</v>
      </c>
    </row>
    <row r="581" spans="1:13" s="7" customFormat="1" ht="18.75" customHeight="1" x14ac:dyDescent="0.35">
      <c r="A581" s="11"/>
      <c r="B581" s="24" t="s">
        <v>52</v>
      </c>
      <c r="C581" s="25" t="s">
        <v>301</v>
      </c>
      <c r="D581" s="10" t="s">
        <v>221</v>
      </c>
      <c r="E581" s="10" t="s">
        <v>47</v>
      </c>
      <c r="F581" s="571" t="s">
        <v>58</v>
      </c>
      <c r="G581" s="572" t="s">
        <v>25</v>
      </c>
      <c r="H581" s="572" t="s">
        <v>32</v>
      </c>
      <c r="I581" s="573" t="s">
        <v>43</v>
      </c>
      <c r="J581" s="10" t="s">
        <v>53</v>
      </c>
      <c r="K581" s="26">
        <v>4.4000000000000004</v>
      </c>
      <c r="L581" s="26">
        <f>M581-K581</f>
        <v>0</v>
      </c>
      <c r="M581" s="26">
        <v>4.4000000000000004</v>
      </c>
    </row>
    <row r="582" spans="1:13" s="7" customFormat="1" ht="39" customHeight="1" x14ac:dyDescent="0.35">
      <c r="A582" s="11"/>
      <c r="B582" s="27" t="s">
        <v>437</v>
      </c>
      <c r="C582" s="25" t="s">
        <v>301</v>
      </c>
      <c r="D582" s="10" t="s">
        <v>221</v>
      </c>
      <c r="E582" s="10" t="s">
        <v>47</v>
      </c>
      <c r="F582" s="571" t="s">
        <v>58</v>
      </c>
      <c r="G582" s="572" t="s">
        <v>25</v>
      </c>
      <c r="H582" s="572" t="s">
        <v>32</v>
      </c>
      <c r="I582" s="573" t="s">
        <v>86</v>
      </c>
      <c r="J582" s="10"/>
      <c r="K582" s="26">
        <f>K583+K584+K585</f>
        <v>7498.5</v>
      </c>
      <c r="L582" s="26">
        <f>L583+L584+L585</f>
        <v>38.600000000000364</v>
      </c>
      <c r="M582" s="26">
        <v>7537.1</v>
      </c>
    </row>
    <row r="583" spans="1:13" s="7" customFormat="1" ht="112.5" customHeight="1" x14ac:dyDescent="0.35">
      <c r="A583" s="11"/>
      <c r="B583" s="24" t="s">
        <v>44</v>
      </c>
      <c r="C583" s="155" t="s">
        <v>301</v>
      </c>
      <c r="D583" s="93" t="s">
        <v>221</v>
      </c>
      <c r="E583" s="93" t="s">
        <v>47</v>
      </c>
      <c r="F583" s="571" t="s">
        <v>58</v>
      </c>
      <c r="G583" s="572" t="s">
        <v>25</v>
      </c>
      <c r="H583" s="572" t="s">
        <v>32</v>
      </c>
      <c r="I583" s="573" t="s">
        <v>86</v>
      </c>
      <c r="J583" s="93" t="s">
        <v>45</v>
      </c>
      <c r="K583" s="26">
        <f>5944.1+1006.2</f>
        <v>6950.3</v>
      </c>
      <c r="L583" s="26">
        <f>M583-K583</f>
        <v>38.600000000000364</v>
      </c>
      <c r="M583" s="26">
        <v>6988.9000000000005</v>
      </c>
    </row>
    <row r="584" spans="1:13" s="7" customFormat="1" ht="56.25" customHeight="1" x14ac:dyDescent="0.35">
      <c r="A584" s="11"/>
      <c r="B584" s="24" t="s">
        <v>50</v>
      </c>
      <c r="C584" s="155" t="s">
        <v>301</v>
      </c>
      <c r="D584" s="93" t="s">
        <v>221</v>
      </c>
      <c r="E584" s="93" t="s">
        <v>47</v>
      </c>
      <c r="F584" s="571" t="s">
        <v>58</v>
      </c>
      <c r="G584" s="572" t="s">
        <v>25</v>
      </c>
      <c r="H584" s="572" t="s">
        <v>32</v>
      </c>
      <c r="I584" s="573" t="s">
        <v>86</v>
      </c>
      <c r="J584" s="93" t="s">
        <v>51</v>
      </c>
      <c r="K584" s="26">
        <v>546.5</v>
      </c>
      <c r="L584" s="26">
        <f>M584-K584</f>
        <v>0</v>
      </c>
      <c r="M584" s="26">
        <v>546.5</v>
      </c>
    </row>
    <row r="585" spans="1:13" s="7" customFormat="1" ht="18.75" customHeight="1" x14ac:dyDescent="0.35">
      <c r="A585" s="11"/>
      <c r="B585" s="24" t="s">
        <v>52</v>
      </c>
      <c r="C585" s="155" t="s">
        <v>301</v>
      </c>
      <c r="D585" s="93" t="s">
        <v>221</v>
      </c>
      <c r="E585" s="93" t="s">
        <v>47</v>
      </c>
      <c r="F585" s="571" t="s">
        <v>58</v>
      </c>
      <c r="G585" s="572" t="s">
        <v>25</v>
      </c>
      <c r="H585" s="572" t="s">
        <v>32</v>
      </c>
      <c r="I585" s="573" t="s">
        <v>86</v>
      </c>
      <c r="J585" s="10" t="s">
        <v>53</v>
      </c>
      <c r="K585" s="26">
        <v>1.7</v>
      </c>
      <c r="L585" s="26">
        <f>M585-K585</f>
        <v>0</v>
      </c>
      <c r="M585" s="26">
        <v>1.7</v>
      </c>
    </row>
    <row r="586" spans="1:13" s="138" customFormat="1" ht="18.75" customHeight="1" x14ac:dyDescent="0.35">
      <c r="A586" s="230"/>
      <c r="B586" s="231" t="s">
        <v>438</v>
      </c>
      <c r="C586" s="155" t="s">
        <v>301</v>
      </c>
      <c r="D586" s="93" t="s">
        <v>221</v>
      </c>
      <c r="E586" s="93" t="s">
        <v>47</v>
      </c>
      <c r="F586" s="571" t="s">
        <v>58</v>
      </c>
      <c r="G586" s="572" t="s">
        <v>25</v>
      </c>
      <c r="H586" s="572" t="s">
        <v>32</v>
      </c>
      <c r="I586" s="171" t="s">
        <v>376</v>
      </c>
      <c r="J586" s="227"/>
      <c r="K586" s="210">
        <f>K587</f>
        <v>311.5</v>
      </c>
      <c r="L586" s="210">
        <f>L587</f>
        <v>0</v>
      </c>
      <c r="M586" s="210">
        <v>311.5</v>
      </c>
    </row>
    <row r="587" spans="1:13" s="138" customFormat="1" ht="55.5" customHeight="1" x14ac:dyDescent="0.35">
      <c r="A587" s="232"/>
      <c r="B587" s="24" t="s">
        <v>50</v>
      </c>
      <c r="C587" s="155" t="s">
        <v>301</v>
      </c>
      <c r="D587" s="93" t="s">
        <v>221</v>
      </c>
      <c r="E587" s="93" t="s">
        <v>47</v>
      </c>
      <c r="F587" s="571" t="s">
        <v>58</v>
      </c>
      <c r="G587" s="572" t="s">
        <v>25</v>
      </c>
      <c r="H587" s="572" t="s">
        <v>32</v>
      </c>
      <c r="I587" s="229" t="s">
        <v>376</v>
      </c>
      <c r="J587" s="228" t="s">
        <v>51</v>
      </c>
      <c r="K587" s="290">
        <v>311.5</v>
      </c>
      <c r="L587" s="26">
        <f>M587-K587</f>
        <v>0</v>
      </c>
      <c r="M587" s="290">
        <v>311.5</v>
      </c>
    </row>
    <row r="588" spans="1:13" s="138" customFormat="1" ht="18.75" customHeight="1" x14ac:dyDescent="0.35">
      <c r="A588" s="232"/>
      <c r="B588" s="225"/>
      <c r="C588" s="155"/>
      <c r="D588" s="93"/>
      <c r="E588" s="93"/>
      <c r="F588" s="571"/>
      <c r="G588" s="572"/>
      <c r="H588" s="572"/>
      <c r="I588" s="226"/>
      <c r="J588" s="228"/>
      <c r="K588" s="290"/>
      <c r="L588" s="290"/>
      <c r="M588" s="290"/>
    </row>
    <row r="589" spans="1:13" s="117" customFormat="1" ht="56.25" customHeight="1" x14ac:dyDescent="0.3">
      <c r="A589" s="116">
        <v>7</v>
      </c>
      <c r="B589" s="18" t="s">
        <v>8</v>
      </c>
      <c r="C589" s="19" t="s">
        <v>279</v>
      </c>
      <c r="D589" s="20"/>
      <c r="E589" s="20"/>
      <c r="F589" s="21"/>
      <c r="G589" s="22"/>
      <c r="H589" s="22"/>
      <c r="I589" s="23"/>
      <c r="J589" s="20"/>
      <c r="K589" s="40">
        <f>K597+K590</f>
        <v>39221.299999999988</v>
      </c>
      <c r="L589" s="40">
        <f>L597+L590</f>
        <v>5216.9000000000015</v>
      </c>
      <c r="M589" s="40">
        <v>44438.19999999999</v>
      </c>
    </row>
    <row r="590" spans="1:13" s="117" customFormat="1" ht="29.25" customHeight="1" x14ac:dyDescent="0.35">
      <c r="A590" s="116"/>
      <c r="B590" s="234" t="s">
        <v>31</v>
      </c>
      <c r="C590" s="235" t="s">
        <v>279</v>
      </c>
      <c r="D590" s="35" t="s">
        <v>32</v>
      </c>
      <c r="E590" s="35"/>
      <c r="F590" s="221"/>
      <c r="G590" s="222"/>
      <c r="H590" s="222"/>
      <c r="I590" s="223"/>
      <c r="J590" s="35"/>
      <c r="K590" s="224">
        <f t="shared" ref="K590:M594" si="86">K591</f>
        <v>35.6</v>
      </c>
      <c r="L590" s="224">
        <f t="shared" si="86"/>
        <v>0</v>
      </c>
      <c r="M590" s="224">
        <v>35.6</v>
      </c>
    </row>
    <row r="591" spans="1:13" s="117" customFormat="1" ht="23.25" customHeight="1" x14ac:dyDescent="0.35">
      <c r="A591" s="116"/>
      <c r="B591" s="234" t="s">
        <v>65</v>
      </c>
      <c r="C591" s="235" t="s">
        <v>279</v>
      </c>
      <c r="D591" s="35" t="s">
        <v>32</v>
      </c>
      <c r="E591" s="35" t="s">
        <v>66</v>
      </c>
      <c r="F591" s="221"/>
      <c r="G591" s="222"/>
      <c r="H591" s="222"/>
      <c r="I591" s="223"/>
      <c r="J591" s="35"/>
      <c r="K591" s="224">
        <f t="shared" si="86"/>
        <v>35.6</v>
      </c>
      <c r="L591" s="224">
        <f t="shared" si="86"/>
        <v>0</v>
      </c>
      <c r="M591" s="224">
        <v>35.6</v>
      </c>
    </row>
    <row r="592" spans="1:13" s="117" customFormat="1" ht="56.25" customHeight="1" x14ac:dyDescent="0.35">
      <c r="A592" s="116"/>
      <c r="B592" s="24" t="s">
        <v>212</v>
      </c>
      <c r="C592" s="235" t="s">
        <v>279</v>
      </c>
      <c r="D592" s="35" t="s">
        <v>32</v>
      </c>
      <c r="E592" s="35" t="s">
        <v>66</v>
      </c>
      <c r="F592" s="221" t="s">
        <v>47</v>
      </c>
      <c r="G592" s="222" t="s">
        <v>37</v>
      </c>
      <c r="H592" s="222" t="s">
        <v>38</v>
      </c>
      <c r="I592" s="223" t="s">
        <v>39</v>
      </c>
      <c r="J592" s="35"/>
      <c r="K592" s="224">
        <f t="shared" si="86"/>
        <v>35.6</v>
      </c>
      <c r="L592" s="224">
        <f t="shared" si="86"/>
        <v>0</v>
      </c>
      <c r="M592" s="224">
        <v>35.6</v>
      </c>
    </row>
    <row r="593" spans="1:13" s="117" customFormat="1" ht="37.5" customHeight="1" x14ac:dyDescent="0.35">
      <c r="A593" s="116"/>
      <c r="B593" s="24" t="s">
        <v>215</v>
      </c>
      <c r="C593" s="235" t="s">
        <v>279</v>
      </c>
      <c r="D593" s="35" t="s">
        <v>32</v>
      </c>
      <c r="E593" s="35" t="s">
        <v>66</v>
      </c>
      <c r="F593" s="221" t="s">
        <v>47</v>
      </c>
      <c r="G593" s="222" t="s">
        <v>84</v>
      </c>
      <c r="H593" s="222" t="s">
        <v>38</v>
      </c>
      <c r="I593" s="223" t="s">
        <v>39</v>
      </c>
      <c r="J593" s="35"/>
      <c r="K593" s="224">
        <f t="shared" si="86"/>
        <v>35.6</v>
      </c>
      <c r="L593" s="224">
        <f t="shared" si="86"/>
        <v>0</v>
      </c>
      <c r="M593" s="224">
        <v>35.6</v>
      </c>
    </row>
    <row r="594" spans="1:13" s="117" customFormat="1" ht="41.25" customHeight="1" x14ac:dyDescent="0.35">
      <c r="A594" s="116"/>
      <c r="B594" s="234" t="s">
        <v>340</v>
      </c>
      <c r="C594" s="235" t="s">
        <v>279</v>
      </c>
      <c r="D594" s="35" t="s">
        <v>32</v>
      </c>
      <c r="E594" s="35" t="s">
        <v>66</v>
      </c>
      <c r="F594" s="221" t="s">
        <v>47</v>
      </c>
      <c r="G594" s="222" t="s">
        <v>84</v>
      </c>
      <c r="H594" s="222" t="s">
        <v>58</v>
      </c>
      <c r="I594" s="223" t="s">
        <v>39</v>
      </c>
      <c r="J594" s="35"/>
      <c r="K594" s="224">
        <f t="shared" si="86"/>
        <v>35.6</v>
      </c>
      <c r="L594" s="224">
        <f t="shared" si="86"/>
        <v>0</v>
      </c>
      <c r="M594" s="224">
        <v>35.6</v>
      </c>
    </row>
    <row r="595" spans="1:13" s="117" customFormat="1" ht="56.25" customHeight="1" x14ac:dyDescent="0.35">
      <c r="A595" s="116"/>
      <c r="B595" s="259" t="s">
        <v>341</v>
      </c>
      <c r="C595" s="235" t="s">
        <v>279</v>
      </c>
      <c r="D595" s="35" t="s">
        <v>32</v>
      </c>
      <c r="E595" s="35" t="s">
        <v>66</v>
      </c>
      <c r="F595" s="221" t="s">
        <v>47</v>
      </c>
      <c r="G595" s="222" t="s">
        <v>84</v>
      </c>
      <c r="H595" s="222" t="s">
        <v>58</v>
      </c>
      <c r="I595" s="223" t="s">
        <v>100</v>
      </c>
      <c r="J595" s="35"/>
      <c r="K595" s="224">
        <f>K596</f>
        <v>35.6</v>
      </c>
      <c r="L595" s="224">
        <f>L596</f>
        <v>0</v>
      </c>
      <c r="M595" s="224">
        <v>35.6</v>
      </c>
    </row>
    <row r="596" spans="1:13" s="117" customFormat="1" ht="56.25" customHeight="1" x14ac:dyDescent="0.35">
      <c r="A596" s="116"/>
      <c r="B596" s="24" t="s">
        <v>50</v>
      </c>
      <c r="C596" s="235" t="s">
        <v>279</v>
      </c>
      <c r="D596" s="35" t="s">
        <v>32</v>
      </c>
      <c r="E596" s="35" t="s">
        <v>66</v>
      </c>
      <c r="F596" s="221" t="s">
        <v>47</v>
      </c>
      <c r="G596" s="222" t="s">
        <v>84</v>
      </c>
      <c r="H596" s="222" t="s">
        <v>58</v>
      </c>
      <c r="I596" s="223" t="s">
        <v>100</v>
      </c>
      <c r="J596" s="35" t="s">
        <v>51</v>
      </c>
      <c r="K596" s="224">
        <v>35.6</v>
      </c>
      <c r="L596" s="26">
        <f>M596-K596</f>
        <v>0</v>
      </c>
      <c r="M596" s="224">
        <v>35.6</v>
      </c>
    </row>
    <row r="597" spans="1:13" s="7" customFormat="1" ht="18.75" customHeight="1" x14ac:dyDescent="0.35">
      <c r="A597" s="11"/>
      <c r="B597" s="30" t="s">
        <v>309</v>
      </c>
      <c r="C597" s="25" t="s">
        <v>279</v>
      </c>
      <c r="D597" s="10" t="s">
        <v>62</v>
      </c>
      <c r="E597" s="10"/>
      <c r="F597" s="571"/>
      <c r="G597" s="572"/>
      <c r="H597" s="572"/>
      <c r="I597" s="573"/>
      <c r="J597" s="10"/>
      <c r="K597" s="26">
        <f>K598+K629+K635</f>
        <v>39185.69999999999</v>
      </c>
      <c r="L597" s="26">
        <f>L598+L629+L635</f>
        <v>5216.9000000000015</v>
      </c>
      <c r="M597" s="26">
        <v>44402.599999999991</v>
      </c>
    </row>
    <row r="598" spans="1:13" s="117" customFormat="1" ht="18.75" customHeight="1" x14ac:dyDescent="0.35">
      <c r="A598" s="11"/>
      <c r="B598" s="30" t="s">
        <v>349</v>
      </c>
      <c r="C598" s="25" t="s">
        <v>279</v>
      </c>
      <c r="D598" s="10" t="s">
        <v>62</v>
      </c>
      <c r="E598" s="10" t="s">
        <v>32</v>
      </c>
      <c r="F598" s="571"/>
      <c r="G598" s="572"/>
      <c r="H598" s="572"/>
      <c r="I598" s="573"/>
      <c r="J598" s="10"/>
      <c r="K598" s="26">
        <f>K599</f>
        <v>35697.899999999994</v>
      </c>
      <c r="L598" s="26">
        <f>L599</f>
        <v>5216.9000000000015</v>
      </c>
      <c r="M598" s="26">
        <v>40914.799999999996</v>
      </c>
    </row>
    <row r="599" spans="1:13" s="117" customFormat="1" ht="57" customHeight="1" x14ac:dyDescent="0.35">
      <c r="A599" s="11"/>
      <c r="B599" s="24" t="s">
        <v>212</v>
      </c>
      <c r="C599" s="25" t="s">
        <v>279</v>
      </c>
      <c r="D599" s="10" t="s">
        <v>62</v>
      </c>
      <c r="E599" s="10" t="s">
        <v>32</v>
      </c>
      <c r="F599" s="571" t="s">
        <v>47</v>
      </c>
      <c r="G599" s="572" t="s">
        <v>37</v>
      </c>
      <c r="H599" s="572" t="s">
        <v>38</v>
      </c>
      <c r="I599" s="573" t="s">
        <v>39</v>
      </c>
      <c r="J599" s="10"/>
      <c r="K599" s="26">
        <f t="shared" ref="K599:L599" si="87">K600+K604+K625</f>
        <v>35697.899999999994</v>
      </c>
      <c r="L599" s="26">
        <f t="shared" si="87"/>
        <v>5216.9000000000015</v>
      </c>
      <c r="M599" s="26">
        <v>40914.799999999996</v>
      </c>
    </row>
    <row r="600" spans="1:13" s="117" customFormat="1" ht="37.5" customHeight="1" x14ac:dyDescent="0.35">
      <c r="A600" s="11"/>
      <c r="B600" s="30" t="s">
        <v>213</v>
      </c>
      <c r="C600" s="25" t="s">
        <v>279</v>
      </c>
      <c r="D600" s="10" t="s">
        <v>62</v>
      </c>
      <c r="E600" s="10" t="s">
        <v>32</v>
      </c>
      <c r="F600" s="571" t="s">
        <v>47</v>
      </c>
      <c r="G600" s="572" t="s">
        <v>40</v>
      </c>
      <c r="H600" s="572" t="s">
        <v>38</v>
      </c>
      <c r="I600" s="573" t="s">
        <v>39</v>
      </c>
      <c r="J600" s="10"/>
      <c r="K600" s="26">
        <f>K601</f>
        <v>171</v>
      </c>
      <c r="L600" s="26">
        <f>L601</f>
        <v>0</v>
      </c>
      <c r="M600" s="26">
        <v>171</v>
      </c>
    </row>
    <row r="601" spans="1:13" s="117" customFormat="1" ht="18.75" customHeight="1" x14ac:dyDescent="0.35">
      <c r="A601" s="11"/>
      <c r="B601" s="24" t="s">
        <v>265</v>
      </c>
      <c r="C601" s="25" t="s">
        <v>279</v>
      </c>
      <c r="D601" s="10" t="s">
        <v>62</v>
      </c>
      <c r="E601" s="10" t="s">
        <v>32</v>
      </c>
      <c r="F601" s="571" t="s">
        <v>47</v>
      </c>
      <c r="G601" s="572" t="s">
        <v>40</v>
      </c>
      <c r="H601" s="572" t="s">
        <v>32</v>
      </c>
      <c r="I601" s="573" t="s">
        <v>39</v>
      </c>
      <c r="J601" s="10"/>
      <c r="K601" s="26">
        <f t="shared" ref="K601:M602" si="88">K602</f>
        <v>171</v>
      </c>
      <c r="L601" s="26">
        <f t="shared" si="88"/>
        <v>0</v>
      </c>
      <c r="M601" s="26">
        <v>171</v>
      </c>
    </row>
    <row r="602" spans="1:13" s="117" customFormat="1" ht="36" x14ac:dyDescent="0.35">
      <c r="A602" s="11"/>
      <c r="B602" s="24" t="s">
        <v>266</v>
      </c>
      <c r="C602" s="25" t="s">
        <v>279</v>
      </c>
      <c r="D602" s="10" t="s">
        <v>62</v>
      </c>
      <c r="E602" s="10" t="s">
        <v>32</v>
      </c>
      <c r="F602" s="571" t="s">
        <v>47</v>
      </c>
      <c r="G602" s="572" t="s">
        <v>40</v>
      </c>
      <c r="H602" s="572" t="s">
        <v>32</v>
      </c>
      <c r="I602" s="573" t="s">
        <v>267</v>
      </c>
      <c r="J602" s="10"/>
      <c r="K602" s="26">
        <f t="shared" si="88"/>
        <v>171</v>
      </c>
      <c r="L602" s="26">
        <f t="shared" si="88"/>
        <v>0</v>
      </c>
      <c r="M602" s="26">
        <v>171</v>
      </c>
    </row>
    <row r="603" spans="1:13" s="117" customFormat="1" ht="37.5" customHeight="1" x14ac:dyDescent="0.35">
      <c r="A603" s="11"/>
      <c r="B603" s="24" t="s">
        <v>115</v>
      </c>
      <c r="C603" s="25" t="s">
        <v>279</v>
      </c>
      <c r="D603" s="10" t="s">
        <v>62</v>
      </c>
      <c r="E603" s="10" t="s">
        <v>32</v>
      </c>
      <c r="F603" s="571" t="s">
        <v>47</v>
      </c>
      <c r="G603" s="572" t="s">
        <v>40</v>
      </c>
      <c r="H603" s="572" t="s">
        <v>32</v>
      </c>
      <c r="I603" s="573" t="s">
        <v>267</v>
      </c>
      <c r="J603" s="10" t="s">
        <v>116</v>
      </c>
      <c r="K603" s="26">
        <v>171</v>
      </c>
      <c r="L603" s="26">
        <f>M603-K603</f>
        <v>0</v>
      </c>
      <c r="M603" s="26">
        <v>171</v>
      </c>
    </row>
    <row r="604" spans="1:13" s="7" customFormat="1" ht="37.5" customHeight="1" x14ac:dyDescent="0.35">
      <c r="A604" s="11"/>
      <c r="B604" s="24" t="s">
        <v>215</v>
      </c>
      <c r="C604" s="25" t="s">
        <v>279</v>
      </c>
      <c r="D604" s="10" t="s">
        <v>62</v>
      </c>
      <c r="E604" s="10" t="s">
        <v>32</v>
      </c>
      <c r="F604" s="571" t="s">
        <v>47</v>
      </c>
      <c r="G604" s="572" t="s">
        <v>84</v>
      </c>
      <c r="H604" s="572" t="s">
        <v>38</v>
      </c>
      <c r="I604" s="573" t="s">
        <v>39</v>
      </c>
      <c r="J604" s="10"/>
      <c r="K604" s="26">
        <f>K605+K618</f>
        <v>35526.899999999994</v>
      </c>
      <c r="L604" s="26">
        <f t="shared" ref="L604" si="89">L605+L618</f>
        <v>4224.3000000000011</v>
      </c>
      <c r="M604" s="26">
        <v>39751.199999999997</v>
      </c>
    </row>
    <row r="605" spans="1:13" s="117" customFormat="1" ht="36.6" customHeight="1" x14ac:dyDescent="0.35">
      <c r="A605" s="11"/>
      <c r="B605" s="24" t="s">
        <v>350</v>
      </c>
      <c r="C605" s="25" t="s">
        <v>279</v>
      </c>
      <c r="D605" s="10" t="s">
        <v>62</v>
      </c>
      <c r="E605" s="10" t="s">
        <v>32</v>
      </c>
      <c r="F605" s="571" t="s">
        <v>47</v>
      </c>
      <c r="G605" s="572" t="s">
        <v>84</v>
      </c>
      <c r="H605" s="572" t="s">
        <v>34</v>
      </c>
      <c r="I605" s="573" t="s">
        <v>39</v>
      </c>
      <c r="J605" s="10"/>
      <c r="K605" s="26">
        <f>K606+K610+K616+K612+K614</f>
        <v>35526.899999999994</v>
      </c>
      <c r="L605" s="26">
        <f>L606+L610+L616+L612+L614</f>
        <v>213.90000000000146</v>
      </c>
      <c r="M605" s="26">
        <v>35740.799999999996</v>
      </c>
    </row>
    <row r="606" spans="1:13" s="117" customFormat="1" ht="39" customHeight="1" x14ac:dyDescent="0.35">
      <c r="A606" s="11"/>
      <c r="B606" s="27" t="s">
        <v>437</v>
      </c>
      <c r="C606" s="25" t="s">
        <v>279</v>
      </c>
      <c r="D606" s="10" t="s">
        <v>62</v>
      </c>
      <c r="E606" s="10" t="s">
        <v>32</v>
      </c>
      <c r="F606" s="571" t="s">
        <v>47</v>
      </c>
      <c r="G606" s="572" t="s">
        <v>84</v>
      </c>
      <c r="H606" s="572" t="s">
        <v>34</v>
      </c>
      <c r="I606" s="573" t="s">
        <v>86</v>
      </c>
      <c r="J606" s="10"/>
      <c r="K606" s="26">
        <f>K607+K608+K609</f>
        <v>23752.399999999998</v>
      </c>
      <c r="L606" s="26">
        <f>L607+L608+L609</f>
        <v>213.90000000000146</v>
      </c>
      <c r="M606" s="26">
        <v>23966.3</v>
      </c>
    </row>
    <row r="607" spans="1:13" s="117" customFormat="1" ht="112.5" customHeight="1" x14ac:dyDescent="0.35">
      <c r="A607" s="11"/>
      <c r="B607" s="24" t="s">
        <v>44</v>
      </c>
      <c r="C607" s="25" t="s">
        <v>279</v>
      </c>
      <c r="D607" s="10" t="s">
        <v>62</v>
      </c>
      <c r="E607" s="10" t="s">
        <v>32</v>
      </c>
      <c r="F607" s="571" t="s">
        <v>47</v>
      </c>
      <c r="G607" s="572" t="s">
        <v>84</v>
      </c>
      <c r="H607" s="572" t="s">
        <v>34</v>
      </c>
      <c r="I607" s="573" t="s">
        <v>86</v>
      </c>
      <c r="J607" s="10" t="s">
        <v>45</v>
      </c>
      <c r="K607" s="26">
        <f>17974.3+25.6</f>
        <v>17999.899999999998</v>
      </c>
      <c r="L607" s="26">
        <f>M607-K607</f>
        <v>213.90000000000146</v>
      </c>
      <c r="M607" s="26">
        <v>18213.8</v>
      </c>
    </row>
    <row r="608" spans="1:13" s="7" customFormat="1" ht="56.25" customHeight="1" x14ac:dyDescent="0.35">
      <c r="A608" s="11"/>
      <c r="B608" s="24" t="s">
        <v>50</v>
      </c>
      <c r="C608" s="25" t="s">
        <v>279</v>
      </c>
      <c r="D608" s="10" t="s">
        <v>62</v>
      </c>
      <c r="E608" s="10" t="s">
        <v>32</v>
      </c>
      <c r="F608" s="571" t="s">
        <v>47</v>
      </c>
      <c r="G608" s="572" t="s">
        <v>84</v>
      </c>
      <c r="H608" s="572" t="s">
        <v>34</v>
      </c>
      <c r="I608" s="573" t="s">
        <v>86</v>
      </c>
      <c r="J608" s="10" t="s">
        <v>51</v>
      </c>
      <c r="K608" s="26">
        <v>5686.2</v>
      </c>
      <c r="L608" s="26">
        <f>M608-K608</f>
        <v>0</v>
      </c>
      <c r="M608" s="26">
        <v>5686.2</v>
      </c>
    </row>
    <row r="609" spans="1:13" s="117" customFormat="1" ht="18.75" customHeight="1" x14ac:dyDescent="0.35">
      <c r="A609" s="11"/>
      <c r="B609" s="24" t="s">
        <v>52</v>
      </c>
      <c r="C609" s="25" t="s">
        <v>279</v>
      </c>
      <c r="D609" s="10" t="s">
        <v>62</v>
      </c>
      <c r="E609" s="10" t="s">
        <v>32</v>
      </c>
      <c r="F609" s="571" t="s">
        <v>47</v>
      </c>
      <c r="G609" s="572" t="s">
        <v>84</v>
      </c>
      <c r="H609" s="572" t="s">
        <v>34</v>
      </c>
      <c r="I609" s="573" t="s">
        <v>86</v>
      </c>
      <c r="J609" s="10" t="s">
        <v>53</v>
      </c>
      <c r="K609" s="26">
        <v>66.3</v>
      </c>
      <c r="L609" s="26">
        <f>M609-K609</f>
        <v>0</v>
      </c>
      <c r="M609" s="26">
        <v>66.3</v>
      </c>
    </row>
    <row r="610" spans="1:13" s="117" customFormat="1" ht="22.5" customHeight="1" x14ac:dyDescent="0.35">
      <c r="A610" s="11"/>
      <c r="B610" s="24" t="s">
        <v>438</v>
      </c>
      <c r="C610" s="25" t="s">
        <v>279</v>
      </c>
      <c r="D610" s="10" t="s">
        <v>62</v>
      </c>
      <c r="E610" s="10" t="s">
        <v>32</v>
      </c>
      <c r="F610" s="571" t="s">
        <v>47</v>
      </c>
      <c r="G610" s="572" t="s">
        <v>84</v>
      </c>
      <c r="H610" s="572" t="s">
        <v>34</v>
      </c>
      <c r="I610" s="573" t="s">
        <v>376</v>
      </c>
      <c r="J610" s="10"/>
      <c r="K610" s="26">
        <f>K611</f>
        <v>5058.8</v>
      </c>
      <c r="L610" s="26">
        <f>L611</f>
        <v>0</v>
      </c>
      <c r="M610" s="26">
        <v>5058.8</v>
      </c>
    </row>
    <row r="611" spans="1:13" s="117" customFormat="1" ht="56.25" customHeight="1" x14ac:dyDescent="0.35">
      <c r="A611" s="11"/>
      <c r="B611" s="24" t="s">
        <v>50</v>
      </c>
      <c r="C611" s="25" t="s">
        <v>279</v>
      </c>
      <c r="D611" s="10" t="s">
        <v>62</v>
      </c>
      <c r="E611" s="10" t="s">
        <v>32</v>
      </c>
      <c r="F611" s="571" t="s">
        <v>47</v>
      </c>
      <c r="G611" s="572" t="s">
        <v>84</v>
      </c>
      <c r="H611" s="572" t="s">
        <v>34</v>
      </c>
      <c r="I611" s="573" t="s">
        <v>376</v>
      </c>
      <c r="J611" s="10" t="s">
        <v>51</v>
      </c>
      <c r="K611" s="26">
        <v>5058.8</v>
      </c>
      <c r="L611" s="26">
        <f>M611-K611</f>
        <v>0</v>
      </c>
      <c r="M611" s="26">
        <v>5058.8</v>
      </c>
    </row>
    <row r="612" spans="1:13" s="117" customFormat="1" ht="56.25" customHeight="1" x14ac:dyDescent="0.35">
      <c r="A612" s="11"/>
      <c r="B612" s="24" t="s">
        <v>214</v>
      </c>
      <c r="C612" s="25" t="s">
        <v>279</v>
      </c>
      <c r="D612" s="10" t="s">
        <v>62</v>
      </c>
      <c r="E612" s="10" t="s">
        <v>32</v>
      </c>
      <c r="F612" s="571" t="s">
        <v>47</v>
      </c>
      <c r="G612" s="572" t="s">
        <v>84</v>
      </c>
      <c r="H612" s="572" t="s">
        <v>34</v>
      </c>
      <c r="I612" s="573" t="s">
        <v>281</v>
      </c>
      <c r="J612" s="10"/>
      <c r="K612" s="26">
        <f t="shared" ref="K612:M612" si="90">K613</f>
        <v>5466.4</v>
      </c>
      <c r="L612" s="26">
        <f t="shared" si="90"/>
        <v>0</v>
      </c>
      <c r="M612" s="26">
        <v>5466.4</v>
      </c>
    </row>
    <row r="613" spans="1:13" s="117" customFormat="1" ht="56.25" customHeight="1" x14ac:dyDescent="0.35">
      <c r="A613" s="11"/>
      <c r="B613" s="24" t="s">
        <v>50</v>
      </c>
      <c r="C613" s="25" t="s">
        <v>279</v>
      </c>
      <c r="D613" s="10" t="s">
        <v>62</v>
      </c>
      <c r="E613" s="10" t="s">
        <v>32</v>
      </c>
      <c r="F613" s="571" t="s">
        <v>47</v>
      </c>
      <c r="G613" s="572" t="s">
        <v>84</v>
      </c>
      <c r="H613" s="572" t="s">
        <v>34</v>
      </c>
      <c r="I613" s="573" t="s">
        <v>281</v>
      </c>
      <c r="J613" s="10" t="s">
        <v>51</v>
      </c>
      <c r="K613" s="26">
        <f>2375.5+1356.4+1734.5</f>
        <v>5466.4</v>
      </c>
      <c r="L613" s="26">
        <f>M613-K613</f>
        <v>0</v>
      </c>
      <c r="M613" s="26">
        <v>5466.4</v>
      </c>
    </row>
    <row r="614" spans="1:13" s="117" customFormat="1" ht="181.95" customHeight="1" x14ac:dyDescent="0.35">
      <c r="A614" s="11"/>
      <c r="B614" s="24" t="s">
        <v>414</v>
      </c>
      <c r="C614" s="25" t="s">
        <v>279</v>
      </c>
      <c r="D614" s="10" t="s">
        <v>62</v>
      </c>
      <c r="E614" s="10" t="s">
        <v>32</v>
      </c>
      <c r="F614" s="571" t="s">
        <v>47</v>
      </c>
      <c r="G614" s="572" t="s">
        <v>84</v>
      </c>
      <c r="H614" s="572" t="s">
        <v>34</v>
      </c>
      <c r="I614" s="573" t="s">
        <v>389</v>
      </c>
      <c r="J614" s="10"/>
      <c r="K614" s="26">
        <f>K615</f>
        <v>250</v>
      </c>
      <c r="L614" s="26">
        <f>L615</f>
        <v>0</v>
      </c>
      <c r="M614" s="26">
        <v>250</v>
      </c>
    </row>
    <row r="615" spans="1:13" s="117" customFormat="1" ht="109.5" customHeight="1" x14ac:dyDescent="0.35">
      <c r="A615" s="11"/>
      <c r="B615" s="24" t="s">
        <v>44</v>
      </c>
      <c r="C615" s="25" t="s">
        <v>279</v>
      </c>
      <c r="D615" s="10" t="s">
        <v>62</v>
      </c>
      <c r="E615" s="10" t="s">
        <v>32</v>
      </c>
      <c r="F615" s="571" t="s">
        <v>47</v>
      </c>
      <c r="G615" s="572" t="s">
        <v>84</v>
      </c>
      <c r="H615" s="572" t="s">
        <v>34</v>
      </c>
      <c r="I615" s="573" t="s">
        <v>389</v>
      </c>
      <c r="J615" s="10" t="s">
        <v>45</v>
      </c>
      <c r="K615" s="26">
        <v>250</v>
      </c>
      <c r="L615" s="26">
        <f>M615-K615</f>
        <v>0</v>
      </c>
      <c r="M615" s="26">
        <v>250</v>
      </c>
    </row>
    <row r="616" spans="1:13" s="117" customFormat="1" ht="58.5" customHeight="1" x14ac:dyDescent="0.35">
      <c r="A616" s="11"/>
      <c r="B616" s="24" t="s">
        <v>416</v>
      </c>
      <c r="C616" s="25" t="s">
        <v>279</v>
      </c>
      <c r="D616" s="10" t="s">
        <v>62</v>
      </c>
      <c r="E616" s="10" t="s">
        <v>32</v>
      </c>
      <c r="F616" s="571" t="s">
        <v>47</v>
      </c>
      <c r="G616" s="572" t="s">
        <v>84</v>
      </c>
      <c r="H616" s="572" t="s">
        <v>34</v>
      </c>
      <c r="I616" s="573" t="s">
        <v>398</v>
      </c>
      <c r="J616" s="10"/>
      <c r="K616" s="26">
        <f>K617</f>
        <v>999.3</v>
      </c>
      <c r="L616" s="26">
        <f>L617</f>
        <v>0</v>
      </c>
      <c r="M616" s="26">
        <v>999.3</v>
      </c>
    </row>
    <row r="617" spans="1:13" s="117" customFormat="1" ht="112.5" customHeight="1" x14ac:dyDescent="0.35">
      <c r="A617" s="11"/>
      <c r="B617" s="24" t="s">
        <v>44</v>
      </c>
      <c r="C617" s="25" t="s">
        <v>279</v>
      </c>
      <c r="D617" s="10" t="s">
        <v>62</v>
      </c>
      <c r="E617" s="10" t="s">
        <v>32</v>
      </c>
      <c r="F617" s="571" t="s">
        <v>47</v>
      </c>
      <c r="G617" s="572" t="s">
        <v>84</v>
      </c>
      <c r="H617" s="572" t="s">
        <v>34</v>
      </c>
      <c r="I617" s="573" t="s">
        <v>398</v>
      </c>
      <c r="J617" s="10" t="s">
        <v>45</v>
      </c>
      <c r="K617" s="26">
        <v>999.3</v>
      </c>
      <c r="L617" s="26">
        <f>M617-K617</f>
        <v>0</v>
      </c>
      <c r="M617" s="26">
        <v>999.3</v>
      </c>
    </row>
    <row r="618" spans="1:13" s="117" customFormat="1" ht="36" x14ac:dyDescent="0.35">
      <c r="A618" s="11"/>
      <c r="B618" s="24" t="s">
        <v>555</v>
      </c>
      <c r="C618" s="25" t="s">
        <v>279</v>
      </c>
      <c r="D618" s="10" t="s">
        <v>62</v>
      </c>
      <c r="E618" s="10" t="s">
        <v>32</v>
      </c>
      <c r="F618" s="571" t="s">
        <v>47</v>
      </c>
      <c r="G618" s="572" t="s">
        <v>84</v>
      </c>
      <c r="H618" s="572" t="s">
        <v>47</v>
      </c>
      <c r="I618" s="573" t="s">
        <v>39</v>
      </c>
      <c r="J618" s="10"/>
      <c r="K618" s="26">
        <f>K619+K623</f>
        <v>0</v>
      </c>
      <c r="L618" s="26">
        <f t="shared" ref="L618" si="91">L619+L623</f>
        <v>4010.4</v>
      </c>
      <c r="M618" s="26">
        <v>4010.4</v>
      </c>
    </row>
    <row r="619" spans="1:13" s="117" customFormat="1" ht="36" x14ac:dyDescent="0.35">
      <c r="A619" s="11"/>
      <c r="B619" s="24" t="s">
        <v>437</v>
      </c>
      <c r="C619" s="25" t="s">
        <v>279</v>
      </c>
      <c r="D619" s="10" t="s">
        <v>62</v>
      </c>
      <c r="E619" s="10" t="s">
        <v>32</v>
      </c>
      <c r="F619" s="571" t="s">
        <v>47</v>
      </c>
      <c r="G619" s="572" t="s">
        <v>84</v>
      </c>
      <c r="H619" s="572" t="s">
        <v>47</v>
      </c>
      <c r="I619" s="573" t="s">
        <v>86</v>
      </c>
      <c r="J619" s="10"/>
      <c r="K619" s="26">
        <f>K620+K621+K622</f>
        <v>0</v>
      </c>
      <c r="L619" s="26">
        <f t="shared" ref="L619" si="92">L620+L621+L622</f>
        <v>3216.8</v>
      </c>
      <c r="M619" s="26">
        <v>3216.8</v>
      </c>
    </row>
    <row r="620" spans="1:13" s="117" customFormat="1" ht="108" x14ac:dyDescent="0.35">
      <c r="A620" s="11"/>
      <c r="B620" s="24" t="s">
        <v>44</v>
      </c>
      <c r="C620" s="25" t="s">
        <v>279</v>
      </c>
      <c r="D620" s="10" t="s">
        <v>62</v>
      </c>
      <c r="E620" s="10" t="s">
        <v>32</v>
      </c>
      <c r="F620" s="571" t="s">
        <v>47</v>
      </c>
      <c r="G620" s="572" t="s">
        <v>84</v>
      </c>
      <c r="H620" s="572" t="s">
        <v>47</v>
      </c>
      <c r="I620" s="573" t="s">
        <v>86</v>
      </c>
      <c r="J620" s="10" t="s">
        <v>45</v>
      </c>
      <c r="K620" s="26"/>
      <c r="L620" s="26">
        <f t="shared" ref="L620:L622" si="93">M620-K620</f>
        <v>1779.7</v>
      </c>
      <c r="M620" s="26">
        <v>1779.7</v>
      </c>
    </row>
    <row r="621" spans="1:13" s="117" customFormat="1" ht="54" x14ac:dyDescent="0.35">
      <c r="A621" s="11"/>
      <c r="B621" s="24" t="s">
        <v>50</v>
      </c>
      <c r="C621" s="25" t="s">
        <v>279</v>
      </c>
      <c r="D621" s="10" t="s">
        <v>62</v>
      </c>
      <c r="E621" s="10" t="s">
        <v>32</v>
      </c>
      <c r="F621" s="571" t="s">
        <v>47</v>
      </c>
      <c r="G621" s="572" t="s">
        <v>84</v>
      </c>
      <c r="H621" s="572" t="s">
        <v>47</v>
      </c>
      <c r="I621" s="573" t="s">
        <v>86</v>
      </c>
      <c r="J621" s="10" t="s">
        <v>51</v>
      </c>
      <c r="K621" s="26"/>
      <c r="L621" s="26">
        <f t="shared" si="93"/>
        <v>1313.8</v>
      </c>
      <c r="M621" s="26">
        <v>1313.8</v>
      </c>
    </row>
    <row r="622" spans="1:13" s="117" customFormat="1" ht="18" x14ac:dyDescent="0.35">
      <c r="A622" s="11"/>
      <c r="B622" s="24" t="s">
        <v>52</v>
      </c>
      <c r="C622" s="25" t="s">
        <v>279</v>
      </c>
      <c r="D622" s="10" t="s">
        <v>62</v>
      </c>
      <c r="E622" s="10" t="s">
        <v>32</v>
      </c>
      <c r="F622" s="571" t="s">
        <v>47</v>
      </c>
      <c r="G622" s="572" t="s">
        <v>84</v>
      </c>
      <c r="H622" s="572" t="s">
        <v>47</v>
      </c>
      <c r="I622" s="573" t="s">
        <v>86</v>
      </c>
      <c r="J622" s="10" t="s">
        <v>53</v>
      </c>
      <c r="K622" s="26"/>
      <c r="L622" s="26">
        <f t="shared" si="93"/>
        <v>123.3</v>
      </c>
      <c r="M622" s="26">
        <v>123.3</v>
      </c>
    </row>
    <row r="623" spans="1:13" s="117" customFormat="1" ht="54" x14ac:dyDescent="0.35">
      <c r="A623" s="11"/>
      <c r="B623" s="24" t="s">
        <v>556</v>
      </c>
      <c r="C623" s="25" t="s">
        <v>279</v>
      </c>
      <c r="D623" s="10" t="s">
        <v>62</v>
      </c>
      <c r="E623" s="10" t="s">
        <v>32</v>
      </c>
      <c r="F623" s="571" t="s">
        <v>47</v>
      </c>
      <c r="G623" s="572" t="s">
        <v>84</v>
      </c>
      <c r="H623" s="572" t="s">
        <v>47</v>
      </c>
      <c r="I623" s="573" t="s">
        <v>261</v>
      </c>
      <c r="J623" s="10"/>
      <c r="K623" s="26">
        <f>K624</f>
        <v>0</v>
      </c>
      <c r="L623" s="26">
        <f t="shared" ref="L623:M623" si="94">L624</f>
        <v>793.6</v>
      </c>
      <c r="M623" s="26">
        <v>793.6</v>
      </c>
    </row>
    <row r="624" spans="1:13" s="117" customFormat="1" ht="54" x14ac:dyDescent="0.35">
      <c r="A624" s="11"/>
      <c r="B624" s="24" t="s">
        <v>50</v>
      </c>
      <c r="C624" s="25" t="s">
        <v>279</v>
      </c>
      <c r="D624" s="10" t="s">
        <v>62</v>
      </c>
      <c r="E624" s="10" t="s">
        <v>32</v>
      </c>
      <c r="F624" s="571" t="s">
        <v>47</v>
      </c>
      <c r="G624" s="572" t="s">
        <v>84</v>
      </c>
      <c r="H624" s="572" t="s">
        <v>47</v>
      </c>
      <c r="I624" s="573" t="s">
        <v>261</v>
      </c>
      <c r="J624" s="10" t="s">
        <v>51</v>
      </c>
      <c r="K624" s="26"/>
      <c r="L624" s="26">
        <f>M624-K624</f>
        <v>793.6</v>
      </c>
      <c r="M624" s="26">
        <v>793.6</v>
      </c>
    </row>
    <row r="625" spans="1:14" s="117" customFormat="1" ht="36" x14ac:dyDescent="0.35">
      <c r="A625" s="11"/>
      <c r="B625" s="24" t="s">
        <v>328</v>
      </c>
      <c r="C625" s="25" t="s">
        <v>279</v>
      </c>
      <c r="D625" s="10" t="s">
        <v>62</v>
      </c>
      <c r="E625" s="10" t="s">
        <v>32</v>
      </c>
      <c r="F625" s="571" t="s">
        <v>47</v>
      </c>
      <c r="G625" s="572" t="s">
        <v>26</v>
      </c>
      <c r="H625" s="572" t="s">
        <v>38</v>
      </c>
      <c r="I625" s="573" t="s">
        <v>39</v>
      </c>
      <c r="J625" s="10"/>
      <c r="K625" s="26">
        <f t="shared" ref="K625:M627" si="95">K626</f>
        <v>0</v>
      </c>
      <c r="L625" s="26">
        <f t="shared" si="95"/>
        <v>992.6</v>
      </c>
      <c r="M625" s="26">
        <v>992.6</v>
      </c>
    </row>
    <row r="626" spans="1:14" s="117" customFormat="1" ht="72" x14ac:dyDescent="0.35">
      <c r="A626" s="11"/>
      <c r="B626" s="24" t="s">
        <v>399</v>
      </c>
      <c r="C626" s="25" t="s">
        <v>279</v>
      </c>
      <c r="D626" s="10" t="s">
        <v>62</v>
      </c>
      <c r="E626" s="10" t="s">
        <v>32</v>
      </c>
      <c r="F626" s="571" t="s">
        <v>47</v>
      </c>
      <c r="G626" s="572" t="s">
        <v>26</v>
      </c>
      <c r="H626" s="572" t="s">
        <v>58</v>
      </c>
      <c r="I626" s="573" t="s">
        <v>39</v>
      </c>
      <c r="J626" s="10"/>
      <c r="K626" s="26">
        <f t="shared" si="95"/>
        <v>0</v>
      </c>
      <c r="L626" s="26">
        <f t="shared" si="95"/>
        <v>992.6</v>
      </c>
      <c r="M626" s="26">
        <v>992.6</v>
      </c>
    </row>
    <row r="627" spans="1:14" s="117" customFormat="1" ht="54" x14ac:dyDescent="0.35">
      <c r="A627" s="11"/>
      <c r="B627" s="24" t="s">
        <v>214</v>
      </c>
      <c r="C627" s="25" t="s">
        <v>279</v>
      </c>
      <c r="D627" s="10" t="s">
        <v>62</v>
      </c>
      <c r="E627" s="10" t="s">
        <v>32</v>
      </c>
      <c r="F627" s="571" t="s">
        <v>47</v>
      </c>
      <c r="G627" s="572" t="s">
        <v>26</v>
      </c>
      <c r="H627" s="572" t="s">
        <v>58</v>
      </c>
      <c r="I627" s="573" t="s">
        <v>281</v>
      </c>
      <c r="J627" s="10"/>
      <c r="K627" s="26">
        <f t="shared" si="95"/>
        <v>0</v>
      </c>
      <c r="L627" s="26">
        <f t="shared" si="95"/>
        <v>992.6</v>
      </c>
      <c r="M627" s="26">
        <v>992.6</v>
      </c>
    </row>
    <row r="628" spans="1:14" s="117" customFormat="1" ht="54" x14ac:dyDescent="0.35">
      <c r="A628" s="11"/>
      <c r="B628" s="24" t="s">
        <v>198</v>
      </c>
      <c r="C628" s="25" t="s">
        <v>279</v>
      </c>
      <c r="D628" s="10" t="s">
        <v>62</v>
      </c>
      <c r="E628" s="10" t="s">
        <v>32</v>
      </c>
      <c r="F628" s="571" t="s">
        <v>47</v>
      </c>
      <c r="G628" s="572" t="s">
        <v>26</v>
      </c>
      <c r="H628" s="572" t="s">
        <v>58</v>
      </c>
      <c r="I628" s="573" t="s">
        <v>281</v>
      </c>
      <c r="J628" s="10" t="s">
        <v>199</v>
      </c>
      <c r="K628" s="26">
        <v>0</v>
      </c>
      <c r="L628" s="26">
        <f>M628-K628</f>
        <v>992.6</v>
      </c>
      <c r="M628" s="26">
        <v>992.6</v>
      </c>
    </row>
    <row r="629" spans="1:14" s="7" customFormat="1" ht="18.75" customHeight="1" x14ac:dyDescent="0.35">
      <c r="A629" s="11"/>
      <c r="B629" s="30" t="s">
        <v>282</v>
      </c>
      <c r="C629" s="25" t="s">
        <v>279</v>
      </c>
      <c r="D629" s="10" t="s">
        <v>62</v>
      </c>
      <c r="E629" s="10" t="s">
        <v>34</v>
      </c>
      <c r="F629" s="571"/>
      <c r="G629" s="572"/>
      <c r="H629" s="572"/>
      <c r="I629" s="573"/>
      <c r="J629" s="10"/>
      <c r="K629" s="26">
        <f t="shared" ref="K629:M629" si="96">K630</f>
        <v>629.70000000000005</v>
      </c>
      <c r="L629" s="26">
        <f t="shared" si="96"/>
        <v>0</v>
      </c>
      <c r="M629" s="26">
        <v>629.70000000000005</v>
      </c>
      <c r="N629" s="165"/>
    </row>
    <row r="630" spans="1:14" s="7" customFormat="1" ht="56.25" customHeight="1" x14ac:dyDescent="0.35">
      <c r="A630" s="11"/>
      <c r="B630" s="24" t="s">
        <v>212</v>
      </c>
      <c r="C630" s="25" t="s">
        <v>279</v>
      </c>
      <c r="D630" s="10" t="s">
        <v>62</v>
      </c>
      <c r="E630" s="10" t="s">
        <v>34</v>
      </c>
      <c r="F630" s="571" t="s">
        <v>47</v>
      </c>
      <c r="G630" s="572" t="s">
        <v>37</v>
      </c>
      <c r="H630" s="572" t="s">
        <v>38</v>
      </c>
      <c r="I630" s="573" t="s">
        <v>39</v>
      </c>
      <c r="J630" s="10"/>
      <c r="K630" s="26">
        <f>K631</f>
        <v>629.70000000000005</v>
      </c>
      <c r="L630" s="26">
        <f>L631</f>
        <v>0</v>
      </c>
      <c r="M630" s="26">
        <v>629.70000000000005</v>
      </c>
    </row>
    <row r="631" spans="1:14" s="7" customFormat="1" ht="37.5" customHeight="1" x14ac:dyDescent="0.35">
      <c r="A631" s="11"/>
      <c r="B631" s="30" t="s">
        <v>213</v>
      </c>
      <c r="C631" s="25" t="s">
        <v>279</v>
      </c>
      <c r="D631" s="10" t="s">
        <v>62</v>
      </c>
      <c r="E631" s="10" t="s">
        <v>34</v>
      </c>
      <c r="F631" s="571" t="s">
        <v>47</v>
      </c>
      <c r="G631" s="572" t="s">
        <v>40</v>
      </c>
      <c r="H631" s="572" t="s">
        <v>38</v>
      </c>
      <c r="I631" s="573" t="s">
        <v>39</v>
      </c>
      <c r="J631" s="10"/>
      <c r="K631" s="26">
        <f t="shared" ref="K631:M632" si="97">K632</f>
        <v>629.70000000000005</v>
      </c>
      <c r="L631" s="26">
        <f t="shared" si="97"/>
        <v>0</v>
      </c>
      <c r="M631" s="26">
        <v>629.70000000000005</v>
      </c>
      <c r="N631" s="165"/>
    </row>
    <row r="632" spans="1:14" s="7" customFormat="1" ht="56.25" customHeight="1" x14ac:dyDescent="0.35">
      <c r="A632" s="11"/>
      <c r="B632" s="24" t="s">
        <v>280</v>
      </c>
      <c r="C632" s="25" t="s">
        <v>279</v>
      </c>
      <c r="D632" s="10" t="s">
        <v>62</v>
      </c>
      <c r="E632" s="10" t="s">
        <v>34</v>
      </c>
      <c r="F632" s="571" t="s">
        <v>47</v>
      </c>
      <c r="G632" s="572" t="s">
        <v>40</v>
      </c>
      <c r="H632" s="572" t="s">
        <v>34</v>
      </c>
      <c r="I632" s="573" t="s">
        <v>39</v>
      </c>
      <c r="J632" s="10"/>
      <c r="K632" s="26">
        <f t="shared" si="97"/>
        <v>629.70000000000005</v>
      </c>
      <c r="L632" s="26">
        <f t="shared" si="97"/>
        <v>0</v>
      </c>
      <c r="M632" s="26">
        <v>629.70000000000005</v>
      </c>
      <c r="N632" s="165"/>
    </row>
    <row r="633" spans="1:14" s="7" customFormat="1" ht="56.25" customHeight="1" x14ac:dyDescent="0.35">
      <c r="A633" s="11"/>
      <c r="B633" s="24" t="s">
        <v>214</v>
      </c>
      <c r="C633" s="25" t="s">
        <v>279</v>
      </c>
      <c r="D633" s="10" t="s">
        <v>62</v>
      </c>
      <c r="E633" s="10" t="s">
        <v>34</v>
      </c>
      <c r="F633" s="571" t="s">
        <v>47</v>
      </c>
      <c r="G633" s="572" t="s">
        <v>40</v>
      </c>
      <c r="H633" s="572" t="s">
        <v>34</v>
      </c>
      <c r="I633" s="573" t="s">
        <v>281</v>
      </c>
      <c r="J633" s="10"/>
      <c r="K633" s="26">
        <f>SUM(K634:K634)</f>
        <v>629.70000000000005</v>
      </c>
      <c r="L633" s="26">
        <f>SUM(L634:L634)</f>
        <v>0</v>
      </c>
      <c r="M633" s="26">
        <v>629.70000000000005</v>
      </c>
    </row>
    <row r="634" spans="1:14" s="7" customFormat="1" ht="56.25" customHeight="1" x14ac:dyDescent="0.35">
      <c r="A634" s="11"/>
      <c r="B634" s="24" t="s">
        <v>50</v>
      </c>
      <c r="C634" s="25" t="s">
        <v>279</v>
      </c>
      <c r="D634" s="10" t="s">
        <v>62</v>
      </c>
      <c r="E634" s="10" t="s">
        <v>34</v>
      </c>
      <c r="F634" s="571" t="s">
        <v>47</v>
      </c>
      <c r="G634" s="572" t="s">
        <v>40</v>
      </c>
      <c r="H634" s="572" t="s">
        <v>34</v>
      </c>
      <c r="I634" s="573" t="s">
        <v>281</v>
      </c>
      <c r="J634" s="10" t="s">
        <v>51</v>
      </c>
      <c r="K634" s="26">
        <f>68+561.7</f>
        <v>629.70000000000005</v>
      </c>
      <c r="L634" s="26">
        <f>M634-K634</f>
        <v>0</v>
      </c>
      <c r="M634" s="26">
        <v>629.70000000000005</v>
      </c>
      <c r="N634" s="165"/>
    </row>
    <row r="635" spans="1:14" s="7" customFormat="1" ht="37.5" customHeight="1" x14ac:dyDescent="0.35">
      <c r="A635" s="11"/>
      <c r="B635" s="30" t="s">
        <v>194</v>
      </c>
      <c r="C635" s="25" t="s">
        <v>279</v>
      </c>
      <c r="D635" s="10" t="s">
        <v>62</v>
      </c>
      <c r="E635" s="10" t="s">
        <v>60</v>
      </c>
      <c r="F635" s="571"/>
      <c r="G635" s="572"/>
      <c r="H635" s="572"/>
      <c r="I635" s="573"/>
      <c r="J635" s="10"/>
      <c r="K635" s="26">
        <f t="shared" ref="K635:M638" si="98">K636</f>
        <v>2858.1</v>
      </c>
      <c r="L635" s="26">
        <f t="shared" si="98"/>
        <v>0</v>
      </c>
      <c r="M635" s="26">
        <v>2858.1</v>
      </c>
      <c r="N635" s="165"/>
    </row>
    <row r="636" spans="1:14" s="7" customFormat="1" ht="61.5" customHeight="1" x14ac:dyDescent="0.35">
      <c r="A636" s="11"/>
      <c r="B636" s="24" t="s">
        <v>212</v>
      </c>
      <c r="C636" s="25" t="s">
        <v>279</v>
      </c>
      <c r="D636" s="10" t="s">
        <v>62</v>
      </c>
      <c r="E636" s="10" t="s">
        <v>60</v>
      </c>
      <c r="F636" s="571" t="s">
        <v>47</v>
      </c>
      <c r="G636" s="572" t="s">
        <v>37</v>
      </c>
      <c r="H636" s="572" t="s">
        <v>38</v>
      </c>
      <c r="I636" s="573" t="s">
        <v>39</v>
      </c>
      <c r="J636" s="10"/>
      <c r="K636" s="26">
        <f t="shared" si="98"/>
        <v>2858.1</v>
      </c>
      <c r="L636" s="26">
        <f t="shared" si="98"/>
        <v>0</v>
      </c>
      <c r="M636" s="26">
        <v>2858.1</v>
      </c>
      <c r="N636" s="165"/>
    </row>
    <row r="637" spans="1:14" s="7" customFormat="1" ht="37.5" customHeight="1" x14ac:dyDescent="0.35">
      <c r="A637" s="11"/>
      <c r="B637" s="28" t="s">
        <v>215</v>
      </c>
      <c r="C637" s="25" t="s">
        <v>279</v>
      </c>
      <c r="D637" s="10" t="s">
        <v>62</v>
      </c>
      <c r="E637" s="10" t="s">
        <v>60</v>
      </c>
      <c r="F637" s="571" t="s">
        <v>47</v>
      </c>
      <c r="G637" s="572" t="s">
        <v>84</v>
      </c>
      <c r="H637" s="572" t="s">
        <v>38</v>
      </c>
      <c r="I637" s="573" t="s">
        <v>39</v>
      </c>
      <c r="J637" s="10"/>
      <c r="K637" s="26">
        <f t="shared" si="98"/>
        <v>2858.1</v>
      </c>
      <c r="L637" s="26">
        <f t="shared" si="98"/>
        <v>0</v>
      </c>
      <c r="M637" s="26">
        <v>2858.1</v>
      </c>
      <c r="N637" s="165"/>
    </row>
    <row r="638" spans="1:14" s="7" customFormat="1" ht="37.5" customHeight="1" x14ac:dyDescent="0.35">
      <c r="A638" s="11"/>
      <c r="B638" s="24" t="s">
        <v>270</v>
      </c>
      <c r="C638" s="25" t="s">
        <v>279</v>
      </c>
      <c r="D638" s="10" t="s">
        <v>62</v>
      </c>
      <c r="E638" s="10" t="s">
        <v>60</v>
      </c>
      <c r="F638" s="571" t="s">
        <v>47</v>
      </c>
      <c r="G638" s="572" t="s">
        <v>84</v>
      </c>
      <c r="H638" s="572" t="s">
        <v>32</v>
      </c>
      <c r="I638" s="573" t="s">
        <v>39</v>
      </c>
      <c r="J638" s="10"/>
      <c r="K638" s="26">
        <f t="shared" si="98"/>
        <v>2858.1</v>
      </c>
      <c r="L638" s="26">
        <f t="shared" si="98"/>
        <v>0</v>
      </c>
      <c r="M638" s="26">
        <v>2858.1</v>
      </c>
      <c r="N638" s="165"/>
    </row>
    <row r="639" spans="1:14" s="7" customFormat="1" ht="37.5" customHeight="1" x14ac:dyDescent="0.35">
      <c r="A639" s="11"/>
      <c r="B639" s="24" t="s">
        <v>42</v>
      </c>
      <c r="C639" s="25" t="s">
        <v>279</v>
      </c>
      <c r="D639" s="10" t="s">
        <v>62</v>
      </c>
      <c r="E639" s="10" t="s">
        <v>60</v>
      </c>
      <c r="F639" s="571" t="s">
        <v>47</v>
      </c>
      <c r="G639" s="572" t="s">
        <v>84</v>
      </c>
      <c r="H639" s="572" t="s">
        <v>32</v>
      </c>
      <c r="I639" s="573" t="s">
        <v>43</v>
      </c>
      <c r="J639" s="10"/>
      <c r="K639" s="26">
        <f>K640+K641+K642</f>
        <v>2858.1</v>
      </c>
      <c r="L639" s="26">
        <f>L640+L641+L642</f>
        <v>0</v>
      </c>
      <c r="M639" s="26">
        <v>2858.1</v>
      </c>
      <c r="N639" s="165"/>
    </row>
    <row r="640" spans="1:14" s="7" customFormat="1" ht="112.5" customHeight="1" x14ac:dyDescent="0.35">
      <c r="A640" s="11"/>
      <c r="B640" s="24" t="s">
        <v>44</v>
      </c>
      <c r="C640" s="25" t="s">
        <v>279</v>
      </c>
      <c r="D640" s="10" t="s">
        <v>62</v>
      </c>
      <c r="E640" s="10" t="s">
        <v>60</v>
      </c>
      <c r="F640" s="571" t="s">
        <v>47</v>
      </c>
      <c r="G640" s="572" t="s">
        <v>84</v>
      </c>
      <c r="H640" s="572" t="s">
        <v>32</v>
      </c>
      <c r="I640" s="573" t="s">
        <v>43</v>
      </c>
      <c r="J640" s="10" t="s">
        <v>45</v>
      </c>
      <c r="K640" s="26">
        <f>2371.8+427.1</f>
        <v>2798.9</v>
      </c>
      <c r="L640" s="26">
        <f>M640-K640</f>
        <v>0</v>
      </c>
      <c r="M640" s="26">
        <v>2798.9</v>
      </c>
      <c r="N640" s="165"/>
    </row>
    <row r="641" spans="1:14" s="7" customFormat="1" ht="56.25" customHeight="1" x14ac:dyDescent="0.35">
      <c r="A641" s="11"/>
      <c r="B641" s="24" t="s">
        <v>50</v>
      </c>
      <c r="C641" s="25" t="s">
        <v>279</v>
      </c>
      <c r="D641" s="10" t="s">
        <v>62</v>
      </c>
      <c r="E641" s="10" t="s">
        <v>60</v>
      </c>
      <c r="F641" s="571" t="s">
        <v>47</v>
      </c>
      <c r="G641" s="572" t="s">
        <v>84</v>
      </c>
      <c r="H641" s="572" t="s">
        <v>32</v>
      </c>
      <c r="I641" s="573" t="s">
        <v>43</v>
      </c>
      <c r="J641" s="10" t="s">
        <v>51</v>
      </c>
      <c r="K641" s="26">
        <v>57.2</v>
      </c>
      <c r="L641" s="26">
        <f>M641-K641</f>
        <v>0</v>
      </c>
      <c r="M641" s="26">
        <v>57.2</v>
      </c>
      <c r="N641" s="165"/>
    </row>
    <row r="642" spans="1:14" s="7" customFormat="1" ht="18.75" customHeight="1" x14ac:dyDescent="0.35">
      <c r="A642" s="11"/>
      <c r="B642" s="24" t="s">
        <v>52</v>
      </c>
      <c r="C642" s="25" t="s">
        <v>279</v>
      </c>
      <c r="D642" s="10" t="s">
        <v>62</v>
      </c>
      <c r="E642" s="10" t="s">
        <v>60</v>
      </c>
      <c r="F642" s="571" t="s">
        <v>47</v>
      </c>
      <c r="G642" s="572" t="s">
        <v>84</v>
      </c>
      <c r="H642" s="572" t="s">
        <v>32</v>
      </c>
      <c r="I642" s="573" t="s">
        <v>43</v>
      </c>
      <c r="J642" s="10" t="s">
        <v>53</v>
      </c>
      <c r="K642" s="26">
        <v>2</v>
      </c>
      <c r="L642" s="26">
        <f>M642-K642</f>
        <v>0</v>
      </c>
      <c r="M642" s="26">
        <v>2</v>
      </c>
      <c r="N642" s="165"/>
    </row>
    <row r="643" spans="1:14" s="7" customFormat="1" ht="18.75" customHeight="1" x14ac:dyDescent="0.35">
      <c r="A643" s="11"/>
      <c r="B643" s="24"/>
      <c r="C643" s="25"/>
      <c r="D643" s="10"/>
      <c r="E643" s="10"/>
      <c r="F643" s="571"/>
      <c r="G643" s="572"/>
      <c r="H643" s="572"/>
      <c r="I643" s="573"/>
      <c r="J643" s="10"/>
      <c r="K643" s="26"/>
      <c r="L643" s="26"/>
      <c r="M643" s="26"/>
      <c r="N643" s="165"/>
    </row>
    <row r="644" spans="1:14" s="117" customFormat="1" ht="56.25" customHeight="1" x14ac:dyDescent="0.3">
      <c r="A644" s="116">
        <v>8</v>
      </c>
      <c r="B644" s="18" t="s">
        <v>9</v>
      </c>
      <c r="C644" s="19" t="s">
        <v>275</v>
      </c>
      <c r="D644" s="20"/>
      <c r="E644" s="20"/>
      <c r="F644" s="21"/>
      <c r="G644" s="22"/>
      <c r="H644" s="22"/>
      <c r="I644" s="23"/>
      <c r="J644" s="20"/>
      <c r="K644" s="40">
        <f>K658+K645</f>
        <v>7545.8</v>
      </c>
      <c r="L644" s="40">
        <f>L658+L645</f>
        <v>0</v>
      </c>
      <c r="M644" s="40">
        <v>7545.8</v>
      </c>
    </row>
    <row r="645" spans="1:14" s="117" customFormat="1" ht="18.75" customHeight="1" x14ac:dyDescent="0.35">
      <c r="A645" s="116"/>
      <c r="B645" s="24" t="s">
        <v>31</v>
      </c>
      <c r="C645" s="25" t="s">
        <v>275</v>
      </c>
      <c r="D645" s="10" t="s">
        <v>32</v>
      </c>
      <c r="E645" s="10"/>
      <c r="F645" s="571"/>
      <c r="G645" s="572"/>
      <c r="H645" s="572"/>
      <c r="I645" s="573"/>
      <c r="J645" s="10"/>
      <c r="K645" s="224">
        <f t="shared" ref="K645:M647" si="99">K646</f>
        <v>122.7</v>
      </c>
      <c r="L645" s="224">
        <f t="shared" si="99"/>
        <v>0</v>
      </c>
      <c r="M645" s="224">
        <v>122.7</v>
      </c>
    </row>
    <row r="646" spans="1:14" s="117" customFormat="1" ht="21.75" customHeight="1" x14ac:dyDescent="0.35">
      <c r="A646" s="116"/>
      <c r="B646" s="24" t="s">
        <v>65</v>
      </c>
      <c r="C646" s="25" t="s">
        <v>275</v>
      </c>
      <c r="D646" s="10" t="s">
        <v>32</v>
      </c>
      <c r="E646" s="10" t="s">
        <v>66</v>
      </c>
      <c r="F646" s="571"/>
      <c r="G646" s="572"/>
      <c r="H646" s="572"/>
      <c r="I646" s="573"/>
      <c r="J646" s="10"/>
      <c r="K646" s="224">
        <f t="shared" si="99"/>
        <v>122.7</v>
      </c>
      <c r="L646" s="224">
        <f t="shared" si="99"/>
        <v>0</v>
      </c>
      <c r="M646" s="224">
        <v>122.7</v>
      </c>
    </row>
    <row r="647" spans="1:14" s="117" customFormat="1" ht="56.25" customHeight="1" x14ac:dyDescent="0.35">
      <c r="A647" s="116"/>
      <c r="B647" s="24" t="s">
        <v>216</v>
      </c>
      <c r="C647" s="25" t="s">
        <v>275</v>
      </c>
      <c r="D647" s="10" t="s">
        <v>32</v>
      </c>
      <c r="E647" s="10" t="s">
        <v>66</v>
      </c>
      <c r="F647" s="571" t="s">
        <v>60</v>
      </c>
      <c r="G647" s="572" t="s">
        <v>37</v>
      </c>
      <c r="H647" s="572" t="s">
        <v>38</v>
      </c>
      <c r="I647" s="573" t="s">
        <v>39</v>
      </c>
      <c r="J647" s="10"/>
      <c r="K647" s="224">
        <f t="shared" si="99"/>
        <v>122.7</v>
      </c>
      <c r="L647" s="224">
        <f t="shared" si="99"/>
        <v>0</v>
      </c>
      <c r="M647" s="224">
        <v>122.7</v>
      </c>
    </row>
    <row r="648" spans="1:14" s="117" customFormat="1" ht="33" customHeight="1" x14ac:dyDescent="0.35">
      <c r="A648" s="116"/>
      <c r="B648" s="24" t="s">
        <v>215</v>
      </c>
      <c r="C648" s="25" t="s">
        <v>275</v>
      </c>
      <c r="D648" s="10" t="s">
        <v>32</v>
      </c>
      <c r="E648" s="10" t="s">
        <v>66</v>
      </c>
      <c r="F648" s="571" t="s">
        <v>60</v>
      </c>
      <c r="G648" s="572" t="s">
        <v>84</v>
      </c>
      <c r="H648" s="572" t="s">
        <v>38</v>
      </c>
      <c r="I648" s="573" t="s">
        <v>39</v>
      </c>
      <c r="J648" s="10"/>
      <c r="K648" s="224">
        <f>K649+K652+K655</f>
        <v>122.7</v>
      </c>
      <c r="L648" s="224">
        <f>L649+L652+L655</f>
        <v>0</v>
      </c>
      <c r="M648" s="224">
        <v>122.7</v>
      </c>
    </row>
    <row r="649" spans="1:14" s="117" customFormat="1" ht="44.25" customHeight="1" x14ac:dyDescent="0.35">
      <c r="A649" s="116"/>
      <c r="B649" s="259" t="s">
        <v>340</v>
      </c>
      <c r="C649" s="25" t="s">
        <v>275</v>
      </c>
      <c r="D649" s="10" t="s">
        <v>32</v>
      </c>
      <c r="E649" s="10" t="s">
        <v>66</v>
      </c>
      <c r="F649" s="571" t="s">
        <v>60</v>
      </c>
      <c r="G649" s="572" t="s">
        <v>84</v>
      </c>
      <c r="H649" s="572" t="s">
        <v>34</v>
      </c>
      <c r="I649" s="573" t="s">
        <v>39</v>
      </c>
      <c r="J649" s="10"/>
      <c r="K649" s="224">
        <f t="shared" ref="K649:M650" si="100">K650</f>
        <v>65.400000000000006</v>
      </c>
      <c r="L649" s="224">
        <f t="shared" si="100"/>
        <v>0</v>
      </c>
      <c r="M649" s="224">
        <v>65.400000000000006</v>
      </c>
    </row>
    <row r="650" spans="1:14" s="117" customFormat="1" ht="56.25" customHeight="1" x14ac:dyDescent="0.35">
      <c r="A650" s="116"/>
      <c r="B650" s="259" t="s">
        <v>341</v>
      </c>
      <c r="C650" s="25" t="s">
        <v>275</v>
      </c>
      <c r="D650" s="10" t="s">
        <v>32</v>
      </c>
      <c r="E650" s="10" t="s">
        <v>66</v>
      </c>
      <c r="F650" s="571" t="s">
        <v>60</v>
      </c>
      <c r="G650" s="572" t="s">
        <v>84</v>
      </c>
      <c r="H650" s="572" t="s">
        <v>34</v>
      </c>
      <c r="I650" s="573" t="s">
        <v>100</v>
      </c>
      <c r="J650" s="10"/>
      <c r="K650" s="224">
        <f t="shared" si="100"/>
        <v>65.400000000000006</v>
      </c>
      <c r="L650" s="224">
        <f t="shared" si="100"/>
        <v>0</v>
      </c>
      <c r="M650" s="224">
        <v>65.400000000000006</v>
      </c>
    </row>
    <row r="651" spans="1:14" s="117" customFormat="1" ht="56.25" customHeight="1" x14ac:dyDescent="0.35">
      <c r="A651" s="116"/>
      <c r="B651" s="259" t="s">
        <v>50</v>
      </c>
      <c r="C651" s="25" t="s">
        <v>275</v>
      </c>
      <c r="D651" s="10" t="s">
        <v>32</v>
      </c>
      <c r="E651" s="10" t="s">
        <v>66</v>
      </c>
      <c r="F651" s="571" t="s">
        <v>60</v>
      </c>
      <c r="G651" s="572" t="s">
        <v>84</v>
      </c>
      <c r="H651" s="572" t="s">
        <v>34</v>
      </c>
      <c r="I651" s="573" t="s">
        <v>100</v>
      </c>
      <c r="J651" s="10" t="s">
        <v>51</v>
      </c>
      <c r="K651" s="224">
        <v>65.400000000000006</v>
      </c>
      <c r="L651" s="26">
        <f>M651-K651</f>
        <v>0</v>
      </c>
      <c r="M651" s="224">
        <v>65.400000000000006</v>
      </c>
    </row>
    <row r="652" spans="1:14" s="117" customFormat="1" ht="42" customHeight="1" x14ac:dyDescent="0.35">
      <c r="A652" s="116"/>
      <c r="B652" s="24" t="s">
        <v>441</v>
      </c>
      <c r="C652" s="25" t="s">
        <v>275</v>
      </c>
      <c r="D652" s="10" t="s">
        <v>32</v>
      </c>
      <c r="E652" s="10" t="s">
        <v>66</v>
      </c>
      <c r="F652" s="571" t="s">
        <v>60</v>
      </c>
      <c r="G652" s="572" t="s">
        <v>84</v>
      </c>
      <c r="H652" s="572" t="s">
        <v>58</v>
      </c>
      <c r="I652" s="573" t="s">
        <v>39</v>
      </c>
      <c r="J652" s="10"/>
      <c r="K652" s="224">
        <f t="shared" ref="K652:M653" si="101">K653</f>
        <v>14.8</v>
      </c>
      <c r="L652" s="224">
        <f t="shared" si="101"/>
        <v>0</v>
      </c>
      <c r="M652" s="224">
        <v>14.8</v>
      </c>
    </row>
    <row r="653" spans="1:14" s="117" customFormat="1" ht="21" customHeight="1" x14ac:dyDescent="0.35">
      <c r="A653" s="116"/>
      <c r="B653" s="24" t="s">
        <v>439</v>
      </c>
      <c r="C653" s="25" t="s">
        <v>275</v>
      </c>
      <c r="D653" s="10" t="s">
        <v>32</v>
      </c>
      <c r="E653" s="10" t="s">
        <v>66</v>
      </c>
      <c r="F653" s="571" t="s">
        <v>60</v>
      </c>
      <c r="G653" s="572" t="s">
        <v>84</v>
      </c>
      <c r="H653" s="572" t="s">
        <v>58</v>
      </c>
      <c r="I653" s="573" t="s">
        <v>440</v>
      </c>
      <c r="J653" s="10"/>
      <c r="K653" s="224">
        <f t="shared" si="101"/>
        <v>14.8</v>
      </c>
      <c r="L653" s="224">
        <f t="shared" si="101"/>
        <v>0</v>
      </c>
      <c r="M653" s="224">
        <v>14.8</v>
      </c>
    </row>
    <row r="654" spans="1:14" s="117" customFormat="1" ht="56.25" customHeight="1" x14ac:dyDescent="0.35">
      <c r="A654" s="116"/>
      <c r="B654" s="259" t="s">
        <v>50</v>
      </c>
      <c r="C654" s="25" t="s">
        <v>275</v>
      </c>
      <c r="D654" s="10" t="s">
        <v>32</v>
      </c>
      <c r="E654" s="10" t="s">
        <v>66</v>
      </c>
      <c r="F654" s="571" t="s">
        <v>60</v>
      </c>
      <c r="G654" s="572" t="s">
        <v>84</v>
      </c>
      <c r="H654" s="572" t="s">
        <v>58</v>
      </c>
      <c r="I654" s="573" t="s">
        <v>440</v>
      </c>
      <c r="J654" s="35" t="s">
        <v>51</v>
      </c>
      <c r="K654" s="224">
        <v>14.8</v>
      </c>
      <c r="L654" s="26">
        <f>M654-K654</f>
        <v>0</v>
      </c>
      <c r="M654" s="224">
        <v>14.8</v>
      </c>
    </row>
    <row r="655" spans="1:14" s="117" customFormat="1" ht="41.25" customHeight="1" x14ac:dyDescent="0.35">
      <c r="A655" s="116"/>
      <c r="B655" s="259" t="s">
        <v>445</v>
      </c>
      <c r="C655" s="25" t="s">
        <v>275</v>
      </c>
      <c r="D655" s="10" t="s">
        <v>32</v>
      </c>
      <c r="E655" s="10" t="s">
        <v>66</v>
      </c>
      <c r="F655" s="571" t="s">
        <v>60</v>
      </c>
      <c r="G655" s="572" t="s">
        <v>84</v>
      </c>
      <c r="H655" s="572" t="s">
        <v>47</v>
      </c>
      <c r="I655" s="573" t="s">
        <v>39</v>
      </c>
      <c r="J655" s="20"/>
      <c r="K655" s="224">
        <f t="shared" ref="K655:M656" si="102">K656</f>
        <v>42.5</v>
      </c>
      <c r="L655" s="224">
        <f t="shared" si="102"/>
        <v>0</v>
      </c>
      <c r="M655" s="224">
        <v>42.5</v>
      </c>
    </row>
    <row r="656" spans="1:14" s="117" customFormat="1" ht="38.25" customHeight="1" x14ac:dyDescent="0.35">
      <c r="A656" s="116"/>
      <c r="B656" s="233" t="s">
        <v>122</v>
      </c>
      <c r="C656" s="25" t="s">
        <v>275</v>
      </c>
      <c r="D656" s="10" t="s">
        <v>32</v>
      </c>
      <c r="E656" s="10" t="s">
        <v>66</v>
      </c>
      <c r="F656" s="571" t="s">
        <v>60</v>
      </c>
      <c r="G656" s="572" t="s">
        <v>84</v>
      </c>
      <c r="H656" s="572" t="s">
        <v>47</v>
      </c>
      <c r="I656" s="573" t="s">
        <v>85</v>
      </c>
      <c r="J656" s="20"/>
      <c r="K656" s="224">
        <f t="shared" si="102"/>
        <v>42.5</v>
      </c>
      <c r="L656" s="224">
        <f t="shared" si="102"/>
        <v>0</v>
      </c>
      <c r="M656" s="224">
        <v>42.5</v>
      </c>
    </row>
    <row r="657" spans="1:14" s="117" customFormat="1" ht="56.25" customHeight="1" x14ac:dyDescent="0.35">
      <c r="A657" s="116"/>
      <c r="B657" s="259" t="s">
        <v>50</v>
      </c>
      <c r="C657" s="25" t="s">
        <v>275</v>
      </c>
      <c r="D657" s="10" t="s">
        <v>32</v>
      </c>
      <c r="E657" s="10" t="s">
        <v>66</v>
      </c>
      <c r="F657" s="571" t="s">
        <v>60</v>
      </c>
      <c r="G657" s="572" t="s">
        <v>84</v>
      </c>
      <c r="H657" s="572" t="s">
        <v>47</v>
      </c>
      <c r="I657" s="573" t="s">
        <v>85</v>
      </c>
      <c r="J657" s="35" t="s">
        <v>51</v>
      </c>
      <c r="K657" s="224">
        <v>42.5</v>
      </c>
      <c r="L657" s="26">
        <f>M657-K657</f>
        <v>0</v>
      </c>
      <c r="M657" s="224">
        <v>42.5</v>
      </c>
    </row>
    <row r="658" spans="1:14" s="7" customFormat="1" ht="18.75" customHeight="1" x14ac:dyDescent="0.35">
      <c r="A658" s="116"/>
      <c r="B658" s="24" t="s">
        <v>174</v>
      </c>
      <c r="C658" s="25" t="s">
        <v>275</v>
      </c>
      <c r="D658" s="10" t="s">
        <v>219</v>
      </c>
      <c r="E658" s="10"/>
      <c r="F658" s="571"/>
      <c r="G658" s="572"/>
      <c r="H658" s="572"/>
      <c r="I658" s="573"/>
      <c r="J658" s="10"/>
      <c r="K658" s="26">
        <f>K659+K669</f>
        <v>7423.1</v>
      </c>
      <c r="L658" s="26">
        <f>L659+L669</f>
        <v>0</v>
      </c>
      <c r="M658" s="26">
        <v>7423.1</v>
      </c>
    </row>
    <row r="659" spans="1:14" s="117" customFormat="1" ht="18.75" customHeight="1" x14ac:dyDescent="0.35">
      <c r="A659" s="116"/>
      <c r="B659" s="24" t="s">
        <v>339</v>
      </c>
      <c r="C659" s="25" t="s">
        <v>275</v>
      </c>
      <c r="D659" s="10" t="s">
        <v>219</v>
      </c>
      <c r="E659" s="10" t="s">
        <v>219</v>
      </c>
      <c r="F659" s="571"/>
      <c r="G659" s="572"/>
      <c r="H659" s="572"/>
      <c r="I659" s="573"/>
      <c r="J659" s="10"/>
      <c r="K659" s="26">
        <f t="shared" ref="K659:M661" si="103">K660</f>
        <v>4026.5</v>
      </c>
      <c r="L659" s="26">
        <f t="shared" si="103"/>
        <v>0</v>
      </c>
      <c r="M659" s="26">
        <v>4026.5</v>
      </c>
    </row>
    <row r="660" spans="1:14" s="117" customFormat="1" ht="56.25" customHeight="1" x14ac:dyDescent="0.35">
      <c r="A660" s="116"/>
      <c r="B660" s="24" t="s">
        <v>216</v>
      </c>
      <c r="C660" s="25" t="s">
        <v>275</v>
      </c>
      <c r="D660" s="10" t="s">
        <v>219</v>
      </c>
      <c r="E660" s="10" t="s">
        <v>219</v>
      </c>
      <c r="F660" s="571" t="s">
        <v>60</v>
      </c>
      <c r="G660" s="572" t="s">
        <v>37</v>
      </c>
      <c r="H660" s="572" t="s">
        <v>38</v>
      </c>
      <c r="I660" s="573" t="s">
        <v>39</v>
      </c>
      <c r="J660" s="10"/>
      <c r="K660" s="26">
        <f t="shared" si="103"/>
        <v>4026.5</v>
      </c>
      <c r="L660" s="26">
        <f t="shared" si="103"/>
        <v>0</v>
      </c>
      <c r="M660" s="26">
        <v>4026.5</v>
      </c>
    </row>
    <row r="661" spans="1:14" s="117" customFormat="1" ht="18.75" customHeight="1" x14ac:dyDescent="0.35">
      <c r="A661" s="116"/>
      <c r="B661" s="24" t="s">
        <v>217</v>
      </c>
      <c r="C661" s="25" t="s">
        <v>275</v>
      </c>
      <c r="D661" s="10" t="s">
        <v>219</v>
      </c>
      <c r="E661" s="10" t="s">
        <v>219</v>
      </c>
      <c r="F661" s="571" t="s">
        <v>60</v>
      </c>
      <c r="G661" s="572" t="s">
        <v>40</v>
      </c>
      <c r="H661" s="572" t="s">
        <v>38</v>
      </c>
      <c r="I661" s="573" t="s">
        <v>39</v>
      </c>
      <c r="J661" s="10"/>
      <c r="K661" s="26">
        <f t="shared" si="103"/>
        <v>4026.5</v>
      </c>
      <c r="L661" s="26">
        <f t="shared" si="103"/>
        <v>0</v>
      </c>
      <c r="M661" s="26">
        <v>4026.5</v>
      </c>
    </row>
    <row r="662" spans="1:14" s="117" customFormat="1" ht="76.5" customHeight="1" x14ac:dyDescent="0.35">
      <c r="A662" s="116"/>
      <c r="B662" s="24" t="s">
        <v>276</v>
      </c>
      <c r="C662" s="25" t="s">
        <v>275</v>
      </c>
      <c r="D662" s="10" t="s">
        <v>219</v>
      </c>
      <c r="E662" s="10" t="s">
        <v>219</v>
      </c>
      <c r="F662" s="571" t="s">
        <v>60</v>
      </c>
      <c r="G662" s="572" t="s">
        <v>40</v>
      </c>
      <c r="H662" s="572" t="s">
        <v>32</v>
      </c>
      <c r="I662" s="573" t="s">
        <v>39</v>
      </c>
      <c r="J662" s="10"/>
      <c r="K662" s="26">
        <f>K663+K667</f>
        <v>4026.5</v>
      </c>
      <c r="L662" s="26">
        <f>L663+L667</f>
        <v>0</v>
      </c>
      <c r="M662" s="26">
        <v>4026.5</v>
      </c>
    </row>
    <row r="663" spans="1:14" s="117" customFormat="1" ht="38.25" customHeight="1" x14ac:dyDescent="0.35">
      <c r="A663" s="116"/>
      <c r="B663" s="27" t="s">
        <v>437</v>
      </c>
      <c r="C663" s="25" t="s">
        <v>275</v>
      </c>
      <c r="D663" s="10" t="s">
        <v>219</v>
      </c>
      <c r="E663" s="10" t="s">
        <v>219</v>
      </c>
      <c r="F663" s="571" t="s">
        <v>60</v>
      </c>
      <c r="G663" s="572" t="s">
        <v>40</v>
      </c>
      <c r="H663" s="572" t="s">
        <v>32</v>
      </c>
      <c r="I663" s="573" t="s">
        <v>86</v>
      </c>
      <c r="J663" s="10"/>
      <c r="K663" s="26">
        <f>K664+K665+K666</f>
        <v>3591.2</v>
      </c>
      <c r="L663" s="26">
        <f>L664+L665+L666</f>
        <v>0</v>
      </c>
      <c r="M663" s="26">
        <v>3591.2</v>
      </c>
    </row>
    <row r="664" spans="1:14" s="117" customFormat="1" ht="112.5" customHeight="1" x14ac:dyDescent="0.35">
      <c r="A664" s="11"/>
      <c r="B664" s="24" t="s">
        <v>44</v>
      </c>
      <c r="C664" s="25" t="s">
        <v>275</v>
      </c>
      <c r="D664" s="10" t="s">
        <v>219</v>
      </c>
      <c r="E664" s="10" t="s">
        <v>219</v>
      </c>
      <c r="F664" s="571" t="s">
        <v>60</v>
      </c>
      <c r="G664" s="572" t="s">
        <v>40</v>
      </c>
      <c r="H664" s="572" t="s">
        <v>32</v>
      </c>
      <c r="I664" s="573" t="s">
        <v>86</v>
      </c>
      <c r="J664" s="10" t="s">
        <v>45</v>
      </c>
      <c r="K664" s="26">
        <v>3276.8</v>
      </c>
      <c r="L664" s="26">
        <f>M664-K664</f>
        <v>0</v>
      </c>
      <c r="M664" s="26">
        <v>3276.8</v>
      </c>
    </row>
    <row r="665" spans="1:14" s="7" customFormat="1" ht="53.25" customHeight="1" x14ac:dyDescent="0.35">
      <c r="A665" s="11"/>
      <c r="B665" s="24" t="s">
        <v>50</v>
      </c>
      <c r="C665" s="25" t="s">
        <v>275</v>
      </c>
      <c r="D665" s="10" t="s">
        <v>219</v>
      </c>
      <c r="E665" s="10" t="s">
        <v>219</v>
      </c>
      <c r="F665" s="571" t="s">
        <v>60</v>
      </c>
      <c r="G665" s="572" t="s">
        <v>40</v>
      </c>
      <c r="H665" s="572" t="s">
        <v>32</v>
      </c>
      <c r="I665" s="573" t="s">
        <v>86</v>
      </c>
      <c r="J665" s="10" t="s">
        <v>51</v>
      </c>
      <c r="K665" s="26">
        <v>311.7</v>
      </c>
      <c r="L665" s="26">
        <f>M665-K665</f>
        <v>0</v>
      </c>
      <c r="M665" s="26">
        <v>311.7</v>
      </c>
    </row>
    <row r="666" spans="1:14" s="7" customFormat="1" ht="18.75" customHeight="1" x14ac:dyDescent="0.35">
      <c r="A666" s="11"/>
      <c r="B666" s="24" t="s">
        <v>52</v>
      </c>
      <c r="C666" s="25" t="s">
        <v>275</v>
      </c>
      <c r="D666" s="10" t="s">
        <v>219</v>
      </c>
      <c r="E666" s="10" t="s">
        <v>219</v>
      </c>
      <c r="F666" s="571" t="s">
        <v>60</v>
      </c>
      <c r="G666" s="572" t="s">
        <v>40</v>
      </c>
      <c r="H666" s="572" t="s">
        <v>32</v>
      </c>
      <c r="I666" s="573" t="s">
        <v>86</v>
      </c>
      <c r="J666" s="10" t="s">
        <v>53</v>
      </c>
      <c r="K666" s="26">
        <v>2.7</v>
      </c>
      <c r="L666" s="26">
        <f>M666-K666</f>
        <v>0</v>
      </c>
      <c r="M666" s="26">
        <v>2.7</v>
      </c>
    </row>
    <row r="667" spans="1:14" s="7" customFormat="1" ht="34.5" customHeight="1" x14ac:dyDescent="0.35">
      <c r="A667" s="11"/>
      <c r="B667" s="24" t="s">
        <v>277</v>
      </c>
      <c r="C667" s="25" t="s">
        <v>275</v>
      </c>
      <c r="D667" s="10" t="s">
        <v>219</v>
      </c>
      <c r="E667" s="10" t="s">
        <v>219</v>
      </c>
      <c r="F667" s="571" t="s">
        <v>60</v>
      </c>
      <c r="G667" s="572" t="s">
        <v>40</v>
      </c>
      <c r="H667" s="572" t="s">
        <v>32</v>
      </c>
      <c r="I667" s="573" t="s">
        <v>278</v>
      </c>
      <c r="J667" s="10"/>
      <c r="K667" s="26">
        <f>K668</f>
        <v>435.3</v>
      </c>
      <c r="L667" s="26">
        <f>L668</f>
        <v>0</v>
      </c>
      <c r="M667" s="26">
        <v>435.3</v>
      </c>
    </row>
    <row r="668" spans="1:14" s="7" customFormat="1" ht="56.25" customHeight="1" x14ac:dyDescent="0.35">
      <c r="A668" s="11"/>
      <c r="B668" s="24" t="s">
        <v>50</v>
      </c>
      <c r="C668" s="25" t="s">
        <v>275</v>
      </c>
      <c r="D668" s="10" t="s">
        <v>219</v>
      </c>
      <c r="E668" s="10" t="s">
        <v>219</v>
      </c>
      <c r="F668" s="571" t="s">
        <v>60</v>
      </c>
      <c r="G668" s="572" t="s">
        <v>40</v>
      </c>
      <c r="H668" s="572" t="s">
        <v>32</v>
      </c>
      <c r="I668" s="573" t="s">
        <v>278</v>
      </c>
      <c r="J668" s="10" t="s">
        <v>51</v>
      </c>
      <c r="K668" s="26">
        <v>435.3</v>
      </c>
      <c r="L668" s="26">
        <f>M668-K668</f>
        <v>0</v>
      </c>
      <c r="M668" s="26">
        <v>435.3</v>
      </c>
    </row>
    <row r="669" spans="1:14" s="7" customFormat="1" ht="18.75" customHeight="1" x14ac:dyDescent="0.35">
      <c r="A669" s="11"/>
      <c r="B669" s="24" t="s">
        <v>181</v>
      </c>
      <c r="C669" s="155" t="s">
        <v>275</v>
      </c>
      <c r="D669" s="10" t="s">
        <v>219</v>
      </c>
      <c r="E669" s="10" t="s">
        <v>74</v>
      </c>
      <c r="F669" s="571"/>
      <c r="G669" s="572"/>
      <c r="H669" s="572"/>
      <c r="I669" s="573"/>
      <c r="J669" s="10"/>
      <c r="K669" s="26">
        <f t="shared" ref="K669:M671" si="104">K670</f>
        <v>3396.6000000000004</v>
      </c>
      <c r="L669" s="26">
        <f t="shared" si="104"/>
        <v>0</v>
      </c>
      <c r="M669" s="26">
        <v>3396.6000000000004</v>
      </c>
      <c r="N669" s="165"/>
    </row>
    <row r="670" spans="1:14" s="7" customFormat="1" ht="56.25" customHeight="1" x14ac:dyDescent="0.35">
      <c r="A670" s="11"/>
      <c r="B670" s="24" t="s">
        <v>216</v>
      </c>
      <c r="C670" s="155" t="s">
        <v>275</v>
      </c>
      <c r="D670" s="10" t="s">
        <v>219</v>
      </c>
      <c r="E670" s="10" t="s">
        <v>74</v>
      </c>
      <c r="F670" s="571" t="s">
        <v>60</v>
      </c>
      <c r="G670" s="572" t="s">
        <v>37</v>
      </c>
      <c r="H670" s="572" t="s">
        <v>38</v>
      </c>
      <c r="I670" s="573" t="s">
        <v>39</v>
      </c>
      <c r="J670" s="10"/>
      <c r="K670" s="26">
        <f t="shared" si="104"/>
        <v>3396.6000000000004</v>
      </c>
      <c r="L670" s="26">
        <f t="shared" si="104"/>
        <v>0</v>
      </c>
      <c r="M670" s="26">
        <v>3396.6000000000004</v>
      </c>
      <c r="N670" s="165"/>
    </row>
    <row r="671" spans="1:14" s="7" customFormat="1" ht="37.5" customHeight="1" x14ac:dyDescent="0.35">
      <c r="A671" s="11"/>
      <c r="B671" s="24" t="s">
        <v>215</v>
      </c>
      <c r="C671" s="25" t="s">
        <v>275</v>
      </c>
      <c r="D671" s="10" t="s">
        <v>219</v>
      </c>
      <c r="E671" s="10" t="s">
        <v>74</v>
      </c>
      <c r="F671" s="571" t="s">
        <v>60</v>
      </c>
      <c r="G671" s="572" t="s">
        <v>84</v>
      </c>
      <c r="H671" s="572" t="s">
        <v>38</v>
      </c>
      <c r="I671" s="573" t="s">
        <v>39</v>
      </c>
      <c r="J671" s="10"/>
      <c r="K671" s="26">
        <f t="shared" si="104"/>
        <v>3396.6000000000004</v>
      </c>
      <c r="L671" s="26">
        <f t="shared" si="104"/>
        <v>0</v>
      </c>
      <c r="M671" s="26">
        <v>3396.6000000000004</v>
      </c>
    </row>
    <row r="672" spans="1:14" s="117" customFormat="1" ht="37.5" customHeight="1" x14ac:dyDescent="0.35">
      <c r="A672" s="11"/>
      <c r="B672" s="24" t="s">
        <v>270</v>
      </c>
      <c r="C672" s="25" t="s">
        <v>275</v>
      </c>
      <c r="D672" s="10" t="s">
        <v>219</v>
      </c>
      <c r="E672" s="10" t="s">
        <v>74</v>
      </c>
      <c r="F672" s="571" t="s">
        <v>60</v>
      </c>
      <c r="G672" s="572" t="s">
        <v>84</v>
      </c>
      <c r="H672" s="572" t="s">
        <v>32</v>
      </c>
      <c r="I672" s="573" t="s">
        <v>39</v>
      </c>
      <c r="J672" s="10"/>
      <c r="K672" s="26">
        <f>K673</f>
        <v>3396.6000000000004</v>
      </c>
      <c r="L672" s="26">
        <f>L673</f>
        <v>0</v>
      </c>
      <c r="M672" s="26">
        <v>3396.6000000000004</v>
      </c>
    </row>
    <row r="673" spans="1:14" s="7" customFormat="1" ht="37.5" customHeight="1" x14ac:dyDescent="0.35">
      <c r="A673" s="11"/>
      <c r="B673" s="24" t="s">
        <v>42</v>
      </c>
      <c r="C673" s="25" t="s">
        <v>275</v>
      </c>
      <c r="D673" s="10" t="s">
        <v>219</v>
      </c>
      <c r="E673" s="10" t="s">
        <v>74</v>
      </c>
      <c r="F673" s="571" t="s">
        <v>60</v>
      </c>
      <c r="G673" s="572" t="s">
        <v>84</v>
      </c>
      <c r="H673" s="572" t="s">
        <v>32</v>
      </c>
      <c r="I673" s="573" t="s">
        <v>43</v>
      </c>
      <c r="J673" s="10"/>
      <c r="K673" s="26">
        <f>K674+K675+K676</f>
        <v>3396.6000000000004</v>
      </c>
      <c r="L673" s="26">
        <f>L674+L675+L676</f>
        <v>0</v>
      </c>
      <c r="M673" s="26">
        <v>3396.6000000000004</v>
      </c>
    </row>
    <row r="674" spans="1:14" s="7" customFormat="1" ht="112.5" customHeight="1" x14ac:dyDescent="0.35">
      <c r="A674" s="11"/>
      <c r="B674" s="24" t="s">
        <v>44</v>
      </c>
      <c r="C674" s="25" t="s">
        <v>275</v>
      </c>
      <c r="D674" s="10" t="s">
        <v>219</v>
      </c>
      <c r="E674" s="10" t="s">
        <v>74</v>
      </c>
      <c r="F674" s="571" t="s">
        <v>60</v>
      </c>
      <c r="G674" s="572" t="s">
        <v>84</v>
      </c>
      <c r="H674" s="572" t="s">
        <v>32</v>
      </c>
      <c r="I674" s="573" t="s">
        <v>43</v>
      </c>
      <c r="J674" s="10" t="s">
        <v>45</v>
      </c>
      <c r="K674" s="26">
        <f>2656.5+389</f>
        <v>3045.5</v>
      </c>
      <c r="L674" s="26">
        <f>M674-K674</f>
        <v>0</v>
      </c>
      <c r="M674" s="26">
        <v>3045.5</v>
      </c>
      <c r="N674" s="165"/>
    </row>
    <row r="675" spans="1:14" s="7" customFormat="1" ht="56.25" customHeight="1" x14ac:dyDescent="0.35">
      <c r="A675" s="11"/>
      <c r="B675" s="24" t="s">
        <v>50</v>
      </c>
      <c r="C675" s="155" t="s">
        <v>275</v>
      </c>
      <c r="D675" s="93" t="s">
        <v>219</v>
      </c>
      <c r="E675" s="93" t="s">
        <v>74</v>
      </c>
      <c r="F675" s="571" t="s">
        <v>60</v>
      </c>
      <c r="G675" s="572" t="s">
        <v>84</v>
      </c>
      <c r="H675" s="572" t="s">
        <v>32</v>
      </c>
      <c r="I675" s="573" t="s">
        <v>43</v>
      </c>
      <c r="J675" s="10" t="s">
        <v>51</v>
      </c>
      <c r="K675" s="26">
        <v>349.8</v>
      </c>
      <c r="L675" s="26">
        <f>M675-K675</f>
        <v>0</v>
      </c>
      <c r="M675" s="26">
        <v>349.8</v>
      </c>
    </row>
    <row r="676" spans="1:14" s="7" customFormat="1" ht="18.75" customHeight="1" x14ac:dyDescent="0.35">
      <c r="A676" s="11"/>
      <c r="B676" s="24" t="s">
        <v>52</v>
      </c>
      <c r="C676" s="155" t="s">
        <v>275</v>
      </c>
      <c r="D676" s="93" t="s">
        <v>219</v>
      </c>
      <c r="E676" s="93" t="s">
        <v>74</v>
      </c>
      <c r="F676" s="571" t="s">
        <v>60</v>
      </c>
      <c r="G676" s="572" t="s">
        <v>84</v>
      </c>
      <c r="H676" s="572" t="s">
        <v>32</v>
      </c>
      <c r="I676" s="573" t="s">
        <v>43</v>
      </c>
      <c r="J676" s="10" t="s">
        <v>53</v>
      </c>
      <c r="K676" s="26">
        <v>1.3</v>
      </c>
      <c r="L676" s="26">
        <f>M676-K676</f>
        <v>0</v>
      </c>
      <c r="M676" s="26">
        <v>1.3</v>
      </c>
      <c r="N676" s="165"/>
    </row>
    <row r="677" spans="1:14" s="7" customFormat="1" ht="14.25" customHeight="1" x14ac:dyDescent="0.35">
      <c r="A677" s="11"/>
      <c r="B677" s="24"/>
      <c r="C677" s="155"/>
      <c r="D677" s="93"/>
      <c r="E677" s="93"/>
      <c r="F677" s="571"/>
      <c r="G677" s="572"/>
      <c r="H677" s="572"/>
      <c r="I677" s="573"/>
      <c r="J677" s="10"/>
      <c r="K677" s="26"/>
      <c r="L677" s="26"/>
      <c r="M677" s="26"/>
      <c r="N677" s="165"/>
    </row>
    <row r="678" spans="1:14" s="117" customFormat="1" ht="54" customHeight="1" x14ac:dyDescent="0.3">
      <c r="A678" s="116">
        <v>9</v>
      </c>
      <c r="B678" s="18" t="s">
        <v>10</v>
      </c>
      <c r="C678" s="19" t="s">
        <v>283</v>
      </c>
      <c r="D678" s="20"/>
      <c r="E678" s="20"/>
      <c r="F678" s="21"/>
      <c r="G678" s="22"/>
      <c r="H678" s="22"/>
      <c r="I678" s="23"/>
      <c r="J678" s="20"/>
      <c r="K678" s="40">
        <f>K679</f>
        <v>72979.5</v>
      </c>
      <c r="L678" s="40">
        <f>L679</f>
        <v>0</v>
      </c>
      <c r="M678" s="40">
        <v>72979.5</v>
      </c>
    </row>
    <row r="679" spans="1:14" s="7" customFormat="1" ht="18.75" customHeight="1" x14ac:dyDescent="0.35">
      <c r="A679" s="11"/>
      <c r="B679" s="30" t="s">
        <v>114</v>
      </c>
      <c r="C679" s="25" t="s">
        <v>283</v>
      </c>
      <c r="D679" s="10" t="s">
        <v>99</v>
      </c>
      <c r="E679" s="10"/>
      <c r="F679" s="571"/>
      <c r="G679" s="572"/>
      <c r="H679" s="572"/>
      <c r="I679" s="573"/>
      <c r="J679" s="10"/>
      <c r="K679" s="26">
        <f>K680+K696</f>
        <v>72979.5</v>
      </c>
      <c r="L679" s="26">
        <f>L680+L696</f>
        <v>0</v>
      </c>
      <c r="M679" s="26">
        <v>72979.5</v>
      </c>
    </row>
    <row r="680" spans="1:14" s="7" customFormat="1" ht="18.75" customHeight="1" x14ac:dyDescent="0.35">
      <c r="A680" s="11"/>
      <c r="B680" s="24" t="s">
        <v>188</v>
      </c>
      <c r="C680" s="25" t="s">
        <v>283</v>
      </c>
      <c r="D680" s="10" t="s">
        <v>99</v>
      </c>
      <c r="E680" s="10" t="s">
        <v>47</v>
      </c>
      <c r="F680" s="571"/>
      <c r="G680" s="572"/>
      <c r="H680" s="572"/>
      <c r="I680" s="573"/>
      <c r="J680" s="10"/>
      <c r="K680" s="26">
        <f t="shared" ref="K680:M681" si="105">K681</f>
        <v>65283.799999999996</v>
      </c>
      <c r="L680" s="26">
        <f t="shared" si="105"/>
        <v>0</v>
      </c>
      <c r="M680" s="26">
        <v>65283.799999999996</v>
      </c>
    </row>
    <row r="681" spans="1:14" s="7" customFormat="1" ht="56.25" customHeight="1" x14ac:dyDescent="0.35">
      <c r="A681" s="11"/>
      <c r="B681" s="28" t="s">
        <v>225</v>
      </c>
      <c r="C681" s="25" t="s">
        <v>283</v>
      </c>
      <c r="D681" s="10" t="s">
        <v>99</v>
      </c>
      <c r="E681" s="10" t="s">
        <v>47</v>
      </c>
      <c r="F681" s="571" t="s">
        <v>74</v>
      </c>
      <c r="G681" s="572" t="s">
        <v>37</v>
      </c>
      <c r="H681" s="572" t="s">
        <v>38</v>
      </c>
      <c r="I681" s="573" t="s">
        <v>39</v>
      </c>
      <c r="J681" s="10"/>
      <c r="K681" s="26">
        <f t="shared" si="105"/>
        <v>65283.799999999996</v>
      </c>
      <c r="L681" s="26">
        <f t="shared" si="105"/>
        <v>0</v>
      </c>
      <c r="M681" s="26">
        <v>65283.799999999996</v>
      </c>
    </row>
    <row r="682" spans="1:14" s="7" customFormat="1" ht="37.5" customHeight="1" x14ac:dyDescent="0.35">
      <c r="A682" s="11"/>
      <c r="B682" s="24" t="s">
        <v>328</v>
      </c>
      <c r="C682" s="25" t="s">
        <v>283</v>
      </c>
      <c r="D682" s="10" t="s">
        <v>99</v>
      </c>
      <c r="E682" s="10" t="s">
        <v>47</v>
      </c>
      <c r="F682" s="571" t="s">
        <v>74</v>
      </c>
      <c r="G682" s="572" t="s">
        <v>40</v>
      </c>
      <c r="H682" s="572" t="s">
        <v>38</v>
      </c>
      <c r="I682" s="573" t="s">
        <v>39</v>
      </c>
      <c r="J682" s="10"/>
      <c r="K682" s="26">
        <f>K683</f>
        <v>65283.799999999996</v>
      </c>
      <c r="L682" s="26">
        <f>L683</f>
        <v>0</v>
      </c>
      <c r="M682" s="26">
        <v>65283.799999999996</v>
      </c>
    </row>
    <row r="683" spans="1:14" s="117" customFormat="1" ht="37.5" customHeight="1" x14ac:dyDescent="0.35">
      <c r="A683" s="11"/>
      <c r="B683" s="24" t="s">
        <v>273</v>
      </c>
      <c r="C683" s="25" t="s">
        <v>283</v>
      </c>
      <c r="D683" s="10" t="s">
        <v>99</v>
      </c>
      <c r="E683" s="10" t="s">
        <v>47</v>
      </c>
      <c r="F683" s="571" t="s">
        <v>74</v>
      </c>
      <c r="G683" s="572" t="s">
        <v>40</v>
      </c>
      <c r="H683" s="572" t="s">
        <v>32</v>
      </c>
      <c r="I683" s="573" t="s">
        <v>39</v>
      </c>
      <c r="J683" s="10"/>
      <c r="K683" s="26">
        <f>K684+K687+K690+K693</f>
        <v>65283.799999999996</v>
      </c>
      <c r="L683" s="26">
        <f>L684+L687+L690+L693</f>
        <v>0</v>
      </c>
      <c r="M683" s="26">
        <v>65283.799999999996</v>
      </c>
    </row>
    <row r="684" spans="1:14" s="117" customFormat="1" ht="150.75" customHeight="1" x14ac:dyDescent="0.35">
      <c r="A684" s="11"/>
      <c r="B684" s="544" t="s">
        <v>346</v>
      </c>
      <c r="C684" s="25" t="s">
        <v>283</v>
      </c>
      <c r="D684" s="10" t="s">
        <v>99</v>
      </c>
      <c r="E684" s="10" t="s">
        <v>47</v>
      </c>
      <c r="F684" s="571" t="s">
        <v>74</v>
      </c>
      <c r="G684" s="572" t="s">
        <v>40</v>
      </c>
      <c r="H684" s="572" t="s">
        <v>32</v>
      </c>
      <c r="I684" s="573" t="s">
        <v>533</v>
      </c>
      <c r="J684" s="10"/>
      <c r="K684" s="26">
        <f>SUM(K685:K686)</f>
        <v>35369.600000000006</v>
      </c>
      <c r="L684" s="26">
        <f>SUM(L685:L686)</f>
        <v>0</v>
      </c>
      <c r="M684" s="26">
        <v>35369.600000000006</v>
      </c>
    </row>
    <row r="685" spans="1:14" s="117" customFormat="1" ht="43.8" customHeight="1" x14ac:dyDescent="0.35">
      <c r="A685" s="11"/>
      <c r="B685" s="24" t="s">
        <v>50</v>
      </c>
      <c r="C685" s="25" t="s">
        <v>283</v>
      </c>
      <c r="D685" s="10" t="s">
        <v>99</v>
      </c>
      <c r="E685" s="10" t="s">
        <v>47</v>
      </c>
      <c r="F685" s="571" t="s">
        <v>74</v>
      </c>
      <c r="G685" s="572" t="s">
        <v>40</v>
      </c>
      <c r="H685" s="572" t="s">
        <v>32</v>
      </c>
      <c r="I685" s="573" t="s">
        <v>533</v>
      </c>
      <c r="J685" s="10" t="s">
        <v>51</v>
      </c>
      <c r="K685" s="26">
        <v>176.8</v>
      </c>
      <c r="L685" s="26">
        <f>M685-K685</f>
        <v>0</v>
      </c>
      <c r="M685" s="26">
        <v>176.8</v>
      </c>
    </row>
    <row r="686" spans="1:14" s="117" customFormat="1" ht="37.5" customHeight="1" x14ac:dyDescent="0.35">
      <c r="A686" s="11"/>
      <c r="B686" s="24" t="s">
        <v>115</v>
      </c>
      <c r="C686" s="25" t="s">
        <v>283</v>
      </c>
      <c r="D686" s="10" t="s">
        <v>99</v>
      </c>
      <c r="E686" s="10" t="s">
        <v>47</v>
      </c>
      <c r="F686" s="571" t="s">
        <v>74</v>
      </c>
      <c r="G686" s="572" t="s">
        <v>40</v>
      </c>
      <c r="H686" s="572" t="s">
        <v>32</v>
      </c>
      <c r="I686" s="573" t="s">
        <v>533</v>
      </c>
      <c r="J686" s="10" t="s">
        <v>116</v>
      </c>
      <c r="K686" s="26">
        <v>35192.800000000003</v>
      </c>
      <c r="L686" s="26">
        <f>M686-K686</f>
        <v>0</v>
      </c>
      <c r="M686" s="26">
        <v>35192.800000000003</v>
      </c>
    </row>
    <row r="687" spans="1:14" s="117" customFormat="1" ht="95.25" customHeight="1" x14ac:dyDescent="0.35">
      <c r="A687" s="11"/>
      <c r="B687" s="24" t="s">
        <v>348</v>
      </c>
      <c r="C687" s="25" t="s">
        <v>283</v>
      </c>
      <c r="D687" s="10" t="s">
        <v>99</v>
      </c>
      <c r="E687" s="10" t="s">
        <v>47</v>
      </c>
      <c r="F687" s="571" t="s">
        <v>74</v>
      </c>
      <c r="G687" s="572" t="s">
        <v>40</v>
      </c>
      <c r="H687" s="572" t="s">
        <v>32</v>
      </c>
      <c r="I687" s="573" t="s">
        <v>535</v>
      </c>
      <c r="J687" s="10"/>
      <c r="K687" s="26">
        <f>SUM(K688:K689)</f>
        <v>1437.7</v>
      </c>
      <c r="L687" s="26">
        <f>SUM(L688:L689)</f>
        <v>0</v>
      </c>
      <c r="M687" s="26">
        <v>1437.7</v>
      </c>
    </row>
    <row r="688" spans="1:14" s="117" customFormat="1" ht="56.25" customHeight="1" x14ac:dyDescent="0.35">
      <c r="A688" s="11"/>
      <c r="B688" s="24" t="s">
        <v>50</v>
      </c>
      <c r="C688" s="25" t="s">
        <v>283</v>
      </c>
      <c r="D688" s="10" t="s">
        <v>99</v>
      </c>
      <c r="E688" s="10" t="s">
        <v>47</v>
      </c>
      <c r="F688" s="571" t="s">
        <v>74</v>
      </c>
      <c r="G688" s="572" t="s">
        <v>40</v>
      </c>
      <c r="H688" s="572" t="s">
        <v>32</v>
      </c>
      <c r="I688" s="573" t="s">
        <v>535</v>
      </c>
      <c r="J688" s="10" t="s">
        <v>51</v>
      </c>
      <c r="K688" s="26">
        <v>7.2</v>
      </c>
      <c r="L688" s="26">
        <f>M688-K688</f>
        <v>0</v>
      </c>
      <c r="M688" s="26">
        <v>7.2</v>
      </c>
    </row>
    <row r="689" spans="1:13" s="117" customFormat="1" ht="37.5" customHeight="1" x14ac:dyDescent="0.35">
      <c r="A689" s="11"/>
      <c r="B689" s="24" t="s">
        <v>115</v>
      </c>
      <c r="C689" s="25" t="s">
        <v>283</v>
      </c>
      <c r="D689" s="10" t="s">
        <v>99</v>
      </c>
      <c r="E689" s="10" t="s">
        <v>47</v>
      </c>
      <c r="F689" s="571" t="s">
        <v>74</v>
      </c>
      <c r="G689" s="572" t="s">
        <v>40</v>
      </c>
      <c r="H689" s="572" t="s">
        <v>32</v>
      </c>
      <c r="I689" s="573" t="s">
        <v>535</v>
      </c>
      <c r="J689" s="10" t="s">
        <v>116</v>
      </c>
      <c r="K689" s="26">
        <v>1430.5</v>
      </c>
      <c r="L689" s="26">
        <f>M689-K689</f>
        <v>0</v>
      </c>
      <c r="M689" s="26">
        <v>1430.5</v>
      </c>
    </row>
    <row r="690" spans="1:13" s="117" customFormat="1" ht="95.25" customHeight="1" x14ac:dyDescent="0.35">
      <c r="A690" s="11"/>
      <c r="B690" s="24" t="s">
        <v>347</v>
      </c>
      <c r="C690" s="25" t="s">
        <v>283</v>
      </c>
      <c r="D690" s="10" t="s">
        <v>99</v>
      </c>
      <c r="E690" s="10" t="s">
        <v>47</v>
      </c>
      <c r="F690" s="571" t="s">
        <v>74</v>
      </c>
      <c r="G690" s="572" t="s">
        <v>40</v>
      </c>
      <c r="H690" s="572" t="s">
        <v>32</v>
      </c>
      <c r="I690" s="573" t="s">
        <v>534</v>
      </c>
      <c r="J690" s="10"/>
      <c r="K690" s="26">
        <f>SUM(K691:K692)</f>
        <v>26725.899999999998</v>
      </c>
      <c r="L690" s="26">
        <f>SUM(L691:L692)</f>
        <v>0</v>
      </c>
      <c r="M690" s="26">
        <v>26725.899999999998</v>
      </c>
    </row>
    <row r="691" spans="1:13" s="117" customFormat="1" ht="48.6" customHeight="1" x14ac:dyDescent="0.35">
      <c r="A691" s="11"/>
      <c r="B691" s="24" t="s">
        <v>50</v>
      </c>
      <c r="C691" s="25" t="s">
        <v>283</v>
      </c>
      <c r="D691" s="10" t="s">
        <v>99</v>
      </c>
      <c r="E691" s="10" t="s">
        <v>47</v>
      </c>
      <c r="F691" s="571" t="s">
        <v>74</v>
      </c>
      <c r="G691" s="572" t="s">
        <v>40</v>
      </c>
      <c r="H691" s="572" t="s">
        <v>32</v>
      </c>
      <c r="I691" s="573" t="s">
        <v>534</v>
      </c>
      <c r="J691" s="10" t="s">
        <v>51</v>
      </c>
      <c r="K691" s="26">
        <v>133.6</v>
      </c>
      <c r="L691" s="26">
        <f>M691-K691</f>
        <v>0</v>
      </c>
      <c r="M691" s="26">
        <v>133.6</v>
      </c>
    </row>
    <row r="692" spans="1:13" s="117" customFormat="1" ht="34.5" customHeight="1" x14ac:dyDescent="0.35">
      <c r="A692" s="11"/>
      <c r="B692" s="24" t="s">
        <v>115</v>
      </c>
      <c r="C692" s="25" t="s">
        <v>283</v>
      </c>
      <c r="D692" s="10" t="s">
        <v>99</v>
      </c>
      <c r="E692" s="10" t="s">
        <v>47</v>
      </c>
      <c r="F692" s="571" t="s">
        <v>74</v>
      </c>
      <c r="G692" s="572" t="s">
        <v>40</v>
      </c>
      <c r="H692" s="572" t="s">
        <v>32</v>
      </c>
      <c r="I692" s="573" t="s">
        <v>534</v>
      </c>
      <c r="J692" s="10" t="s">
        <v>116</v>
      </c>
      <c r="K692" s="26">
        <v>26592.3</v>
      </c>
      <c r="L692" s="26">
        <f>M692-K692</f>
        <v>0</v>
      </c>
      <c r="M692" s="26">
        <v>26592.3</v>
      </c>
    </row>
    <row r="693" spans="1:13" s="117" customFormat="1" ht="113.25" customHeight="1" x14ac:dyDescent="0.35">
      <c r="A693" s="11"/>
      <c r="B693" s="24" t="s">
        <v>354</v>
      </c>
      <c r="C693" s="25" t="s">
        <v>283</v>
      </c>
      <c r="D693" s="10" t="s">
        <v>99</v>
      </c>
      <c r="E693" s="10" t="s">
        <v>47</v>
      </c>
      <c r="F693" s="571" t="s">
        <v>74</v>
      </c>
      <c r="G693" s="572" t="s">
        <v>40</v>
      </c>
      <c r="H693" s="572" t="s">
        <v>32</v>
      </c>
      <c r="I693" s="573" t="s">
        <v>536</v>
      </c>
      <c r="J693" s="10"/>
      <c r="K693" s="26">
        <f>SUM(K694:K695)</f>
        <v>1750.6</v>
      </c>
      <c r="L693" s="26">
        <f>SUM(L694:L695)</f>
        <v>0</v>
      </c>
      <c r="M693" s="26">
        <v>1750.6</v>
      </c>
    </row>
    <row r="694" spans="1:13" s="117" customFormat="1" ht="43.8" customHeight="1" x14ac:dyDescent="0.35">
      <c r="A694" s="11"/>
      <c r="B694" s="24" t="s">
        <v>50</v>
      </c>
      <c r="C694" s="25" t="s">
        <v>283</v>
      </c>
      <c r="D694" s="10" t="s">
        <v>99</v>
      </c>
      <c r="E694" s="10" t="s">
        <v>47</v>
      </c>
      <c r="F694" s="571" t="s">
        <v>74</v>
      </c>
      <c r="G694" s="572" t="s">
        <v>40</v>
      </c>
      <c r="H694" s="572" t="s">
        <v>32</v>
      </c>
      <c r="I694" s="573" t="s">
        <v>536</v>
      </c>
      <c r="J694" s="10" t="s">
        <v>51</v>
      </c>
      <c r="K694" s="26">
        <v>8.6</v>
      </c>
      <c r="L694" s="26">
        <f>M694-K694</f>
        <v>0</v>
      </c>
      <c r="M694" s="26">
        <v>8.6</v>
      </c>
    </row>
    <row r="695" spans="1:13" s="117" customFormat="1" ht="37.5" customHeight="1" x14ac:dyDescent="0.35">
      <c r="A695" s="11"/>
      <c r="B695" s="24" t="s">
        <v>115</v>
      </c>
      <c r="C695" s="25" t="s">
        <v>283</v>
      </c>
      <c r="D695" s="10" t="s">
        <v>99</v>
      </c>
      <c r="E695" s="10" t="s">
        <v>47</v>
      </c>
      <c r="F695" s="571" t="s">
        <v>74</v>
      </c>
      <c r="G695" s="572" t="s">
        <v>40</v>
      </c>
      <c r="H695" s="572" t="s">
        <v>32</v>
      </c>
      <c r="I695" s="573" t="s">
        <v>536</v>
      </c>
      <c r="J695" s="10" t="s">
        <v>116</v>
      </c>
      <c r="K695" s="26">
        <v>1742</v>
      </c>
      <c r="L695" s="26">
        <f>M695-K695</f>
        <v>0</v>
      </c>
      <c r="M695" s="26">
        <v>1742</v>
      </c>
    </row>
    <row r="696" spans="1:13" s="7" customFormat="1" ht="23.4" customHeight="1" x14ac:dyDescent="0.35">
      <c r="A696" s="11"/>
      <c r="B696" s="24" t="s">
        <v>285</v>
      </c>
      <c r="C696" s="25" t="s">
        <v>283</v>
      </c>
      <c r="D696" s="10" t="s">
        <v>99</v>
      </c>
      <c r="E696" s="10" t="s">
        <v>76</v>
      </c>
      <c r="F696" s="571"/>
      <c r="G696" s="572"/>
      <c r="H696" s="572"/>
      <c r="I696" s="573"/>
      <c r="J696" s="10"/>
      <c r="K696" s="26">
        <f>K697</f>
        <v>7695.7</v>
      </c>
      <c r="L696" s="26">
        <f>L697</f>
        <v>0</v>
      </c>
      <c r="M696" s="26">
        <v>7695.7</v>
      </c>
    </row>
    <row r="697" spans="1:13" s="7" customFormat="1" ht="56.25" customHeight="1" x14ac:dyDescent="0.35">
      <c r="A697" s="11"/>
      <c r="B697" s="28" t="s">
        <v>225</v>
      </c>
      <c r="C697" s="25" t="s">
        <v>283</v>
      </c>
      <c r="D697" s="10" t="s">
        <v>99</v>
      </c>
      <c r="E697" s="10" t="s">
        <v>76</v>
      </c>
      <c r="F697" s="571" t="s">
        <v>74</v>
      </c>
      <c r="G697" s="572" t="s">
        <v>37</v>
      </c>
      <c r="H697" s="572" t="s">
        <v>38</v>
      </c>
      <c r="I697" s="573" t="s">
        <v>39</v>
      </c>
      <c r="J697" s="10"/>
      <c r="K697" s="26">
        <f t="shared" ref="K697:M698" si="106">K698</f>
        <v>7695.7</v>
      </c>
      <c r="L697" s="26">
        <f t="shared" si="106"/>
        <v>0</v>
      </c>
      <c r="M697" s="26">
        <v>7695.7</v>
      </c>
    </row>
    <row r="698" spans="1:13" s="7" customFormat="1" ht="33.75" customHeight="1" x14ac:dyDescent="0.35">
      <c r="A698" s="11"/>
      <c r="B698" s="24" t="s">
        <v>328</v>
      </c>
      <c r="C698" s="25" t="s">
        <v>283</v>
      </c>
      <c r="D698" s="10" t="s">
        <v>99</v>
      </c>
      <c r="E698" s="10" t="s">
        <v>76</v>
      </c>
      <c r="F698" s="571" t="s">
        <v>74</v>
      </c>
      <c r="G698" s="572" t="s">
        <v>40</v>
      </c>
      <c r="H698" s="572" t="s">
        <v>38</v>
      </c>
      <c r="I698" s="573" t="s">
        <v>39</v>
      </c>
      <c r="J698" s="10"/>
      <c r="K698" s="26">
        <f t="shared" si="106"/>
        <v>7695.7</v>
      </c>
      <c r="L698" s="26">
        <f t="shared" si="106"/>
        <v>0</v>
      </c>
      <c r="M698" s="26">
        <v>7695.7</v>
      </c>
    </row>
    <row r="699" spans="1:13" s="117" customFormat="1" ht="37.5" customHeight="1" x14ac:dyDescent="0.35">
      <c r="A699" s="11"/>
      <c r="B699" s="24" t="s">
        <v>224</v>
      </c>
      <c r="C699" s="25" t="s">
        <v>283</v>
      </c>
      <c r="D699" s="10" t="s">
        <v>99</v>
      </c>
      <c r="E699" s="10" t="s">
        <v>76</v>
      </c>
      <c r="F699" s="571" t="s">
        <v>74</v>
      </c>
      <c r="G699" s="572" t="s">
        <v>40</v>
      </c>
      <c r="H699" s="572" t="s">
        <v>58</v>
      </c>
      <c r="I699" s="573" t="s">
        <v>39</v>
      </c>
      <c r="J699" s="10"/>
      <c r="K699" s="26">
        <f>K700+K703+K706</f>
        <v>7695.7</v>
      </c>
      <c r="L699" s="26">
        <f>L700+L703+L706</f>
        <v>0</v>
      </c>
      <c r="M699" s="26">
        <v>7695.7</v>
      </c>
    </row>
    <row r="700" spans="1:13" s="117" customFormat="1" ht="252" x14ac:dyDescent="0.35">
      <c r="A700" s="11"/>
      <c r="B700" s="545" t="s">
        <v>227</v>
      </c>
      <c r="C700" s="25" t="s">
        <v>283</v>
      </c>
      <c r="D700" s="10" t="s">
        <v>99</v>
      </c>
      <c r="E700" s="10" t="s">
        <v>76</v>
      </c>
      <c r="F700" s="571" t="s">
        <v>74</v>
      </c>
      <c r="G700" s="572" t="s">
        <v>40</v>
      </c>
      <c r="H700" s="572" t="s">
        <v>58</v>
      </c>
      <c r="I700" s="573" t="s">
        <v>537</v>
      </c>
      <c r="J700" s="10"/>
      <c r="K700" s="26">
        <f>K701+K702</f>
        <v>884.4</v>
      </c>
      <c r="L700" s="26">
        <f>L701+L702</f>
        <v>0</v>
      </c>
      <c r="M700" s="26">
        <v>884.4</v>
      </c>
    </row>
    <row r="701" spans="1:13" s="117" customFormat="1" ht="112.5" customHeight="1" x14ac:dyDescent="0.35">
      <c r="A701" s="11"/>
      <c r="B701" s="24" t="s">
        <v>44</v>
      </c>
      <c r="C701" s="25" t="s">
        <v>283</v>
      </c>
      <c r="D701" s="10" t="s">
        <v>99</v>
      </c>
      <c r="E701" s="10" t="s">
        <v>76</v>
      </c>
      <c r="F701" s="571" t="s">
        <v>74</v>
      </c>
      <c r="G701" s="572" t="s">
        <v>40</v>
      </c>
      <c r="H701" s="572" t="s">
        <v>58</v>
      </c>
      <c r="I701" s="573" t="s">
        <v>537</v>
      </c>
      <c r="J701" s="10" t="s">
        <v>45</v>
      </c>
      <c r="K701" s="26">
        <v>824.4</v>
      </c>
      <c r="L701" s="26">
        <f>M701-K701</f>
        <v>0</v>
      </c>
      <c r="M701" s="26">
        <v>824.4</v>
      </c>
    </row>
    <row r="702" spans="1:13" s="117" customFormat="1" ht="31.8" customHeight="1" x14ac:dyDescent="0.35">
      <c r="A702" s="11"/>
      <c r="B702" s="24" t="s">
        <v>50</v>
      </c>
      <c r="C702" s="25" t="s">
        <v>283</v>
      </c>
      <c r="D702" s="10" t="s">
        <v>99</v>
      </c>
      <c r="E702" s="10" t="s">
        <v>76</v>
      </c>
      <c r="F702" s="571" t="s">
        <v>74</v>
      </c>
      <c r="G702" s="572" t="s">
        <v>40</v>
      </c>
      <c r="H702" s="572" t="s">
        <v>58</v>
      </c>
      <c r="I702" s="573" t="s">
        <v>537</v>
      </c>
      <c r="J702" s="10" t="s">
        <v>51</v>
      </c>
      <c r="K702" s="26">
        <v>60</v>
      </c>
      <c r="L702" s="26">
        <f>M702-K702</f>
        <v>0</v>
      </c>
      <c r="M702" s="26">
        <v>60</v>
      </c>
    </row>
    <row r="703" spans="1:13" s="117" customFormat="1" ht="108" x14ac:dyDescent="0.35">
      <c r="A703" s="11"/>
      <c r="B703" s="24" t="s">
        <v>434</v>
      </c>
      <c r="C703" s="25" t="s">
        <v>283</v>
      </c>
      <c r="D703" s="10" t="s">
        <v>99</v>
      </c>
      <c r="E703" s="10" t="s">
        <v>76</v>
      </c>
      <c r="F703" s="571" t="s">
        <v>74</v>
      </c>
      <c r="G703" s="572" t="s">
        <v>40</v>
      </c>
      <c r="H703" s="572" t="s">
        <v>58</v>
      </c>
      <c r="I703" s="573" t="s">
        <v>531</v>
      </c>
      <c r="J703" s="10"/>
      <c r="K703" s="26">
        <f>K704+K705</f>
        <v>645.4</v>
      </c>
      <c r="L703" s="26">
        <f>L704+L705</f>
        <v>0</v>
      </c>
      <c r="M703" s="26">
        <v>645.4</v>
      </c>
    </row>
    <row r="704" spans="1:13" s="117" customFormat="1" ht="112.5" customHeight="1" x14ac:dyDescent="0.35">
      <c r="A704" s="11"/>
      <c r="B704" s="24" t="s">
        <v>44</v>
      </c>
      <c r="C704" s="25" t="s">
        <v>283</v>
      </c>
      <c r="D704" s="10" t="s">
        <v>99</v>
      </c>
      <c r="E704" s="10" t="s">
        <v>76</v>
      </c>
      <c r="F704" s="571" t="s">
        <v>74</v>
      </c>
      <c r="G704" s="572" t="s">
        <v>40</v>
      </c>
      <c r="H704" s="572" t="s">
        <v>58</v>
      </c>
      <c r="I704" s="573" t="s">
        <v>531</v>
      </c>
      <c r="J704" s="10" t="s">
        <v>45</v>
      </c>
      <c r="K704" s="26">
        <v>615.4</v>
      </c>
      <c r="L704" s="26">
        <f>M704-K704</f>
        <v>0</v>
      </c>
      <c r="M704" s="26">
        <v>615.4</v>
      </c>
    </row>
    <row r="705" spans="1:14" s="117" customFormat="1" ht="34.799999999999997" customHeight="1" x14ac:dyDescent="0.35">
      <c r="A705" s="11"/>
      <c r="B705" s="24" t="s">
        <v>50</v>
      </c>
      <c r="C705" s="25" t="s">
        <v>283</v>
      </c>
      <c r="D705" s="10" t="s">
        <v>99</v>
      </c>
      <c r="E705" s="10" t="s">
        <v>76</v>
      </c>
      <c r="F705" s="571" t="s">
        <v>74</v>
      </c>
      <c r="G705" s="572" t="s">
        <v>40</v>
      </c>
      <c r="H705" s="572" t="s">
        <v>58</v>
      </c>
      <c r="I705" s="573" t="s">
        <v>531</v>
      </c>
      <c r="J705" s="10" t="s">
        <v>51</v>
      </c>
      <c r="K705" s="26">
        <v>30</v>
      </c>
      <c r="L705" s="26">
        <f>M705-K705</f>
        <v>0</v>
      </c>
      <c r="M705" s="26">
        <v>30</v>
      </c>
    </row>
    <row r="706" spans="1:14" s="117" customFormat="1" ht="72" x14ac:dyDescent="0.35">
      <c r="A706" s="11"/>
      <c r="B706" s="24" t="s">
        <v>226</v>
      </c>
      <c r="C706" s="25" t="s">
        <v>283</v>
      </c>
      <c r="D706" s="10" t="s">
        <v>99</v>
      </c>
      <c r="E706" s="10" t="s">
        <v>76</v>
      </c>
      <c r="F706" s="571" t="s">
        <v>74</v>
      </c>
      <c r="G706" s="572" t="s">
        <v>40</v>
      </c>
      <c r="H706" s="572" t="s">
        <v>58</v>
      </c>
      <c r="I706" s="573" t="s">
        <v>532</v>
      </c>
      <c r="J706" s="10"/>
      <c r="K706" s="26">
        <f>K707+K708</f>
        <v>6165.9</v>
      </c>
      <c r="L706" s="26">
        <f>L707+L708</f>
        <v>0</v>
      </c>
      <c r="M706" s="26">
        <v>6165.9</v>
      </c>
    </row>
    <row r="707" spans="1:14" s="117" customFormat="1" ht="112.5" customHeight="1" x14ac:dyDescent="0.35">
      <c r="A707" s="11"/>
      <c r="B707" s="24" t="s">
        <v>44</v>
      </c>
      <c r="C707" s="25" t="s">
        <v>283</v>
      </c>
      <c r="D707" s="10" t="s">
        <v>99</v>
      </c>
      <c r="E707" s="10" t="s">
        <v>76</v>
      </c>
      <c r="F707" s="571" t="s">
        <v>74</v>
      </c>
      <c r="G707" s="572" t="s">
        <v>40</v>
      </c>
      <c r="H707" s="572" t="s">
        <v>58</v>
      </c>
      <c r="I707" s="573" t="s">
        <v>532</v>
      </c>
      <c r="J707" s="10" t="s">
        <v>45</v>
      </c>
      <c r="K707" s="26">
        <v>5805.9</v>
      </c>
      <c r="L707" s="26">
        <f>M707-K707</f>
        <v>0</v>
      </c>
      <c r="M707" s="26">
        <v>5805.9</v>
      </c>
    </row>
    <row r="708" spans="1:14" s="117" customFormat="1" ht="43.8" customHeight="1" x14ac:dyDescent="0.35">
      <c r="A708" s="11"/>
      <c r="B708" s="24" t="s">
        <v>50</v>
      </c>
      <c r="C708" s="25" t="s">
        <v>283</v>
      </c>
      <c r="D708" s="10" t="s">
        <v>99</v>
      </c>
      <c r="E708" s="10" t="s">
        <v>76</v>
      </c>
      <c r="F708" s="571" t="s">
        <v>74</v>
      </c>
      <c r="G708" s="572" t="s">
        <v>40</v>
      </c>
      <c r="H708" s="572" t="s">
        <v>58</v>
      </c>
      <c r="I708" s="573" t="s">
        <v>532</v>
      </c>
      <c r="J708" s="10" t="s">
        <v>51</v>
      </c>
      <c r="K708" s="26">
        <v>360</v>
      </c>
      <c r="L708" s="26">
        <f>M708-K708</f>
        <v>0</v>
      </c>
      <c r="M708" s="26">
        <v>360</v>
      </c>
    </row>
    <row r="709" spans="1:14" s="117" customFormat="1" ht="25.5" customHeight="1" x14ac:dyDescent="0.35">
      <c r="A709" s="194"/>
      <c r="B709" s="109"/>
      <c r="C709" s="195"/>
      <c r="D709" s="110"/>
      <c r="E709" s="110"/>
      <c r="F709" s="110"/>
      <c r="G709" s="110"/>
      <c r="H709" s="110"/>
      <c r="I709" s="110"/>
      <c r="J709" s="110"/>
      <c r="K709" s="110"/>
      <c r="L709" s="110"/>
      <c r="M709" s="196"/>
    </row>
    <row r="710" spans="1:14" s="117" customFormat="1" ht="20.25" customHeight="1" x14ac:dyDescent="0.35">
      <c r="A710" s="194"/>
      <c r="B710" s="109"/>
      <c r="C710" s="195"/>
      <c r="D710" s="110"/>
      <c r="E710" s="110"/>
      <c r="F710" s="110"/>
      <c r="G710" s="110"/>
      <c r="H710" s="110"/>
      <c r="I710" s="110"/>
      <c r="J710" s="110"/>
      <c r="K710" s="110"/>
      <c r="L710" s="110"/>
      <c r="M710" s="196"/>
    </row>
    <row r="711" spans="1:14" s="72" customFormat="1" ht="18.75" customHeight="1" x14ac:dyDescent="0.35">
      <c r="A711" s="112" t="s">
        <v>366</v>
      </c>
      <c r="B711" s="74"/>
      <c r="C711" s="75"/>
      <c r="D711" s="75"/>
      <c r="E711" s="75"/>
      <c r="F711" s="51"/>
      <c r="G711" s="111"/>
      <c r="H711" s="156"/>
      <c r="M711" s="73"/>
    </row>
    <row r="712" spans="1:14" s="72" customFormat="1" ht="18.75" customHeight="1" x14ac:dyDescent="0.35">
      <c r="A712" s="112" t="s">
        <v>367</v>
      </c>
      <c r="B712" s="74"/>
      <c r="C712" s="75"/>
      <c r="D712" s="75"/>
      <c r="E712" s="75"/>
      <c r="F712" s="51"/>
      <c r="G712" s="111"/>
      <c r="H712" s="156"/>
      <c r="M712" s="73"/>
    </row>
    <row r="713" spans="1:14" s="72" customFormat="1" ht="18.75" customHeight="1" x14ac:dyDescent="0.35">
      <c r="A713" s="113" t="s">
        <v>368</v>
      </c>
      <c r="B713" s="74"/>
      <c r="E713" s="75"/>
      <c r="F713" s="51"/>
      <c r="M713" s="298" t="s">
        <v>387</v>
      </c>
    </row>
    <row r="714" spans="1:14" s="197" customFormat="1" ht="18.75" customHeight="1" x14ac:dyDescent="0.35">
      <c r="A714" s="194"/>
      <c r="B714" s="109"/>
      <c r="C714" s="195"/>
      <c r="D714" s="110"/>
      <c r="E714" s="110"/>
      <c r="F714" s="110"/>
      <c r="G714" s="110"/>
      <c r="H714" s="110"/>
      <c r="I714" s="110"/>
      <c r="J714" s="110"/>
      <c r="K714" s="110"/>
      <c r="L714" s="110"/>
      <c r="M714" s="196"/>
    </row>
    <row r="715" spans="1:14" s="197" customFormat="1" ht="18.75" customHeight="1" x14ac:dyDescent="0.35">
      <c r="A715" s="194"/>
      <c r="B715" s="109"/>
      <c r="C715" s="195"/>
      <c r="D715" s="110"/>
      <c r="E715" s="110"/>
      <c r="F715" s="110"/>
      <c r="G715" s="110"/>
      <c r="H715" s="110"/>
      <c r="I715" s="110"/>
      <c r="J715" s="110"/>
      <c r="K715" s="110"/>
      <c r="L715" s="110"/>
      <c r="M715" s="196"/>
    </row>
    <row r="716" spans="1:14" s="197" customFormat="1" ht="18.75" hidden="1" customHeight="1" x14ac:dyDescent="0.35">
      <c r="A716" s="194"/>
      <c r="B716" s="109"/>
      <c r="C716" s="195"/>
      <c r="D716" s="110"/>
      <c r="E716" s="110"/>
      <c r="F716" s="110"/>
      <c r="G716" s="110"/>
      <c r="H716" s="110"/>
      <c r="I716" s="110"/>
      <c r="J716" s="110"/>
      <c r="K716" s="110"/>
      <c r="L716" s="110"/>
      <c r="M716" s="196"/>
    </row>
    <row r="717" spans="1:14" s="197" customFormat="1" ht="18.75" hidden="1" customHeight="1" x14ac:dyDescent="0.35">
      <c r="A717" s="194"/>
      <c r="B717" s="109"/>
      <c r="C717" s="195"/>
      <c r="D717" s="35" t="s">
        <v>32</v>
      </c>
      <c r="E717" s="35" t="s">
        <v>34</v>
      </c>
      <c r="F717" s="36"/>
      <c r="G717" s="36"/>
      <c r="H717" s="36"/>
      <c r="I717" s="36"/>
      <c r="J717" s="36"/>
      <c r="K717" s="36"/>
      <c r="L717" s="36"/>
      <c r="M717" s="301">
        <v>2439.1999999999998</v>
      </c>
      <c r="N717" s="198"/>
    </row>
    <row r="718" spans="1:14" s="197" customFormat="1" ht="18.75" hidden="1" customHeight="1" x14ac:dyDescent="0.35">
      <c r="A718" s="194"/>
      <c r="B718" s="109"/>
      <c r="C718" s="195"/>
      <c r="D718" s="35" t="s">
        <v>32</v>
      </c>
      <c r="E718" s="35" t="s">
        <v>47</v>
      </c>
      <c r="F718" s="36"/>
      <c r="G718" s="36"/>
      <c r="H718" s="36"/>
      <c r="I718" s="36"/>
      <c r="J718" s="36"/>
      <c r="K718" s="36"/>
      <c r="L718" s="36"/>
      <c r="M718" s="301">
        <v>84141.5</v>
      </c>
      <c r="N718" s="198"/>
    </row>
    <row r="719" spans="1:14" s="197" customFormat="1" ht="18.75" hidden="1" customHeight="1" x14ac:dyDescent="0.35">
      <c r="A719" s="194"/>
      <c r="B719" s="109"/>
      <c r="C719" s="195"/>
      <c r="D719" s="35" t="s">
        <v>32</v>
      </c>
      <c r="E719" s="35" t="s">
        <v>60</v>
      </c>
      <c r="F719" s="36"/>
      <c r="G719" s="36"/>
      <c r="H719" s="36"/>
      <c r="I719" s="36"/>
      <c r="J719" s="36"/>
      <c r="K719" s="36"/>
      <c r="L719" s="36"/>
      <c r="M719" s="301">
        <v>140</v>
      </c>
      <c r="N719" s="198"/>
    </row>
    <row r="720" spans="1:14" s="197" customFormat="1" ht="18.75" hidden="1" customHeight="1" x14ac:dyDescent="0.35">
      <c r="A720" s="194"/>
      <c r="B720" s="109"/>
      <c r="C720" s="195"/>
      <c r="D720" s="35" t="s">
        <v>32</v>
      </c>
      <c r="E720" s="35" t="s">
        <v>76</v>
      </c>
      <c r="F720" s="36"/>
      <c r="G720" s="36"/>
      <c r="H720" s="36"/>
      <c r="I720" s="36"/>
      <c r="J720" s="36"/>
      <c r="K720" s="36"/>
      <c r="L720" s="36"/>
      <c r="M720" s="301">
        <v>35225.5</v>
      </c>
      <c r="N720" s="198"/>
    </row>
    <row r="721" spans="1:14" s="197" customFormat="1" ht="18.75" hidden="1" customHeight="1" x14ac:dyDescent="0.35">
      <c r="A721" s="194"/>
      <c r="B721" s="109"/>
      <c r="C721" s="195"/>
      <c r="D721" s="35" t="s">
        <v>32</v>
      </c>
      <c r="E721" s="35" t="s">
        <v>62</v>
      </c>
      <c r="F721" s="36"/>
      <c r="G721" s="36"/>
      <c r="H721" s="36"/>
      <c r="I721" s="36"/>
      <c r="J721" s="36"/>
      <c r="K721" s="36"/>
      <c r="L721" s="36"/>
      <c r="M721" s="301">
        <v>11000</v>
      </c>
      <c r="N721" s="198"/>
    </row>
    <row r="722" spans="1:14" s="197" customFormat="1" ht="18.75" hidden="1" customHeight="1" x14ac:dyDescent="0.35">
      <c r="A722" s="194"/>
      <c r="B722" s="109"/>
      <c r="C722" s="195"/>
      <c r="D722" s="35" t="s">
        <v>32</v>
      </c>
      <c r="E722" s="35" t="s">
        <v>66</v>
      </c>
      <c r="F722" s="36"/>
      <c r="G722" s="36"/>
      <c r="H722" s="36"/>
      <c r="I722" s="36"/>
      <c r="J722" s="36"/>
      <c r="K722" s="36"/>
      <c r="L722" s="36"/>
      <c r="M722" s="301">
        <v>58061.69999999999</v>
      </c>
      <c r="N722" s="198"/>
    </row>
    <row r="723" spans="1:14" ht="18.75" hidden="1" customHeight="1" x14ac:dyDescent="0.35">
      <c r="D723" s="160" t="s">
        <v>32</v>
      </c>
      <c r="E723" s="160" t="s">
        <v>38</v>
      </c>
      <c r="F723" s="36"/>
      <c r="G723" s="36"/>
      <c r="H723" s="36"/>
      <c r="I723" s="36"/>
      <c r="J723" s="36"/>
      <c r="K723" s="36"/>
      <c r="L723" s="36"/>
      <c r="M723" s="161">
        <v>191007.9</v>
      </c>
      <c r="N723" s="199"/>
    </row>
    <row r="724" spans="1:14" ht="18.75" hidden="1" customHeight="1" x14ac:dyDescent="0.35">
      <c r="D724" s="35"/>
      <c r="E724" s="35"/>
      <c r="F724" s="36"/>
      <c r="G724" s="36"/>
      <c r="H724" s="36"/>
      <c r="I724" s="36"/>
      <c r="J724" s="36"/>
      <c r="K724" s="36"/>
      <c r="L724" s="36"/>
      <c r="M724" s="159"/>
      <c r="N724" s="198"/>
    </row>
    <row r="725" spans="1:14" ht="18.75" hidden="1" customHeight="1" x14ac:dyDescent="0.35">
      <c r="D725" s="35" t="s">
        <v>58</v>
      </c>
      <c r="E725" s="35" t="s">
        <v>99</v>
      </c>
      <c r="F725" s="36"/>
      <c r="G725" s="36"/>
      <c r="H725" s="36"/>
      <c r="I725" s="36"/>
      <c r="J725" s="36"/>
      <c r="K725" s="36"/>
      <c r="L725" s="36"/>
      <c r="M725" s="300">
        <v>3610.0000000000005</v>
      </c>
      <c r="N725" s="198"/>
    </row>
    <row r="726" spans="1:14" ht="18.75" hidden="1" customHeight="1" x14ac:dyDescent="0.35">
      <c r="D726" s="35" t="s">
        <v>58</v>
      </c>
      <c r="E726" s="35" t="s">
        <v>83</v>
      </c>
      <c r="F726" s="36"/>
      <c r="G726" s="36"/>
      <c r="H726" s="36"/>
      <c r="I726" s="36"/>
      <c r="J726" s="36"/>
      <c r="K726" s="36"/>
      <c r="L726" s="36"/>
      <c r="M726" s="300">
        <v>15506.8</v>
      </c>
      <c r="N726" s="198"/>
    </row>
    <row r="727" spans="1:14" ht="18.75" hidden="1" customHeight="1" x14ac:dyDescent="0.35">
      <c r="D727" s="160" t="s">
        <v>58</v>
      </c>
      <c r="E727" s="160" t="s">
        <v>38</v>
      </c>
      <c r="F727" s="36"/>
      <c r="G727" s="36"/>
      <c r="H727" s="36"/>
      <c r="I727" s="36"/>
      <c r="J727" s="36"/>
      <c r="K727" s="36"/>
      <c r="L727" s="36"/>
      <c r="M727" s="161">
        <v>19116.8</v>
      </c>
      <c r="N727" s="199"/>
    </row>
    <row r="728" spans="1:14" ht="18.75" hidden="1" customHeight="1" x14ac:dyDescent="0.35">
      <c r="D728" s="35"/>
      <c r="E728" s="35"/>
      <c r="F728" s="36"/>
      <c r="G728" s="36"/>
      <c r="H728" s="36"/>
      <c r="I728" s="36"/>
      <c r="J728" s="36"/>
      <c r="K728" s="36"/>
      <c r="L728" s="36"/>
      <c r="M728" s="159"/>
      <c r="N728" s="198"/>
    </row>
    <row r="729" spans="1:14" ht="18.75" hidden="1" customHeight="1" x14ac:dyDescent="0.35">
      <c r="D729" s="35" t="s">
        <v>47</v>
      </c>
      <c r="E729" s="35" t="s">
        <v>60</v>
      </c>
      <c r="F729" s="36"/>
      <c r="G729" s="36"/>
      <c r="H729" s="36"/>
      <c r="I729" s="36"/>
      <c r="J729" s="36"/>
      <c r="K729" s="36"/>
      <c r="L729" s="36"/>
      <c r="M729" s="159">
        <v>12646.2</v>
      </c>
      <c r="N729" s="198"/>
    </row>
    <row r="730" spans="1:14" ht="18.75" hidden="1" customHeight="1" x14ac:dyDescent="0.35">
      <c r="D730" s="35" t="s">
        <v>47</v>
      </c>
      <c r="E730" s="35" t="s">
        <v>74</v>
      </c>
      <c r="F730" s="36"/>
      <c r="G730" s="36"/>
      <c r="H730" s="36"/>
      <c r="I730" s="36"/>
      <c r="J730" s="36"/>
      <c r="K730" s="36"/>
      <c r="L730" s="36"/>
      <c r="M730" s="159">
        <v>6255.7</v>
      </c>
      <c r="N730" s="198"/>
    </row>
    <row r="731" spans="1:14" ht="18.75" hidden="1" customHeight="1" x14ac:dyDescent="0.35">
      <c r="D731" s="35" t="s">
        <v>47</v>
      </c>
      <c r="E731" s="35" t="s">
        <v>95</v>
      </c>
      <c r="F731" s="36"/>
      <c r="G731" s="36"/>
      <c r="H731" s="36"/>
      <c r="I731" s="36"/>
      <c r="J731" s="36"/>
      <c r="K731" s="36"/>
      <c r="L731" s="36"/>
      <c r="M731" s="159">
        <v>34598</v>
      </c>
      <c r="N731" s="198"/>
    </row>
    <row r="732" spans="1:14" ht="18.75" hidden="1" customHeight="1" x14ac:dyDescent="0.35">
      <c r="D732" s="160" t="s">
        <v>47</v>
      </c>
      <c r="E732" s="160" t="s">
        <v>38</v>
      </c>
      <c r="F732" s="36"/>
      <c r="G732" s="36"/>
      <c r="H732" s="36"/>
      <c r="I732" s="36"/>
      <c r="J732" s="36"/>
      <c r="K732" s="36"/>
      <c r="L732" s="36"/>
      <c r="M732" s="161">
        <v>53499.9</v>
      </c>
      <c r="N732" s="199"/>
    </row>
    <row r="733" spans="1:14" ht="18.75" hidden="1" customHeight="1" x14ac:dyDescent="0.35">
      <c r="D733" s="35"/>
      <c r="E733" s="35"/>
      <c r="F733" s="36"/>
      <c r="G733" s="36"/>
      <c r="H733" s="36"/>
      <c r="I733" s="36"/>
      <c r="J733" s="36"/>
      <c r="K733" s="36"/>
      <c r="L733" s="36"/>
      <c r="M733" s="159"/>
      <c r="N733" s="198"/>
    </row>
    <row r="734" spans="1:14" ht="18.75" hidden="1" customHeight="1" x14ac:dyDescent="0.35">
      <c r="D734" s="35" t="s">
        <v>60</v>
      </c>
      <c r="E734" s="35" t="s">
        <v>32</v>
      </c>
      <c r="F734" s="36"/>
      <c r="G734" s="36"/>
      <c r="H734" s="36"/>
      <c r="I734" s="36"/>
      <c r="J734" s="36"/>
      <c r="K734" s="36"/>
      <c r="L734" s="36"/>
      <c r="M734" s="159">
        <v>43419.7</v>
      </c>
      <c r="N734" s="198"/>
    </row>
    <row r="735" spans="1:14" ht="18.75" hidden="1" customHeight="1" x14ac:dyDescent="0.35">
      <c r="D735" s="35" t="s">
        <v>60</v>
      </c>
      <c r="E735" s="35" t="s">
        <v>34</v>
      </c>
      <c r="F735" s="36"/>
      <c r="G735" s="36"/>
      <c r="H735" s="36"/>
      <c r="I735" s="36"/>
      <c r="J735" s="36"/>
      <c r="K735" s="36"/>
      <c r="L735" s="36"/>
      <c r="M735" s="159">
        <v>13351.1</v>
      </c>
      <c r="N735" s="198"/>
    </row>
    <row r="736" spans="1:14" ht="18.75" hidden="1" customHeight="1" x14ac:dyDescent="0.35">
      <c r="D736" s="35" t="s">
        <v>60</v>
      </c>
      <c r="E736" s="35" t="s">
        <v>60</v>
      </c>
      <c r="F736" s="36"/>
      <c r="G736" s="36"/>
      <c r="H736" s="36"/>
      <c r="I736" s="36"/>
      <c r="J736" s="36"/>
      <c r="K736" s="36"/>
      <c r="L736" s="36"/>
      <c r="M736" s="159"/>
      <c r="N736" s="198"/>
    </row>
    <row r="737" spans="4:14" ht="18.75" hidden="1" customHeight="1" x14ac:dyDescent="0.35">
      <c r="D737" s="35" t="s">
        <v>60</v>
      </c>
      <c r="E737" s="35" t="s">
        <v>58</v>
      </c>
      <c r="F737" s="36"/>
      <c r="G737" s="36"/>
      <c r="H737" s="36"/>
      <c r="I737" s="36"/>
      <c r="J737" s="36"/>
      <c r="K737" s="36"/>
      <c r="L737" s="36"/>
      <c r="M737" s="159">
        <v>3333.7</v>
      </c>
      <c r="N737" s="198"/>
    </row>
    <row r="738" spans="4:14" ht="18.75" hidden="1" customHeight="1" x14ac:dyDescent="0.35">
      <c r="D738" s="160" t="s">
        <v>60</v>
      </c>
      <c r="E738" s="160" t="s">
        <v>38</v>
      </c>
      <c r="F738" s="36"/>
      <c r="G738" s="36"/>
      <c r="H738" s="36"/>
      <c r="I738" s="36"/>
      <c r="J738" s="36"/>
      <c r="K738" s="36"/>
      <c r="L738" s="36"/>
      <c r="M738" s="161">
        <v>60104.499999999993</v>
      </c>
      <c r="N738" s="199"/>
    </row>
    <row r="739" spans="4:14" ht="18.75" hidden="1" customHeight="1" x14ac:dyDescent="0.35">
      <c r="D739" s="35"/>
      <c r="E739" s="35"/>
      <c r="F739" s="36"/>
      <c r="G739" s="36"/>
      <c r="H739" s="36"/>
      <c r="I739" s="36"/>
      <c r="J739" s="36"/>
      <c r="K739" s="36"/>
      <c r="L739" s="36"/>
      <c r="M739" s="159"/>
      <c r="N739" s="198"/>
    </row>
    <row r="740" spans="4:14" ht="18.75" hidden="1" customHeight="1" x14ac:dyDescent="0.35">
      <c r="D740" s="35" t="s">
        <v>219</v>
      </c>
      <c r="E740" s="35" t="s">
        <v>32</v>
      </c>
      <c r="F740" s="36"/>
      <c r="G740" s="36"/>
      <c r="H740" s="36"/>
      <c r="I740" s="36"/>
      <c r="J740" s="36"/>
      <c r="K740" s="36"/>
      <c r="L740" s="36"/>
      <c r="M740" s="159">
        <v>466063.4</v>
      </c>
      <c r="N740" s="198"/>
    </row>
    <row r="741" spans="4:14" ht="18.75" hidden="1" customHeight="1" x14ac:dyDescent="0.35">
      <c r="D741" s="35" t="s">
        <v>219</v>
      </c>
      <c r="E741" s="35" t="s">
        <v>34</v>
      </c>
      <c r="F741" s="36"/>
      <c r="G741" s="36"/>
      <c r="H741" s="36"/>
      <c r="I741" s="36"/>
      <c r="J741" s="36"/>
      <c r="K741" s="36"/>
      <c r="L741" s="36"/>
      <c r="M741" s="159">
        <v>644069.30000000005</v>
      </c>
      <c r="N741" s="198"/>
    </row>
    <row r="742" spans="4:14" ht="18.75" hidden="1" customHeight="1" x14ac:dyDescent="0.35">
      <c r="D742" s="35" t="s">
        <v>219</v>
      </c>
      <c r="E742" s="35" t="s">
        <v>58</v>
      </c>
      <c r="F742" s="36"/>
      <c r="G742" s="36"/>
      <c r="H742" s="36"/>
      <c r="I742" s="36"/>
      <c r="J742" s="36"/>
      <c r="K742" s="36"/>
      <c r="L742" s="36"/>
      <c r="M742" s="159">
        <v>122911.5</v>
      </c>
      <c r="N742" s="198"/>
    </row>
    <row r="743" spans="4:14" ht="18.75" hidden="1" customHeight="1" x14ac:dyDescent="0.35">
      <c r="D743" s="35" t="s">
        <v>219</v>
      </c>
      <c r="E743" s="35" t="s">
        <v>60</v>
      </c>
      <c r="F743" s="36"/>
      <c r="G743" s="36"/>
      <c r="H743" s="36"/>
      <c r="I743" s="36"/>
      <c r="J743" s="36"/>
      <c r="K743" s="36"/>
      <c r="L743" s="36"/>
      <c r="M743" s="159">
        <v>221.2</v>
      </c>
      <c r="N743" s="198"/>
    </row>
    <row r="744" spans="4:14" ht="18.75" hidden="1" customHeight="1" x14ac:dyDescent="0.35">
      <c r="D744" s="35" t="s">
        <v>219</v>
      </c>
      <c r="E744" s="35" t="s">
        <v>219</v>
      </c>
      <c r="F744" s="36"/>
      <c r="G744" s="36"/>
      <c r="H744" s="36"/>
      <c r="I744" s="36"/>
      <c r="J744" s="36"/>
      <c r="K744" s="36"/>
      <c r="L744" s="36"/>
      <c r="M744" s="159">
        <v>9711.5999999999985</v>
      </c>
      <c r="N744" s="198"/>
    </row>
    <row r="745" spans="4:14" ht="18.75" hidden="1" customHeight="1" x14ac:dyDescent="0.35">
      <c r="D745" s="35" t="s">
        <v>219</v>
      </c>
      <c r="E745" s="35" t="s">
        <v>74</v>
      </c>
      <c r="F745" s="36"/>
      <c r="G745" s="36"/>
      <c r="H745" s="36"/>
      <c r="I745" s="36"/>
      <c r="J745" s="36"/>
      <c r="K745" s="36"/>
      <c r="L745" s="36"/>
      <c r="M745" s="159">
        <v>75921.3</v>
      </c>
      <c r="N745" s="198"/>
    </row>
    <row r="746" spans="4:14" ht="18.75" hidden="1" customHeight="1" x14ac:dyDescent="0.35">
      <c r="D746" s="160" t="s">
        <v>219</v>
      </c>
      <c r="E746" s="160" t="s">
        <v>38</v>
      </c>
      <c r="F746" s="36"/>
      <c r="G746" s="36"/>
      <c r="H746" s="36"/>
      <c r="I746" s="36"/>
      <c r="J746" s="36"/>
      <c r="K746" s="36"/>
      <c r="L746" s="36"/>
      <c r="M746" s="161">
        <v>1318898.3000000003</v>
      </c>
      <c r="N746" s="199"/>
    </row>
    <row r="747" spans="4:14" ht="18.75" hidden="1" customHeight="1" x14ac:dyDescent="0.35">
      <c r="D747" s="35"/>
      <c r="E747" s="35"/>
      <c r="F747" s="36"/>
      <c r="G747" s="36"/>
      <c r="H747" s="36"/>
      <c r="I747" s="36"/>
      <c r="J747" s="36"/>
      <c r="K747" s="36"/>
      <c r="L747" s="36"/>
      <c r="M747" s="159"/>
      <c r="N747" s="198"/>
    </row>
    <row r="748" spans="4:14" ht="18.75" hidden="1" customHeight="1" x14ac:dyDescent="0.35">
      <c r="D748" s="35" t="s">
        <v>221</v>
      </c>
      <c r="E748" s="35" t="s">
        <v>32</v>
      </c>
      <c r="F748" s="36"/>
      <c r="G748" s="36"/>
      <c r="H748" s="36"/>
      <c r="I748" s="36"/>
      <c r="J748" s="36"/>
      <c r="K748" s="36"/>
      <c r="L748" s="36"/>
      <c r="M748" s="159">
        <v>30046.5</v>
      </c>
      <c r="N748" s="198"/>
    </row>
    <row r="749" spans="4:14" ht="18.75" hidden="1" customHeight="1" x14ac:dyDescent="0.35">
      <c r="D749" s="35" t="s">
        <v>221</v>
      </c>
      <c r="E749" s="35" t="s">
        <v>47</v>
      </c>
      <c r="F749" s="36"/>
      <c r="G749" s="36"/>
      <c r="H749" s="36"/>
      <c r="I749" s="36"/>
      <c r="J749" s="36"/>
      <c r="K749" s="36"/>
      <c r="L749" s="36"/>
      <c r="M749" s="159">
        <v>11728.1</v>
      </c>
      <c r="N749" s="198"/>
    </row>
    <row r="750" spans="4:14" ht="18.75" hidden="1" customHeight="1" x14ac:dyDescent="0.35">
      <c r="D750" s="160" t="s">
        <v>221</v>
      </c>
      <c r="E750" s="160" t="s">
        <v>38</v>
      </c>
      <c r="F750" s="36"/>
      <c r="G750" s="36"/>
      <c r="H750" s="36"/>
      <c r="I750" s="36"/>
      <c r="J750" s="36"/>
      <c r="K750" s="36"/>
      <c r="L750" s="36"/>
      <c r="M750" s="161">
        <v>41774.6</v>
      </c>
      <c r="N750" s="199"/>
    </row>
    <row r="751" spans="4:14" ht="18.75" hidden="1" customHeight="1" x14ac:dyDescent="0.35">
      <c r="D751" s="35"/>
      <c r="E751" s="35"/>
      <c r="F751" s="36"/>
      <c r="G751" s="36"/>
      <c r="H751" s="36"/>
      <c r="I751" s="36"/>
      <c r="J751" s="36"/>
      <c r="K751" s="36"/>
      <c r="L751" s="36"/>
      <c r="M751" s="159"/>
      <c r="N751" s="198"/>
    </row>
    <row r="752" spans="4:14" ht="18.75" hidden="1" customHeight="1" x14ac:dyDescent="0.35">
      <c r="D752" s="35" t="s">
        <v>99</v>
      </c>
      <c r="E752" s="35" t="s">
        <v>32</v>
      </c>
      <c r="F752" s="36"/>
      <c r="G752" s="36"/>
      <c r="H752" s="36"/>
      <c r="I752" s="36"/>
      <c r="J752" s="36"/>
      <c r="K752" s="36"/>
      <c r="L752" s="36"/>
      <c r="M752" s="159">
        <v>1200</v>
      </c>
      <c r="N752" s="198"/>
    </row>
    <row r="753" spans="4:14" ht="18.75" hidden="1" customHeight="1" x14ac:dyDescent="0.35">
      <c r="D753" s="35" t="s">
        <v>99</v>
      </c>
      <c r="E753" s="35" t="s">
        <v>58</v>
      </c>
      <c r="F753" s="36"/>
      <c r="G753" s="36"/>
      <c r="H753" s="36"/>
      <c r="I753" s="36"/>
      <c r="J753" s="36"/>
      <c r="K753" s="36"/>
      <c r="L753" s="36"/>
      <c r="M753" s="159"/>
      <c r="N753" s="198"/>
    </row>
    <row r="754" spans="4:14" ht="18.75" hidden="1" customHeight="1" x14ac:dyDescent="0.35">
      <c r="D754" s="35" t="s">
        <v>99</v>
      </c>
      <c r="E754" s="35" t="s">
        <v>47</v>
      </c>
      <c r="F754" s="36"/>
      <c r="G754" s="36"/>
      <c r="H754" s="36"/>
      <c r="I754" s="36"/>
      <c r="J754" s="36"/>
      <c r="K754" s="36"/>
      <c r="L754" s="36"/>
      <c r="M754" s="159">
        <v>119634.1</v>
      </c>
      <c r="N754" s="198"/>
    </row>
    <row r="755" spans="4:14" ht="18.75" hidden="1" customHeight="1" x14ac:dyDescent="0.35">
      <c r="D755" s="35" t="s">
        <v>99</v>
      </c>
      <c r="E755" s="35" t="s">
        <v>76</v>
      </c>
      <c r="F755" s="36"/>
      <c r="G755" s="36"/>
      <c r="H755" s="36"/>
      <c r="I755" s="36"/>
      <c r="J755" s="36"/>
      <c r="K755" s="36"/>
      <c r="L755" s="36"/>
      <c r="M755" s="159">
        <v>8723.4</v>
      </c>
      <c r="N755" s="198"/>
    </row>
    <row r="756" spans="4:14" ht="18.75" hidden="1" customHeight="1" x14ac:dyDescent="0.35">
      <c r="D756" s="160" t="s">
        <v>99</v>
      </c>
      <c r="E756" s="160" t="s">
        <v>38</v>
      </c>
      <c r="F756" s="36"/>
      <c r="G756" s="36"/>
      <c r="H756" s="36"/>
      <c r="I756" s="36"/>
      <c r="J756" s="36"/>
      <c r="K756" s="36"/>
      <c r="L756" s="36"/>
      <c r="M756" s="161">
        <v>129557.5</v>
      </c>
      <c r="N756" s="199"/>
    </row>
    <row r="757" spans="4:14" ht="18.75" hidden="1" customHeight="1" x14ac:dyDescent="0.35">
      <c r="D757" s="35"/>
      <c r="E757" s="35"/>
      <c r="F757" s="36"/>
      <c r="G757" s="36"/>
      <c r="H757" s="36"/>
      <c r="I757" s="36"/>
      <c r="J757" s="36"/>
      <c r="K757" s="36"/>
      <c r="L757" s="36"/>
      <c r="M757" s="159"/>
      <c r="N757" s="198"/>
    </row>
    <row r="758" spans="4:14" ht="18.75" hidden="1" customHeight="1" x14ac:dyDescent="0.35">
      <c r="D758" s="35" t="s">
        <v>62</v>
      </c>
      <c r="E758" s="35" t="s">
        <v>32</v>
      </c>
      <c r="F758" s="36"/>
      <c r="G758" s="36"/>
      <c r="H758" s="36"/>
      <c r="I758" s="36"/>
      <c r="J758" s="36"/>
      <c r="K758" s="36"/>
      <c r="L758" s="36"/>
      <c r="M758" s="159">
        <v>41001.199999999997</v>
      </c>
      <c r="N758" s="198"/>
    </row>
    <row r="759" spans="4:14" ht="18.75" hidden="1" customHeight="1" x14ac:dyDescent="0.35">
      <c r="D759" s="35" t="s">
        <v>62</v>
      </c>
      <c r="E759" s="35" t="s">
        <v>34</v>
      </c>
      <c r="F759" s="36"/>
      <c r="G759" s="36"/>
      <c r="H759" s="36"/>
      <c r="I759" s="36"/>
      <c r="J759" s="36"/>
      <c r="K759" s="36"/>
      <c r="L759" s="36"/>
      <c r="M759" s="159">
        <v>629.70000000000005</v>
      </c>
      <c r="N759" s="198"/>
    </row>
    <row r="760" spans="4:14" ht="18.75" hidden="1" customHeight="1" x14ac:dyDescent="0.35">
      <c r="D760" s="35" t="s">
        <v>62</v>
      </c>
      <c r="E760" s="35" t="s">
        <v>60</v>
      </c>
      <c r="F760" s="36"/>
      <c r="G760" s="36"/>
      <c r="H760" s="36"/>
      <c r="I760" s="36"/>
      <c r="J760" s="36"/>
      <c r="K760" s="36"/>
      <c r="L760" s="36"/>
      <c r="M760" s="159">
        <v>2858.1</v>
      </c>
      <c r="N760" s="198"/>
    </row>
    <row r="761" spans="4:14" ht="18.75" hidden="1" customHeight="1" x14ac:dyDescent="0.35">
      <c r="D761" s="160" t="s">
        <v>62</v>
      </c>
      <c r="E761" s="160" t="s">
        <v>38</v>
      </c>
      <c r="F761" s="36"/>
      <c r="G761" s="36"/>
      <c r="H761" s="36"/>
      <c r="I761" s="36"/>
      <c r="J761" s="36"/>
      <c r="K761" s="36"/>
      <c r="L761" s="36"/>
      <c r="M761" s="161">
        <v>44488.999999999993</v>
      </c>
      <c r="N761" s="199"/>
    </row>
    <row r="762" spans="4:14" ht="18.75" hidden="1" customHeight="1" x14ac:dyDescent="0.35">
      <c r="D762" s="35"/>
      <c r="E762" s="35"/>
      <c r="F762" s="36"/>
      <c r="G762" s="36"/>
      <c r="H762" s="36"/>
      <c r="I762" s="36"/>
      <c r="J762" s="36"/>
      <c r="K762" s="36"/>
      <c r="L762" s="36"/>
      <c r="M762" s="159"/>
      <c r="N762" s="198"/>
    </row>
    <row r="763" spans="4:14" ht="18.75" hidden="1" customHeight="1" x14ac:dyDescent="0.35">
      <c r="D763" s="35" t="s">
        <v>66</v>
      </c>
      <c r="E763" s="35" t="s">
        <v>32</v>
      </c>
      <c r="F763" s="36"/>
      <c r="G763" s="36"/>
      <c r="H763" s="36"/>
      <c r="I763" s="36"/>
      <c r="J763" s="36"/>
      <c r="K763" s="36"/>
      <c r="L763" s="36"/>
      <c r="M763" s="159">
        <v>9.4</v>
      </c>
      <c r="N763" s="198"/>
    </row>
    <row r="764" spans="4:14" ht="18.75" hidden="1" customHeight="1" x14ac:dyDescent="0.35">
      <c r="D764" s="160" t="s">
        <v>66</v>
      </c>
      <c r="E764" s="160" t="s">
        <v>38</v>
      </c>
      <c r="F764" s="36"/>
      <c r="G764" s="36"/>
      <c r="H764" s="36"/>
      <c r="I764" s="36"/>
      <c r="J764" s="36"/>
      <c r="K764" s="36"/>
      <c r="L764" s="36"/>
      <c r="M764" s="161">
        <v>9.4</v>
      </c>
      <c r="N764" s="199"/>
    </row>
    <row r="765" spans="4:14" ht="18.75" hidden="1" customHeight="1" x14ac:dyDescent="0.35">
      <c r="D765" s="35"/>
      <c r="E765" s="35"/>
      <c r="F765" s="36"/>
      <c r="G765" s="36"/>
      <c r="H765" s="36"/>
      <c r="I765" s="36"/>
      <c r="J765" s="36"/>
      <c r="K765" s="36"/>
      <c r="L765" s="36"/>
      <c r="M765" s="159"/>
      <c r="N765" s="198"/>
    </row>
    <row r="766" spans="4:14" ht="18.75" hidden="1" customHeight="1" x14ac:dyDescent="0.35">
      <c r="D766" s="35" t="s">
        <v>83</v>
      </c>
      <c r="E766" s="35" t="s">
        <v>32</v>
      </c>
      <c r="F766" s="36"/>
      <c r="G766" s="36"/>
      <c r="H766" s="36"/>
      <c r="I766" s="36"/>
      <c r="J766" s="36"/>
      <c r="K766" s="36"/>
      <c r="L766" s="36"/>
      <c r="M766" s="159">
        <v>7000</v>
      </c>
      <c r="N766" s="198"/>
    </row>
    <row r="767" spans="4:14" ht="18.75" hidden="1" customHeight="1" x14ac:dyDescent="0.35">
      <c r="D767" s="35" t="s">
        <v>83</v>
      </c>
      <c r="E767" s="35" t="s">
        <v>34</v>
      </c>
      <c r="F767" s="36"/>
      <c r="G767" s="36"/>
      <c r="H767" s="36"/>
      <c r="I767" s="36"/>
      <c r="J767" s="36"/>
      <c r="K767" s="36"/>
      <c r="L767" s="36"/>
      <c r="M767" s="159"/>
      <c r="N767" s="198"/>
    </row>
    <row r="768" spans="4:14" ht="18.75" hidden="1" customHeight="1" x14ac:dyDescent="0.35">
      <c r="D768" s="35" t="s">
        <v>83</v>
      </c>
      <c r="E768" s="35" t="s">
        <v>58</v>
      </c>
      <c r="F768" s="36"/>
      <c r="G768" s="36"/>
      <c r="H768" s="36"/>
      <c r="I768" s="36"/>
      <c r="J768" s="36"/>
      <c r="K768" s="36"/>
      <c r="L768" s="36"/>
      <c r="M768" s="159" t="e">
        <v>#REF!</v>
      </c>
      <c r="N768" s="198"/>
    </row>
    <row r="769" spans="2:14" ht="18.75" hidden="1" customHeight="1" x14ac:dyDescent="0.35">
      <c r="D769" s="160" t="s">
        <v>83</v>
      </c>
      <c r="E769" s="160" t="s">
        <v>38</v>
      </c>
      <c r="F769" s="36"/>
      <c r="G769" s="36"/>
      <c r="H769" s="36"/>
      <c r="I769" s="36"/>
      <c r="J769" s="36"/>
      <c r="K769" s="36"/>
      <c r="L769" s="36"/>
      <c r="M769" s="161" t="e">
        <v>#REF!</v>
      </c>
      <c r="N769" s="199"/>
    </row>
    <row r="770" spans="2:14" ht="18.75" hidden="1" customHeight="1" x14ac:dyDescent="0.35">
      <c r="D770" s="66"/>
      <c r="E770" s="35"/>
      <c r="F770" s="36"/>
      <c r="G770" s="36"/>
      <c r="H770" s="36"/>
      <c r="I770" s="36"/>
      <c r="J770" s="36"/>
      <c r="K770" s="36"/>
      <c r="L770" s="36"/>
      <c r="M770" s="299" t="e">
        <v>#REF!</v>
      </c>
      <c r="N770" s="69"/>
    </row>
    <row r="771" spans="2:14" ht="18.75" hidden="1" customHeight="1" x14ac:dyDescent="0.35">
      <c r="D771" s="67"/>
      <c r="E771" s="67"/>
      <c r="F771" s="41"/>
      <c r="G771" s="41"/>
      <c r="H771" s="41"/>
      <c r="I771" s="41"/>
      <c r="J771" s="41"/>
      <c r="K771" s="41"/>
      <c r="L771" s="41"/>
      <c r="M771" s="68"/>
      <c r="N771" s="69"/>
    </row>
    <row r="772" spans="2:14" ht="18.75" hidden="1" customHeight="1" x14ac:dyDescent="0.35">
      <c r="B772" s="1" t="s">
        <v>356</v>
      </c>
      <c r="D772" s="67"/>
      <c r="E772" s="67"/>
      <c r="F772" s="41"/>
      <c r="G772" s="41"/>
      <c r="H772" s="41"/>
      <c r="I772" s="41"/>
      <c r="J772" s="41"/>
      <c r="K772" s="41"/>
      <c r="L772" s="41"/>
      <c r="M772" s="68"/>
      <c r="N772" s="69"/>
    </row>
    <row r="773" spans="2:14" ht="18.75" hidden="1" customHeight="1" x14ac:dyDescent="0.35">
      <c r="B773" s="1" t="s">
        <v>355</v>
      </c>
      <c r="D773" s="67"/>
      <c r="E773" s="67"/>
      <c r="F773" s="41"/>
      <c r="G773" s="41"/>
      <c r="H773" s="41"/>
      <c r="I773" s="41"/>
      <c r="J773" s="41"/>
      <c r="K773" s="41"/>
      <c r="L773" s="41"/>
      <c r="M773" s="68"/>
      <c r="N773" s="69"/>
    </row>
    <row r="774" spans="2:14" ht="18.75" hidden="1" customHeight="1" x14ac:dyDescent="0.35">
      <c r="D774" s="67"/>
      <c r="E774" s="67"/>
      <c r="F774" s="41"/>
      <c r="G774" s="41"/>
      <c r="H774" s="41"/>
      <c r="I774" s="41"/>
      <c r="J774" s="41"/>
      <c r="K774" s="41"/>
      <c r="L774" s="41"/>
      <c r="M774" s="70"/>
      <c r="N774" s="69"/>
    </row>
    <row r="775" spans="2:14" ht="18.75" hidden="1" customHeight="1" x14ac:dyDescent="0.35">
      <c r="D775" s="67"/>
      <c r="E775" s="67"/>
      <c r="F775" s="41"/>
      <c r="G775" s="41"/>
      <c r="H775" s="41"/>
      <c r="I775" s="41"/>
      <c r="J775" s="41"/>
      <c r="K775" s="41"/>
      <c r="L775" s="41"/>
      <c r="M775" s="71"/>
      <c r="N775" s="69"/>
    </row>
    <row r="776" spans="2:14" ht="15" hidden="1" customHeight="1" x14ac:dyDescent="0.3">
      <c r="D776" s="69"/>
      <c r="E776" s="69"/>
      <c r="F776" s="69"/>
      <c r="G776" s="69"/>
      <c r="H776" s="69"/>
      <c r="I776" s="69"/>
      <c r="J776" s="69"/>
      <c r="K776" s="69"/>
      <c r="L776" s="69"/>
      <c r="M776" s="71"/>
      <c r="N776" s="69"/>
    </row>
    <row r="777" spans="2:14" ht="15" hidden="1" customHeight="1" x14ac:dyDescent="0.3">
      <c r="D777" s="69"/>
      <c r="E777" s="69"/>
      <c r="F777" s="69"/>
      <c r="G777" s="69"/>
      <c r="H777" s="69"/>
      <c r="I777" s="69"/>
      <c r="J777" s="69"/>
      <c r="K777" s="69"/>
      <c r="L777" s="69"/>
      <c r="M777" s="71"/>
      <c r="N777" s="69"/>
    </row>
    <row r="778" spans="2:14" ht="15" hidden="1" customHeight="1" x14ac:dyDescent="0.3">
      <c r="D778" s="69"/>
      <c r="E778" s="69"/>
      <c r="F778" s="69"/>
      <c r="G778" s="69"/>
      <c r="H778" s="69"/>
      <c r="I778" s="69"/>
      <c r="J778" s="69"/>
      <c r="K778" s="69"/>
      <c r="L778" s="69"/>
      <c r="M778" s="71"/>
      <c r="N778" s="69"/>
    </row>
    <row r="779" spans="2:14" ht="15" hidden="1" customHeight="1" x14ac:dyDescent="0.3">
      <c r="D779" s="69"/>
      <c r="E779" s="69"/>
      <c r="F779" s="69"/>
      <c r="G779" s="69"/>
      <c r="H779" s="69"/>
      <c r="I779" s="69"/>
      <c r="J779" s="69"/>
      <c r="K779" s="69"/>
      <c r="L779" s="69"/>
      <c r="M779" s="71"/>
      <c r="N779" s="69"/>
    </row>
    <row r="780" spans="2:14" ht="15" hidden="1" customHeight="1" x14ac:dyDescent="0.3">
      <c r="D780" s="69"/>
      <c r="E780" s="69"/>
      <c r="F780" s="69"/>
      <c r="G780" s="69"/>
      <c r="H780" s="69"/>
      <c r="I780" s="69"/>
      <c r="J780" s="69"/>
      <c r="K780" s="69"/>
      <c r="L780" s="69"/>
      <c r="M780" s="71"/>
      <c r="N780" s="69"/>
    </row>
    <row r="781" spans="2:14" ht="15" hidden="1" customHeight="1" x14ac:dyDescent="0.3">
      <c r="D781" s="69"/>
      <c r="E781" s="69"/>
      <c r="F781" s="69"/>
      <c r="G781" s="69"/>
      <c r="H781" s="69"/>
      <c r="I781" s="69"/>
      <c r="J781" s="69"/>
      <c r="K781" s="69"/>
      <c r="L781" s="69"/>
      <c r="M781" s="71"/>
      <c r="N781" s="69"/>
    </row>
    <row r="782" spans="2:14" ht="15" hidden="1" customHeight="1" x14ac:dyDescent="0.3">
      <c r="D782" s="69"/>
      <c r="E782" s="69"/>
      <c r="F782" s="69"/>
      <c r="G782" s="69"/>
      <c r="H782" s="69"/>
      <c r="I782" s="69"/>
      <c r="J782" s="69"/>
      <c r="K782" s="69"/>
      <c r="L782" s="69"/>
      <c r="M782" s="71"/>
      <c r="N782" s="69"/>
    </row>
    <row r="783" spans="2:14" ht="15" hidden="1" customHeight="1" x14ac:dyDescent="0.3">
      <c r="D783" s="69"/>
      <c r="E783" s="69"/>
      <c r="F783" s="69"/>
      <c r="G783" s="69"/>
      <c r="H783" s="69"/>
      <c r="I783" s="69"/>
      <c r="J783" s="69"/>
      <c r="K783" s="69"/>
      <c r="L783" s="69"/>
      <c r="M783" s="71"/>
      <c r="N783" s="69"/>
    </row>
    <row r="784" spans="2:14" ht="15" hidden="1" customHeight="1" x14ac:dyDescent="0.3">
      <c r="D784" s="69"/>
      <c r="E784" s="69"/>
      <c r="F784" s="69"/>
      <c r="G784" s="69"/>
      <c r="H784" s="69"/>
      <c r="I784" s="69"/>
      <c r="J784" s="69"/>
      <c r="K784" s="69"/>
      <c r="L784" s="69"/>
      <c r="M784" s="71"/>
      <c r="N784" s="69"/>
    </row>
    <row r="785" spans="4:14" ht="15" hidden="1" customHeight="1" x14ac:dyDescent="0.3">
      <c r="D785" s="69"/>
      <c r="E785" s="69"/>
      <c r="F785" s="69"/>
      <c r="G785" s="69"/>
      <c r="H785" s="69"/>
      <c r="I785" s="69"/>
      <c r="J785" s="69"/>
      <c r="K785" s="69"/>
      <c r="L785" s="69"/>
      <c r="M785" s="71"/>
      <c r="N785" s="69"/>
    </row>
    <row r="786" spans="4:14" ht="15" hidden="1" customHeight="1" x14ac:dyDescent="0.3">
      <c r="D786" s="69"/>
      <c r="E786" s="69"/>
      <c r="F786" s="69"/>
      <c r="G786" s="69"/>
      <c r="H786" s="69"/>
      <c r="I786" s="69"/>
      <c r="J786" s="69"/>
      <c r="K786" s="69"/>
      <c r="L786" s="69"/>
      <c r="M786" s="71"/>
      <c r="N786" s="69"/>
    </row>
    <row r="787" spans="4:14" ht="15" hidden="1" customHeight="1" x14ac:dyDescent="0.3">
      <c r="D787" s="69"/>
      <c r="E787" s="69"/>
      <c r="F787" s="69"/>
      <c r="G787" s="69"/>
      <c r="H787" s="69"/>
      <c r="I787" s="69"/>
      <c r="J787" s="69"/>
      <c r="K787" s="69"/>
      <c r="L787" s="69"/>
      <c r="M787" s="71"/>
      <c r="N787" s="69"/>
    </row>
    <row r="788" spans="4:14" ht="15" hidden="1" customHeight="1" x14ac:dyDescent="0.3">
      <c r="D788" s="69"/>
      <c r="E788" s="69"/>
      <c r="F788" s="69"/>
      <c r="G788" s="69"/>
      <c r="H788" s="69"/>
      <c r="I788" s="69"/>
      <c r="J788" s="69"/>
      <c r="K788" s="69"/>
      <c r="L788" s="69"/>
      <c r="M788" s="71"/>
      <c r="N788" s="69"/>
    </row>
    <row r="789" spans="4:14" ht="15" hidden="1" customHeight="1" x14ac:dyDescent="0.3">
      <c r="D789" s="69"/>
      <c r="E789" s="69"/>
      <c r="F789" s="69"/>
      <c r="G789" s="69"/>
      <c r="H789" s="69"/>
      <c r="I789" s="69"/>
      <c r="J789" s="69"/>
      <c r="K789" s="69"/>
      <c r="L789" s="69"/>
      <c r="M789" s="71"/>
      <c r="N789" s="69"/>
    </row>
    <row r="790" spans="4:14" ht="15" hidden="1" customHeight="1" x14ac:dyDescent="0.3">
      <c r="D790" s="69"/>
      <c r="E790" s="69"/>
      <c r="F790" s="69"/>
      <c r="G790" s="69"/>
      <c r="H790" s="69"/>
      <c r="I790" s="69"/>
      <c r="J790" s="69"/>
      <c r="K790" s="69"/>
      <c r="L790" s="69"/>
      <c r="M790" s="71"/>
      <c r="N790" s="69"/>
    </row>
    <row r="791" spans="4:14" ht="15" hidden="1" customHeight="1" x14ac:dyDescent="0.3">
      <c r="D791" s="69"/>
      <c r="E791" s="69"/>
      <c r="F791" s="69"/>
      <c r="G791" s="69"/>
      <c r="H791" s="69"/>
      <c r="I791" s="69"/>
      <c r="J791" s="69"/>
      <c r="K791" s="69"/>
      <c r="L791" s="69"/>
      <c r="M791" s="71"/>
      <c r="N791" s="69"/>
    </row>
    <row r="792" spans="4:14" ht="15" hidden="1" customHeight="1" x14ac:dyDescent="0.3">
      <c r="D792" s="69"/>
      <c r="E792" s="69"/>
      <c r="F792" s="69"/>
      <c r="G792" s="69"/>
      <c r="H792" s="69"/>
      <c r="I792" s="69"/>
      <c r="J792" s="69"/>
      <c r="K792" s="69"/>
      <c r="L792" s="69"/>
      <c r="M792" s="71"/>
      <c r="N792" s="69"/>
    </row>
    <row r="793" spans="4:14" ht="15" hidden="1" customHeight="1" x14ac:dyDescent="0.3">
      <c r="D793" s="69"/>
      <c r="E793" s="69"/>
      <c r="F793" s="69"/>
      <c r="G793" s="69"/>
      <c r="H793" s="69"/>
      <c r="I793" s="69"/>
      <c r="J793" s="69"/>
      <c r="K793" s="69"/>
      <c r="L793" s="69"/>
      <c r="M793" s="71"/>
      <c r="N793" s="69"/>
    </row>
    <row r="794" spans="4:14" ht="15" hidden="1" customHeight="1" x14ac:dyDescent="0.3">
      <c r="D794" s="69"/>
      <c r="E794" s="69"/>
      <c r="F794" s="69"/>
      <c r="G794" s="69"/>
      <c r="H794" s="69"/>
      <c r="I794" s="69"/>
      <c r="J794" s="69"/>
      <c r="K794" s="69"/>
      <c r="L794" s="69"/>
      <c r="M794" s="71"/>
      <c r="N794" s="69"/>
    </row>
    <row r="795" spans="4:14" ht="15" hidden="1" customHeight="1" x14ac:dyDescent="0.3">
      <c r="D795" s="69"/>
      <c r="E795" s="69"/>
      <c r="F795" s="69"/>
      <c r="G795" s="69"/>
      <c r="H795" s="69"/>
      <c r="I795" s="69"/>
      <c r="J795" s="69"/>
      <c r="K795" s="69"/>
      <c r="L795" s="69"/>
      <c r="M795" s="71"/>
      <c r="N795" s="69"/>
    </row>
    <row r="796" spans="4:14" ht="15" hidden="1" customHeight="1" x14ac:dyDescent="0.3">
      <c r="D796" s="69"/>
      <c r="E796" s="69"/>
      <c r="F796" s="69"/>
      <c r="G796" s="69"/>
      <c r="H796" s="69"/>
      <c r="I796" s="69"/>
      <c r="J796" s="69"/>
      <c r="K796" s="69"/>
      <c r="L796" s="69"/>
      <c r="M796" s="71"/>
      <c r="N796" s="69"/>
    </row>
    <row r="797" spans="4:14" ht="15" hidden="1" customHeight="1" x14ac:dyDescent="0.3">
      <c r="D797" s="69"/>
      <c r="E797" s="69"/>
      <c r="F797" s="69"/>
      <c r="G797" s="69"/>
      <c r="H797" s="69"/>
      <c r="I797" s="69"/>
      <c r="J797" s="69"/>
      <c r="K797" s="69"/>
      <c r="L797" s="69"/>
      <c r="M797" s="71"/>
      <c r="N797" s="69"/>
    </row>
    <row r="798" spans="4:14" ht="15" hidden="1" customHeight="1" x14ac:dyDescent="0.3">
      <c r="D798" s="69"/>
      <c r="E798" s="69"/>
      <c r="F798" s="69"/>
      <c r="G798" s="69"/>
      <c r="H798" s="69"/>
      <c r="I798" s="69"/>
      <c r="J798" s="69"/>
      <c r="K798" s="69"/>
      <c r="L798" s="69"/>
      <c r="M798" s="71"/>
      <c r="N798" s="69"/>
    </row>
    <row r="799" spans="4:14" ht="15" customHeight="1" x14ac:dyDescent="0.3">
      <c r="D799" s="69"/>
      <c r="E799" s="69"/>
      <c r="F799" s="69"/>
      <c r="G799" s="69"/>
      <c r="H799" s="69"/>
      <c r="I799" s="69"/>
      <c r="J799" s="69"/>
      <c r="K799" s="69"/>
      <c r="L799" s="69"/>
      <c r="M799" s="71"/>
      <c r="N799" s="69"/>
    </row>
    <row r="800" spans="4:14" ht="15" customHeight="1" x14ac:dyDescent="0.3">
      <c r="D800" s="69"/>
      <c r="E800" s="69"/>
      <c r="F800" s="69"/>
      <c r="G800" s="69"/>
      <c r="H800" s="69"/>
      <c r="I800" s="69"/>
      <c r="J800" s="69"/>
      <c r="K800" s="69"/>
      <c r="L800" s="69"/>
      <c r="M800" s="71"/>
      <c r="N800" s="69"/>
    </row>
    <row r="801" spans="4:14" ht="15" customHeight="1" x14ac:dyDescent="0.3">
      <c r="D801" s="69"/>
      <c r="E801" s="69"/>
      <c r="F801" s="69"/>
      <c r="G801" s="69"/>
      <c r="H801" s="69"/>
      <c r="I801" s="69"/>
      <c r="J801" s="69"/>
      <c r="K801" s="69"/>
      <c r="L801" s="69"/>
      <c r="M801" s="71"/>
      <c r="N801" s="69"/>
    </row>
    <row r="802" spans="4:14" ht="15" customHeight="1" x14ac:dyDescent="0.3">
      <c r="D802" s="69"/>
      <c r="E802" s="69"/>
      <c r="F802" s="69"/>
      <c r="G802" s="69"/>
      <c r="H802" s="69"/>
      <c r="I802" s="69"/>
      <c r="J802" s="69"/>
      <c r="K802" s="69"/>
      <c r="L802" s="69"/>
      <c r="M802" s="71"/>
      <c r="N802" s="69"/>
    </row>
    <row r="803" spans="4:14" ht="15" customHeight="1" x14ac:dyDescent="0.3">
      <c r="D803" s="69"/>
      <c r="E803" s="69"/>
      <c r="F803" s="69"/>
      <c r="G803" s="69"/>
      <c r="H803" s="69"/>
      <c r="I803" s="69"/>
      <c r="J803" s="69"/>
      <c r="K803" s="69"/>
      <c r="L803" s="69"/>
      <c r="M803" s="71"/>
      <c r="N803" s="69"/>
    </row>
    <row r="804" spans="4:14" ht="15" customHeight="1" x14ac:dyDescent="0.3">
      <c r="D804" s="69"/>
      <c r="E804" s="69"/>
      <c r="F804" s="69"/>
      <c r="G804" s="69"/>
      <c r="H804" s="69"/>
      <c r="I804" s="69"/>
      <c r="J804" s="69"/>
      <c r="K804" s="69"/>
      <c r="L804" s="69"/>
      <c r="M804" s="71"/>
      <c r="N804" s="69"/>
    </row>
    <row r="805" spans="4:14" ht="15" customHeight="1" x14ac:dyDescent="0.3">
      <c r="D805" s="69"/>
      <c r="E805" s="69"/>
      <c r="F805" s="69"/>
      <c r="G805" s="69"/>
      <c r="H805" s="69"/>
      <c r="I805" s="69"/>
      <c r="J805" s="69"/>
      <c r="K805" s="69"/>
      <c r="L805" s="69"/>
      <c r="M805" s="71"/>
      <c r="N805" s="69"/>
    </row>
    <row r="806" spans="4:14" ht="15" customHeight="1" x14ac:dyDescent="0.3">
      <c r="D806" s="69"/>
      <c r="E806" s="69"/>
      <c r="F806" s="69"/>
      <c r="G806" s="69"/>
      <c r="H806" s="69"/>
      <c r="I806" s="69"/>
      <c r="J806" s="69"/>
      <c r="K806" s="69"/>
      <c r="L806" s="69"/>
      <c r="M806" s="71"/>
      <c r="N806" s="69"/>
    </row>
    <row r="807" spans="4:14" ht="15" customHeight="1" x14ac:dyDescent="0.3">
      <c r="D807" s="69"/>
      <c r="E807" s="69"/>
      <c r="F807" s="69"/>
      <c r="G807" s="69"/>
      <c r="H807" s="69"/>
      <c r="I807" s="69"/>
      <c r="J807" s="69"/>
      <c r="K807" s="69"/>
      <c r="L807" s="69"/>
      <c r="M807" s="71"/>
      <c r="N807" s="69"/>
    </row>
    <row r="808" spans="4:14" ht="15" customHeight="1" x14ac:dyDescent="0.3">
      <c r="D808" s="69"/>
      <c r="E808" s="69"/>
      <c r="F808" s="69"/>
      <c r="G808" s="69"/>
      <c r="H808" s="69"/>
      <c r="I808" s="69"/>
      <c r="J808" s="69"/>
      <c r="K808" s="69"/>
      <c r="L808" s="69"/>
      <c r="M808" s="71"/>
      <c r="N808" s="69"/>
    </row>
    <row r="809" spans="4:14" ht="15" customHeight="1" x14ac:dyDescent="0.3">
      <c r="D809" s="69"/>
      <c r="E809" s="69"/>
      <c r="F809" s="69"/>
      <c r="G809" s="69"/>
      <c r="H809" s="69"/>
      <c r="I809" s="69"/>
      <c r="J809" s="69"/>
      <c r="K809" s="69"/>
      <c r="L809" s="69"/>
      <c r="M809" s="71"/>
      <c r="N809" s="69"/>
    </row>
    <row r="810" spans="4:14" ht="15" customHeight="1" x14ac:dyDescent="0.3">
      <c r="D810" s="69"/>
      <c r="E810" s="69"/>
      <c r="F810" s="69"/>
      <c r="G810" s="69"/>
      <c r="H810" s="69"/>
      <c r="I810" s="69"/>
      <c r="J810" s="69"/>
      <c r="K810" s="69"/>
      <c r="L810" s="69"/>
      <c r="M810" s="71"/>
      <c r="N810" s="69"/>
    </row>
    <row r="811" spans="4:14" ht="15" customHeight="1" x14ac:dyDescent="0.3">
      <c r="D811" s="69"/>
      <c r="E811" s="69"/>
      <c r="F811" s="69"/>
      <c r="G811" s="69"/>
      <c r="H811" s="69"/>
      <c r="I811" s="69"/>
      <c r="J811" s="69"/>
      <c r="K811" s="69"/>
      <c r="L811" s="69"/>
      <c r="M811" s="71"/>
      <c r="N811" s="69"/>
    </row>
    <row r="812" spans="4:14" ht="15" customHeight="1" x14ac:dyDescent="0.3">
      <c r="D812" s="69"/>
      <c r="E812" s="69"/>
      <c r="F812" s="69"/>
      <c r="G812" s="69"/>
      <c r="H812" s="69"/>
      <c r="I812" s="69"/>
      <c r="J812" s="69"/>
      <c r="K812" s="69"/>
      <c r="L812" s="69"/>
      <c r="M812" s="71"/>
      <c r="N812" s="69"/>
    </row>
    <row r="813" spans="4:14" ht="15" customHeight="1" x14ac:dyDescent="0.3">
      <c r="D813" s="69"/>
      <c r="E813" s="69"/>
      <c r="F813" s="69"/>
      <c r="G813" s="69"/>
      <c r="H813" s="69"/>
      <c r="I813" s="69"/>
      <c r="J813" s="69"/>
      <c r="K813" s="69"/>
      <c r="L813" s="69"/>
      <c r="M813" s="71"/>
      <c r="N813" s="69"/>
    </row>
    <row r="814" spans="4:14" ht="15" customHeight="1" x14ac:dyDescent="0.3">
      <c r="D814" s="69"/>
      <c r="E814" s="69"/>
      <c r="F814" s="69"/>
      <c r="G814" s="69"/>
      <c r="H814" s="69"/>
      <c r="I814" s="69"/>
      <c r="J814" s="69"/>
      <c r="K814" s="69"/>
      <c r="L814" s="69"/>
      <c r="M814" s="71"/>
      <c r="N814" s="69"/>
    </row>
    <row r="815" spans="4:14" ht="15" customHeight="1" x14ac:dyDescent="0.3">
      <c r="D815" s="69"/>
      <c r="E815" s="69"/>
      <c r="F815" s="69"/>
      <c r="G815" s="69"/>
      <c r="H815" s="69"/>
      <c r="I815" s="69"/>
      <c r="J815" s="69"/>
      <c r="K815" s="69"/>
      <c r="L815" s="69"/>
      <c r="M815" s="71"/>
      <c r="N815" s="69"/>
    </row>
    <row r="816" spans="4:14" ht="15" customHeight="1" x14ac:dyDescent="0.3">
      <c r="D816" s="69"/>
      <c r="E816" s="69"/>
      <c r="F816" s="69"/>
      <c r="G816" s="69"/>
      <c r="H816" s="69"/>
      <c r="I816" s="69"/>
      <c r="J816" s="69"/>
      <c r="K816" s="69"/>
      <c r="L816" s="69"/>
      <c r="M816" s="71"/>
      <c r="N816" s="69"/>
    </row>
    <row r="817" spans="4:14" ht="15" customHeight="1" x14ac:dyDescent="0.3">
      <c r="D817" s="69"/>
      <c r="E817" s="69"/>
      <c r="F817" s="69"/>
      <c r="G817" s="69"/>
      <c r="H817" s="69"/>
      <c r="I817" s="69"/>
      <c r="J817" s="69"/>
      <c r="K817" s="69"/>
      <c r="L817" s="69"/>
      <c r="M817" s="71"/>
      <c r="N817" s="69"/>
    </row>
    <row r="818" spans="4:14" ht="15" customHeight="1" x14ac:dyDescent="0.3">
      <c r="D818" s="69"/>
      <c r="E818" s="69"/>
      <c r="F818" s="69"/>
      <c r="G818" s="69"/>
      <c r="H818" s="69"/>
      <c r="I818" s="69"/>
      <c r="J818" s="69"/>
      <c r="K818" s="69"/>
      <c r="L818" s="69"/>
      <c r="M818" s="71"/>
      <c r="N818" s="69"/>
    </row>
    <row r="819" spans="4:14" ht="15" customHeight="1" x14ac:dyDescent="0.3">
      <c r="D819" s="69"/>
      <c r="E819" s="69"/>
      <c r="F819" s="69"/>
      <c r="G819" s="69"/>
      <c r="H819" s="69"/>
      <c r="I819" s="69"/>
      <c r="J819" s="69"/>
      <c r="K819" s="69"/>
      <c r="L819" s="69"/>
      <c r="M819" s="71"/>
      <c r="N819" s="69"/>
    </row>
    <row r="820" spans="4:14" ht="15" customHeight="1" x14ac:dyDescent="0.3">
      <c r="D820" s="69"/>
      <c r="E820" s="69"/>
      <c r="F820" s="69"/>
      <c r="G820" s="69"/>
      <c r="H820" s="69"/>
      <c r="I820" s="69"/>
      <c r="J820" s="69"/>
      <c r="K820" s="69"/>
      <c r="L820" s="69"/>
      <c r="M820" s="71"/>
      <c r="N820" s="69"/>
    </row>
    <row r="821" spans="4:14" ht="15" customHeight="1" x14ac:dyDescent="0.3">
      <c r="D821" s="69"/>
      <c r="E821" s="69"/>
      <c r="F821" s="69"/>
      <c r="G821" s="69"/>
      <c r="H821" s="69"/>
      <c r="I821" s="69"/>
      <c r="J821" s="69"/>
      <c r="K821" s="69"/>
      <c r="L821" s="69"/>
      <c r="M821" s="71"/>
      <c r="N821" s="69"/>
    </row>
    <row r="822" spans="4:14" ht="15" customHeight="1" x14ac:dyDescent="0.3">
      <c r="D822" s="69"/>
      <c r="E822" s="69"/>
      <c r="F822" s="69"/>
      <c r="G822" s="69"/>
      <c r="H822" s="69"/>
      <c r="I822" s="69"/>
      <c r="J822" s="69"/>
      <c r="K822" s="69"/>
      <c r="L822" s="69"/>
      <c r="M822" s="71"/>
      <c r="N822" s="69"/>
    </row>
    <row r="823" spans="4:14" ht="15" customHeight="1" x14ac:dyDescent="0.3">
      <c r="D823" s="69"/>
      <c r="E823" s="69"/>
      <c r="F823" s="69"/>
      <c r="G823" s="69"/>
      <c r="H823" s="69"/>
      <c r="I823" s="69"/>
      <c r="J823" s="69"/>
      <c r="K823" s="69"/>
      <c r="L823" s="69"/>
      <c r="M823" s="71"/>
      <c r="N823" s="69"/>
    </row>
    <row r="824" spans="4:14" ht="15" customHeight="1" x14ac:dyDescent="0.3">
      <c r="D824" s="69"/>
      <c r="E824" s="69"/>
      <c r="F824" s="69"/>
      <c r="G824" s="69"/>
      <c r="H824" s="69"/>
      <c r="I824" s="69"/>
      <c r="J824" s="69"/>
      <c r="K824" s="69"/>
      <c r="L824" s="69"/>
      <c r="M824" s="71"/>
      <c r="N824" s="69"/>
    </row>
  </sheetData>
  <autoFilter ref="A4:M824"/>
  <mergeCells count="11">
    <mergeCell ref="A9:M9"/>
    <mergeCell ref="F14:I14"/>
    <mergeCell ref="A12:A13"/>
    <mergeCell ref="B12:B13"/>
    <mergeCell ref="J12:J13"/>
    <mergeCell ref="F12:I13"/>
    <mergeCell ref="E12:E13"/>
    <mergeCell ref="D12:D13"/>
    <mergeCell ref="C12:C13"/>
    <mergeCell ref="K12:K13"/>
    <mergeCell ref="L12:M12"/>
  </mergeCells>
  <printOptions horizontalCentered="1"/>
  <pageMargins left="1.1811023622047245" right="0.39370078740157483" top="0.78740157480314965" bottom="0.78740157480314965" header="0.31496062992125984" footer="0.31496062992125984"/>
  <pageSetup paperSize="9" scale="56" fitToHeight="0" orientation="portrait" blackAndWhite="1" r:id="rId1"/>
  <headerFooter differentFirst="1">
    <oddHeader>&amp;C&amp;"Times New Roman,обычный"&amp;12&amp;P</oddHeader>
  </headerFooter>
  <rowBreaks count="2" manualBreakCount="2">
    <brk id="686" max="12" man="1"/>
    <brk id="699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Q645"/>
  <sheetViews>
    <sheetView zoomScale="80" zoomScaleNormal="80" workbookViewId="0">
      <pane ySplit="6" topLeftCell="A7" activePane="bottomLeft" state="frozen"/>
      <selection activeCell="E22" sqref="E22"/>
      <selection pane="bottomLeft" activeCell="N16" sqref="N16"/>
    </sheetView>
  </sheetViews>
  <sheetFormatPr defaultColWidth="8.88671875" defaultRowHeight="14.4" x14ac:dyDescent="0.3"/>
  <cols>
    <col min="1" max="1" width="4.6640625" style="1" customWidth="1"/>
    <col min="2" max="2" width="54.44140625" style="1" customWidth="1"/>
    <col min="3" max="3" width="5.5546875" style="1" customWidth="1"/>
    <col min="4" max="4" width="3.6640625" style="1" customWidth="1"/>
    <col min="5" max="5" width="4" style="1" customWidth="1"/>
    <col min="6" max="6" width="3.33203125" style="1" customWidth="1"/>
    <col min="7" max="7" width="2.44140625" style="1" customWidth="1"/>
    <col min="8" max="8" width="2.6640625" style="1" customWidth="1"/>
    <col min="9" max="9" width="7.6640625" style="1" customWidth="1"/>
    <col min="10" max="10" width="5" style="1" customWidth="1"/>
    <col min="11" max="11" width="15" style="1" hidden="1" customWidth="1"/>
    <col min="12" max="12" width="12.44140625" style="1" customWidth="1"/>
    <col min="13" max="13" width="14.33203125" style="118" customWidth="1"/>
    <col min="14" max="14" width="13.77734375" style="118" customWidth="1"/>
    <col min="15" max="16" width="8.88671875" style="1" customWidth="1"/>
    <col min="17" max="17" width="19.33203125" style="1" customWidth="1"/>
    <col min="18" max="16384" width="8.88671875" style="1"/>
  </cols>
  <sheetData>
    <row r="1" spans="1:14" ht="18" x14ac:dyDescent="0.35">
      <c r="N1" s="166" t="s">
        <v>500</v>
      </c>
    </row>
    <row r="2" spans="1:14" ht="18" x14ac:dyDescent="0.35">
      <c r="N2" s="166" t="s">
        <v>546</v>
      </c>
    </row>
    <row r="4" spans="1:14" ht="18" x14ac:dyDescent="0.35">
      <c r="H4" s="43"/>
      <c r="I4" s="47"/>
      <c r="J4" s="43"/>
      <c r="K4" s="43"/>
      <c r="L4" s="43"/>
      <c r="M4" s="43"/>
      <c r="N4" s="47" t="s">
        <v>504</v>
      </c>
    </row>
    <row r="5" spans="1:14" ht="18.75" customHeight="1" x14ac:dyDescent="0.35">
      <c r="H5" s="43"/>
      <c r="I5" s="47"/>
      <c r="J5" s="43"/>
      <c r="K5" s="43"/>
      <c r="L5" s="43"/>
      <c r="M5" s="43"/>
      <c r="N5" s="47" t="s">
        <v>545</v>
      </c>
    </row>
    <row r="9" spans="1:14" ht="17.399999999999999" customHeight="1" x14ac:dyDescent="0.3">
      <c r="A9" s="601" t="s">
        <v>495</v>
      </c>
      <c r="B9" s="601"/>
      <c r="C9" s="601"/>
      <c r="D9" s="601"/>
      <c r="E9" s="601"/>
      <c r="F9" s="601"/>
      <c r="G9" s="601"/>
      <c r="H9" s="601"/>
      <c r="I9" s="601"/>
      <c r="J9" s="601"/>
      <c r="K9" s="601"/>
      <c r="L9" s="601"/>
      <c r="M9" s="601"/>
      <c r="N9" s="601"/>
    </row>
    <row r="10" spans="1:14" ht="17.399999999999999" customHeight="1" x14ac:dyDescent="0.3">
      <c r="A10" s="570"/>
      <c r="B10" s="570"/>
      <c r="C10" s="570"/>
      <c r="D10" s="570"/>
      <c r="E10" s="570"/>
      <c r="F10" s="570"/>
      <c r="G10" s="570"/>
      <c r="H10" s="570"/>
      <c r="I10" s="570"/>
      <c r="J10" s="570"/>
      <c r="K10" s="570"/>
      <c r="L10" s="570"/>
      <c r="M10" s="570"/>
      <c r="N10" s="570"/>
    </row>
    <row r="11" spans="1:14" ht="17.399999999999999" customHeight="1" x14ac:dyDescent="0.3">
      <c r="A11" s="570"/>
      <c r="B11" s="570"/>
      <c r="C11" s="570"/>
      <c r="D11" s="570"/>
      <c r="E11" s="570"/>
      <c r="F11" s="570"/>
      <c r="G11" s="570"/>
      <c r="H11" s="570"/>
      <c r="I11" s="570"/>
      <c r="J11" s="570"/>
      <c r="K11" s="570"/>
      <c r="L11" s="570"/>
      <c r="M11" s="570"/>
      <c r="N11" s="570"/>
    </row>
    <row r="12" spans="1:14" ht="18" x14ac:dyDescent="0.35">
      <c r="A12" s="2"/>
      <c r="B12" s="3"/>
      <c r="C12" s="4"/>
      <c r="D12" s="4"/>
      <c r="E12" s="4"/>
      <c r="F12" s="4"/>
      <c r="G12" s="2"/>
      <c r="H12" s="5"/>
      <c r="I12" s="6"/>
      <c r="J12" s="7"/>
      <c r="K12" s="7"/>
      <c r="L12" s="7"/>
      <c r="N12" s="119" t="s">
        <v>17</v>
      </c>
    </row>
    <row r="13" spans="1:14" ht="18" customHeight="1" x14ac:dyDescent="0.3">
      <c r="A13" s="621" t="s">
        <v>18</v>
      </c>
      <c r="B13" s="622" t="s">
        <v>19</v>
      </c>
      <c r="C13" s="623" t="s">
        <v>20</v>
      </c>
      <c r="D13" s="623" t="s">
        <v>21</v>
      </c>
      <c r="E13" s="623" t="s">
        <v>22</v>
      </c>
      <c r="F13" s="624" t="s">
        <v>23</v>
      </c>
      <c r="G13" s="623"/>
      <c r="H13" s="623"/>
      <c r="I13" s="623"/>
      <c r="J13" s="623" t="s">
        <v>24</v>
      </c>
      <c r="K13" s="629" t="s">
        <v>519</v>
      </c>
      <c r="L13" s="627" t="s">
        <v>433</v>
      </c>
      <c r="M13" s="628"/>
      <c r="N13" s="625" t="s">
        <v>491</v>
      </c>
    </row>
    <row r="14" spans="1:14" ht="35.4" customHeight="1" x14ac:dyDescent="0.35">
      <c r="A14" s="621"/>
      <c r="B14" s="622"/>
      <c r="C14" s="623"/>
      <c r="D14" s="623"/>
      <c r="E14" s="623"/>
      <c r="F14" s="624"/>
      <c r="G14" s="623"/>
      <c r="H14" s="623"/>
      <c r="I14" s="623"/>
      <c r="J14" s="623"/>
      <c r="K14" s="630"/>
      <c r="L14" s="560" t="s">
        <v>548</v>
      </c>
      <c r="M14" s="561" t="s">
        <v>549</v>
      </c>
      <c r="N14" s="626"/>
    </row>
    <row r="15" spans="1:14" ht="18" x14ac:dyDescent="0.35">
      <c r="A15" s="8">
        <v>1</v>
      </c>
      <c r="B15" s="9">
        <v>2</v>
      </c>
      <c r="C15" s="10" t="s">
        <v>25</v>
      </c>
      <c r="D15" s="10" t="s">
        <v>26</v>
      </c>
      <c r="E15" s="10" t="s">
        <v>27</v>
      </c>
      <c r="F15" s="603" t="s">
        <v>28</v>
      </c>
      <c r="G15" s="603"/>
      <c r="H15" s="603"/>
      <c r="I15" s="604"/>
      <c r="J15" s="10" t="s">
        <v>29</v>
      </c>
      <c r="K15" s="10"/>
      <c r="L15" s="10" t="s">
        <v>460</v>
      </c>
      <c r="M15" s="39">
        <v>9</v>
      </c>
      <c r="N15" s="39">
        <v>10</v>
      </c>
    </row>
    <row r="16" spans="1:14" ht="25.2" customHeight="1" x14ac:dyDescent="0.3">
      <c r="A16" s="11">
        <v>1</v>
      </c>
      <c r="B16" s="120" t="s">
        <v>197</v>
      </c>
      <c r="C16" s="13"/>
      <c r="D16" s="14"/>
      <c r="E16" s="14"/>
      <c r="F16" s="16"/>
      <c r="G16" s="16"/>
      <c r="H16" s="16"/>
      <c r="I16" s="17"/>
      <c r="J16" s="14"/>
      <c r="K16" s="115">
        <f>K18+K172+K199+K209+K406+K467+K513+K545+K576+K271</f>
        <v>1566366.7000000002</v>
      </c>
      <c r="L16" s="115">
        <f>L18+L172+L199+L209+L406+L467+L513+L545+L576+L271</f>
        <v>6.8212102632969618E-13</v>
      </c>
      <c r="M16" s="115">
        <v>1566366.7000000002</v>
      </c>
      <c r="N16" s="115">
        <v>1597406.2999999998</v>
      </c>
    </row>
    <row r="17" spans="1:14" ht="14.4" customHeight="1" x14ac:dyDescent="0.3">
      <c r="A17" s="11"/>
      <c r="B17" s="12"/>
      <c r="C17" s="13"/>
      <c r="D17" s="14"/>
      <c r="E17" s="14"/>
      <c r="F17" s="16"/>
      <c r="G17" s="16"/>
      <c r="H17" s="16"/>
      <c r="I17" s="17"/>
      <c r="J17" s="14"/>
      <c r="K17" s="115"/>
      <c r="L17" s="115"/>
      <c r="M17" s="115"/>
      <c r="N17" s="115"/>
    </row>
    <row r="18" spans="1:14" s="121" customFormat="1" ht="34.799999999999997" x14ac:dyDescent="0.3">
      <c r="A18" s="116">
        <v>1</v>
      </c>
      <c r="B18" s="18" t="s">
        <v>0</v>
      </c>
      <c r="C18" s="19" t="s">
        <v>1</v>
      </c>
      <c r="D18" s="20"/>
      <c r="E18" s="20"/>
      <c r="F18" s="21"/>
      <c r="G18" s="22"/>
      <c r="H18" s="22"/>
      <c r="I18" s="23"/>
      <c r="J18" s="20"/>
      <c r="K18" s="40">
        <f>K19+K83+K111+K158+K152</f>
        <v>133368.4</v>
      </c>
      <c r="L18" s="40">
        <f>L19+L83+L111+L158+L152</f>
        <v>0</v>
      </c>
      <c r="M18" s="40">
        <v>133368.4</v>
      </c>
      <c r="N18" s="40">
        <v>133058.79999999999</v>
      </c>
    </row>
    <row r="19" spans="1:14" s="122" customFormat="1" ht="18" x14ac:dyDescent="0.35">
      <c r="A19" s="11"/>
      <c r="B19" s="24" t="s">
        <v>31</v>
      </c>
      <c r="C19" s="25" t="s">
        <v>1</v>
      </c>
      <c r="D19" s="10" t="s">
        <v>32</v>
      </c>
      <c r="E19" s="10"/>
      <c r="F19" s="571"/>
      <c r="G19" s="572"/>
      <c r="H19" s="572"/>
      <c r="I19" s="573"/>
      <c r="J19" s="10"/>
      <c r="K19" s="26">
        <f>K20+K26+K55+K49+K60</f>
        <v>88248.999999999971</v>
      </c>
      <c r="L19" s="26">
        <f>L20+L26+L55+L49+L60</f>
        <v>0</v>
      </c>
      <c r="M19" s="26">
        <v>88248.999999999971</v>
      </c>
      <c r="N19" s="26">
        <v>88286.599999999977</v>
      </c>
    </row>
    <row r="20" spans="1:14" s="117" customFormat="1" ht="54" x14ac:dyDescent="0.35">
      <c r="A20" s="11"/>
      <c r="B20" s="24" t="s">
        <v>33</v>
      </c>
      <c r="C20" s="25" t="s">
        <v>1</v>
      </c>
      <c r="D20" s="10" t="s">
        <v>32</v>
      </c>
      <c r="E20" s="10" t="s">
        <v>34</v>
      </c>
      <c r="F20" s="571"/>
      <c r="G20" s="572"/>
      <c r="H20" s="572"/>
      <c r="I20" s="573"/>
      <c r="J20" s="10"/>
      <c r="K20" s="26">
        <f t="shared" ref="K20:N24" si="0">K21</f>
        <v>2128.5</v>
      </c>
      <c r="L20" s="26">
        <f t="shared" si="0"/>
        <v>0</v>
      </c>
      <c r="M20" s="26">
        <v>2128.5</v>
      </c>
      <c r="N20" s="26">
        <v>2128.5</v>
      </c>
    </row>
    <row r="21" spans="1:14" s="117" customFormat="1" ht="59.25" customHeight="1" x14ac:dyDescent="0.35">
      <c r="A21" s="11"/>
      <c r="B21" s="24" t="s">
        <v>35</v>
      </c>
      <c r="C21" s="25" t="s">
        <v>1</v>
      </c>
      <c r="D21" s="10" t="s">
        <v>32</v>
      </c>
      <c r="E21" s="10" t="s">
        <v>34</v>
      </c>
      <c r="F21" s="571" t="s">
        <v>36</v>
      </c>
      <c r="G21" s="572" t="s">
        <v>37</v>
      </c>
      <c r="H21" s="572" t="s">
        <v>38</v>
      </c>
      <c r="I21" s="573" t="s">
        <v>39</v>
      </c>
      <c r="J21" s="10"/>
      <c r="K21" s="26">
        <f t="shared" si="0"/>
        <v>2128.5</v>
      </c>
      <c r="L21" s="26">
        <f t="shared" si="0"/>
        <v>0</v>
      </c>
      <c r="M21" s="26">
        <v>2128.5</v>
      </c>
      <c r="N21" s="26">
        <v>2128.5</v>
      </c>
    </row>
    <row r="22" spans="1:14" s="117" customFormat="1" ht="36" x14ac:dyDescent="0.35">
      <c r="A22" s="11"/>
      <c r="B22" s="24" t="s">
        <v>328</v>
      </c>
      <c r="C22" s="25" t="s">
        <v>1</v>
      </c>
      <c r="D22" s="10" t="s">
        <v>32</v>
      </c>
      <c r="E22" s="10" t="s">
        <v>34</v>
      </c>
      <c r="F22" s="571" t="s">
        <v>36</v>
      </c>
      <c r="G22" s="572" t="s">
        <v>40</v>
      </c>
      <c r="H22" s="572" t="s">
        <v>38</v>
      </c>
      <c r="I22" s="573" t="s">
        <v>39</v>
      </c>
      <c r="J22" s="10"/>
      <c r="K22" s="26">
        <f t="shared" si="0"/>
        <v>2128.5</v>
      </c>
      <c r="L22" s="26">
        <f t="shared" si="0"/>
        <v>0</v>
      </c>
      <c r="M22" s="26">
        <v>2128.5</v>
      </c>
      <c r="N22" s="26">
        <v>2128.5</v>
      </c>
    </row>
    <row r="23" spans="1:14" s="117" customFormat="1" ht="54" x14ac:dyDescent="0.35">
      <c r="A23" s="11"/>
      <c r="B23" s="24" t="s">
        <v>41</v>
      </c>
      <c r="C23" s="25" t="s">
        <v>1</v>
      </c>
      <c r="D23" s="10" t="s">
        <v>32</v>
      </c>
      <c r="E23" s="10" t="s">
        <v>34</v>
      </c>
      <c r="F23" s="571" t="s">
        <v>36</v>
      </c>
      <c r="G23" s="572" t="s">
        <v>40</v>
      </c>
      <c r="H23" s="572" t="s">
        <v>32</v>
      </c>
      <c r="I23" s="573" t="s">
        <v>39</v>
      </c>
      <c r="J23" s="10"/>
      <c r="K23" s="26">
        <f t="shared" si="0"/>
        <v>2128.5</v>
      </c>
      <c r="L23" s="26">
        <f t="shared" si="0"/>
        <v>0</v>
      </c>
      <c r="M23" s="26">
        <v>2128.5</v>
      </c>
      <c r="N23" s="26">
        <v>2128.5</v>
      </c>
    </row>
    <row r="24" spans="1:14" s="117" customFormat="1" ht="36" x14ac:dyDescent="0.35">
      <c r="A24" s="11"/>
      <c r="B24" s="24" t="s">
        <v>42</v>
      </c>
      <c r="C24" s="25" t="s">
        <v>1</v>
      </c>
      <c r="D24" s="10" t="s">
        <v>32</v>
      </c>
      <c r="E24" s="10" t="s">
        <v>34</v>
      </c>
      <c r="F24" s="571" t="s">
        <v>36</v>
      </c>
      <c r="G24" s="572" t="s">
        <v>40</v>
      </c>
      <c r="H24" s="572" t="s">
        <v>32</v>
      </c>
      <c r="I24" s="573" t="s">
        <v>43</v>
      </c>
      <c r="J24" s="10"/>
      <c r="K24" s="26">
        <f t="shared" si="0"/>
        <v>2128.5</v>
      </c>
      <c r="L24" s="26">
        <f t="shared" si="0"/>
        <v>0</v>
      </c>
      <c r="M24" s="26">
        <v>2128.5</v>
      </c>
      <c r="N24" s="26">
        <v>2128.5</v>
      </c>
    </row>
    <row r="25" spans="1:14" s="117" customFormat="1" ht="108" x14ac:dyDescent="0.35">
      <c r="A25" s="11"/>
      <c r="B25" s="24" t="s">
        <v>44</v>
      </c>
      <c r="C25" s="25" t="s">
        <v>1</v>
      </c>
      <c r="D25" s="10" t="s">
        <v>32</v>
      </c>
      <c r="E25" s="10" t="s">
        <v>34</v>
      </c>
      <c r="F25" s="571" t="s">
        <v>36</v>
      </c>
      <c r="G25" s="572" t="s">
        <v>40</v>
      </c>
      <c r="H25" s="572" t="s">
        <v>32</v>
      </c>
      <c r="I25" s="573" t="s">
        <v>43</v>
      </c>
      <c r="J25" s="10" t="s">
        <v>45</v>
      </c>
      <c r="K25" s="26">
        <v>2128.5</v>
      </c>
      <c r="L25" s="26">
        <f>M25-K25</f>
        <v>0</v>
      </c>
      <c r="M25" s="26">
        <v>2128.5</v>
      </c>
      <c r="N25" s="26">
        <v>2128.5</v>
      </c>
    </row>
    <row r="26" spans="1:14" s="122" customFormat="1" ht="77.25" customHeight="1" x14ac:dyDescent="0.35">
      <c r="A26" s="11"/>
      <c r="B26" s="24" t="s">
        <v>46</v>
      </c>
      <c r="C26" s="25" t="s">
        <v>1</v>
      </c>
      <c r="D26" s="10" t="s">
        <v>32</v>
      </c>
      <c r="E26" s="10" t="s">
        <v>47</v>
      </c>
      <c r="F26" s="571"/>
      <c r="G26" s="572"/>
      <c r="H26" s="572"/>
      <c r="I26" s="573"/>
      <c r="J26" s="10"/>
      <c r="K26" s="26">
        <f t="shared" ref="K26:N27" si="1">K27</f>
        <v>76352.699999999968</v>
      </c>
      <c r="L26" s="26">
        <f t="shared" si="1"/>
        <v>0</v>
      </c>
      <c r="M26" s="26">
        <v>76352.699999999968</v>
      </c>
      <c r="N26" s="26">
        <v>76393.499999999971</v>
      </c>
    </row>
    <row r="27" spans="1:14" s="122" customFormat="1" ht="54" x14ac:dyDescent="0.35">
      <c r="A27" s="11"/>
      <c r="B27" s="24" t="s">
        <v>48</v>
      </c>
      <c r="C27" s="25" t="s">
        <v>1</v>
      </c>
      <c r="D27" s="10" t="s">
        <v>32</v>
      </c>
      <c r="E27" s="10" t="s">
        <v>47</v>
      </c>
      <c r="F27" s="571" t="s">
        <v>36</v>
      </c>
      <c r="G27" s="572" t="s">
        <v>37</v>
      </c>
      <c r="H27" s="572" t="s">
        <v>38</v>
      </c>
      <c r="I27" s="573" t="s">
        <v>39</v>
      </c>
      <c r="J27" s="10"/>
      <c r="K27" s="26">
        <f t="shared" si="1"/>
        <v>76352.699999999968</v>
      </c>
      <c r="L27" s="26">
        <f t="shared" si="1"/>
        <v>0</v>
      </c>
      <c r="M27" s="26">
        <v>76352.699999999968</v>
      </c>
      <c r="N27" s="26">
        <v>76393.499999999971</v>
      </c>
    </row>
    <row r="28" spans="1:14" s="7" customFormat="1" ht="36" x14ac:dyDescent="0.35">
      <c r="A28" s="11"/>
      <c r="B28" s="24" t="s">
        <v>328</v>
      </c>
      <c r="C28" s="25" t="s">
        <v>1</v>
      </c>
      <c r="D28" s="10" t="s">
        <v>32</v>
      </c>
      <c r="E28" s="10" t="s">
        <v>47</v>
      </c>
      <c r="F28" s="571" t="s">
        <v>36</v>
      </c>
      <c r="G28" s="572" t="s">
        <v>40</v>
      </c>
      <c r="H28" s="572" t="s">
        <v>38</v>
      </c>
      <c r="I28" s="573" t="s">
        <v>39</v>
      </c>
      <c r="J28" s="10"/>
      <c r="K28" s="26">
        <f>K29+K46</f>
        <v>76352.699999999968</v>
      </c>
      <c r="L28" s="26">
        <f>L29+L46</f>
        <v>0</v>
      </c>
      <c r="M28" s="26">
        <v>76352.699999999968</v>
      </c>
      <c r="N28" s="26">
        <v>76393.499999999971</v>
      </c>
    </row>
    <row r="29" spans="1:14" s="7" customFormat="1" ht="36" x14ac:dyDescent="0.35">
      <c r="A29" s="11"/>
      <c r="B29" s="24" t="s">
        <v>49</v>
      </c>
      <c r="C29" s="25" t="s">
        <v>1</v>
      </c>
      <c r="D29" s="10" t="s">
        <v>32</v>
      </c>
      <c r="E29" s="10" t="s">
        <v>47</v>
      </c>
      <c r="F29" s="571" t="s">
        <v>36</v>
      </c>
      <c r="G29" s="572" t="s">
        <v>40</v>
      </c>
      <c r="H29" s="572" t="s">
        <v>34</v>
      </c>
      <c r="I29" s="573" t="s">
        <v>39</v>
      </c>
      <c r="J29" s="10"/>
      <c r="K29" s="26">
        <f>K30+K36+K38+K34+K41+K43</f>
        <v>76225.299999999974</v>
      </c>
      <c r="L29" s="26">
        <f>L30+L36+L38+L34+L41+L43</f>
        <v>0</v>
      </c>
      <c r="M29" s="26">
        <v>76225.299999999974</v>
      </c>
      <c r="N29" s="26">
        <v>76309.099999999977</v>
      </c>
    </row>
    <row r="30" spans="1:14" s="117" customFormat="1" ht="36" x14ac:dyDescent="0.35">
      <c r="A30" s="11"/>
      <c r="B30" s="24" t="s">
        <v>42</v>
      </c>
      <c r="C30" s="25" t="s">
        <v>1</v>
      </c>
      <c r="D30" s="10" t="s">
        <v>32</v>
      </c>
      <c r="E30" s="10" t="s">
        <v>47</v>
      </c>
      <c r="F30" s="571" t="s">
        <v>36</v>
      </c>
      <c r="G30" s="572" t="s">
        <v>40</v>
      </c>
      <c r="H30" s="572" t="s">
        <v>34</v>
      </c>
      <c r="I30" s="573" t="s">
        <v>43</v>
      </c>
      <c r="J30" s="10"/>
      <c r="K30" s="26">
        <f>K31+K32+K33</f>
        <v>71195.999999999985</v>
      </c>
      <c r="L30" s="26">
        <f>L31+L32+L33</f>
        <v>0</v>
      </c>
      <c r="M30" s="26">
        <v>71195.999999999985</v>
      </c>
      <c r="N30" s="26">
        <v>71279.799999999988</v>
      </c>
    </row>
    <row r="31" spans="1:14" s="117" customFormat="1" ht="108" x14ac:dyDescent="0.35">
      <c r="A31" s="11"/>
      <c r="B31" s="24" t="s">
        <v>44</v>
      </c>
      <c r="C31" s="25" t="s">
        <v>1</v>
      </c>
      <c r="D31" s="10" t="s">
        <v>32</v>
      </c>
      <c r="E31" s="10" t="s">
        <v>47</v>
      </c>
      <c r="F31" s="571" t="s">
        <v>36</v>
      </c>
      <c r="G31" s="572" t="s">
        <v>40</v>
      </c>
      <c r="H31" s="572" t="s">
        <v>34</v>
      </c>
      <c r="I31" s="573" t="s">
        <v>43</v>
      </c>
      <c r="J31" s="10" t="s">
        <v>45</v>
      </c>
      <c r="K31" s="26">
        <f>62000+168.5+3209.7</f>
        <v>65378.2</v>
      </c>
      <c r="L31" s="26">
        <f>M31-K31</f>
        <v>0</v>
      </c>
      <c r="M31" s="26">
        <v>65378.2</v>
      </c>
      <c r="N31" s="26">
        <v>65378.2</v>
      </c>
    </row>
    <row r="32" spans="1:14" s="7" customFormat="1" ht="54" x14ac:dyDescent="0.35">
      <c r="A32" s="11"/>
      <c r="B32" s="24" t="s">
        <v>50</v>
      </c>
      <c r="C32" s="25" t="s">
        <v>1</v>
      </c>
      <c r="D32" s="10" t="s">
        <v>32</v>
      </c>
      <c r="E32" s="10" t="s">
        <v>47</v>
      </c>
      <c r="F32" s="571" t="s">
        <v>36</v>
      </c>
      <c r="G32" s="572" t="s">
        <v>40</v>
      </c>
      <c r="H32" s="572" t="s">
        <v>34</v>
      </c>
      <c r="I32" s="573" t="s">
        <v>43</v>
      </c>
      <c r="J32" s="10" t="s">
        <v>51</v>
      </c>
      <c r="K32" s="26">
        <f>6097.2-380.3</f>
        <v>5716.9</v>
      </c>
      <c r="L32" s="26">
        <f>M32-K32</f>
        <v>0</v>
      </c>
      <c r="M32" s="26">
        <v>5716.9</v>
      </c>
      <c r="N32" s="26">
        <v>5800.7</v>
      </c>
    </row>
    <row r="33" spans="1:14" s="117" customFormat="1" ht="18" x14ac:dyDescent="0.35">
      <c r="A33" s="11"/>
      <c r="B33" s="24" t="s">
        <v>52</v>
      </c>
      <c r="C33" s="25" t="s">
        <v>1</v>
      </c>
      <c r="D33" s="10" t="s">
        <v>32</v>
      </c>
      <c r="E33" s="10" t="s">
        <v>47</v>
      </c>
      <c r="F33" s="571" t="s">
        <v>36</v>
      </c>
      <c r="G33" s="572" t="s">
        <v>40</v>
      </c>
      <c r="H33" s="572" t="s">
        <v>34</v>
      </c>
      <c r="I33" s="573" t="s">
        <v>43</v>
      </c>
      <c r="J33" s="10" t="s">
        <v>53</v>
      </c>
      <c r="K33" s="26">
        <v>100.9</v>
      </c>
      <c r="L33" s="26">
        <f>M33-K33</f>
        <v>0</v>
      </c>
      <c r="M33" s="26">
        <v>100.9</v>
      </c>
      <c r="N33" s="26">
        <v>100.9</v>
      </c>
    </row>
    <row r="34" spans="1:14" s="122" customFormat="1" ht="94.5" customHeight="1" x14ac:dyDescent="0.35">
      <c r="A34" s="11"/>
      <c r="B34" s="24" t="s">
        <v>421</v>
      </c>
      <c r="C34" s="25" t="s">
        <v>1</v>
      </c>
      <c r="D34" s="10" t="s">
        <v>32</v>
      </c>
      <c r="E34" s="10" t="s">
        <v>47</v>
      </c>
      <c r="F34" s="571" t="s">
        <v>36</v>
      </c>
      <c r="G34" s="572" t="s">
        <v>40</v>
      </c>
      <c r="H34" s="572" t="s">
        <v>34</v>
      </c>
      <c r="I34" s="573" t="s">
        <v>253</v>
      </c>
      <c r="J34" s="10"/>
      <c r="K34" s="26">
        <f>K35</f>
        <v>63</v>
      </c>
      <c r="L34" s="26">
        <f>L35</f>
        <v>0</v>
      </c>
      <c r="M34" s="26">
        <v>63</v>
      </c>
      <c r="N34" s="26">
        <v>63</v>
      </c>
    </row>
    <row r="35" spans="1:14" s="122" customFormat="1" ht="54" x14ac:dyDescent="0.35">
      <c r="A35" s="11"/>
      <c r="B35" s="24" t="s">
        <v>50</v>
      </c>
      <c r="C35" s="25" t="s">
        <v>1</v>
      </c>
      <c r="D35" s="10" t="s">
        <v>32</v>
      </c>
      <c r="E35" s="10" t="s">
        <v>47</v>
      </c>
      <c r="F35" s="571" t="s">
        <v>36</v>
      </c>
      <c r="G35" s="572" t="s">
        <v>40</v>
      </c>
      <c r="H35" s="572" t="s">
        <v>34</v>
      </c>
      <c r="I35" s="573" t="s">
        <v>253</v>
      </c>
      <c r="J35" s="10" t="s">
        <v>51</v>
      </c>
      <c r="K35" s="26">
        <v>63</v>
      </c>
      <c r="L35" s="26">
        <f>M35-K35</f>
        <v>0</v>
      </c>
      <c r="M35" s="26">
        <v>63</v>
      </c>
      <c r="N35" s="26">
        <v>63</v>
      </c>
    </row>
    <row r="36" spans="1:14" s="122" customFormat="1" ht="198" x14ac:dyDescent="0.35">
      <c r="A36" s="11"/>
      <c r="B36" s="44" t="s">
        <v>429</v>
      </c>
      <c r="C36" s="25" t="s">
        <v>1</v>
      </c>
      <c r="D36" s="10" t="s">
        <v>32</v>
      </c>
      <c r="E36" s="10" t="s">
        <v>47</v>
      </c>
      <c r="F36" s="571" t="s">
        <v>36</v>
      </c>
      <c r="G36" s="572" t="s">
        <v>40</v>
      </c>
      <c r="H36" s="572" t="s">
        <v>34</v>
      </c>
      <c r="I36" s="573" t="s">
        <v>54</v>
      </c>
      <c r="J36" s="10"/>
      <c r="K36" s="26">
        <f>K37</f>
        <v>661.9</v>
      </c>
      <c r="L36" s="26">
        <f>L37</f>
        <v>0</v>
      </c>
      <c r="M36" s="26">
        <v>661.9</v>
      </c>
      <c r="N36" s="26">
        <v>661.9</v>
      </c>
    </row>
    <row r="37" spans="1:14" s="122" customFormat="1" ht="108" x14ac:dyDescent="0.35">
      <c r="A37" s="11"/>
      <c r="B37" s="24" t="s">
        <v>44</v>
      </c>
      <c r="C37" s="25" t="s">
        <v>1</v>
      </c>
      <c r="D37" s="10" t="s">
        <v>32</v>
      </c>
      <c r="E37" s="10" t="s">
        <v>47</v>
      </c>
      <c r="F37" s="571" t="s">
        <v>36</v>
      </c>
      <c r="G37" s="572" t="s">
        <v>40</v>
      </c>
      <c r="H37" s="572" t="s">
        <v>34</v>
      </c>
      <c r="I37" s="573" t="s">
        <v>54</v>
      </c>
      <c r="J37" s="10" t="s">
        <v>45</v>
      </c>
      <c r="K37" s="26">
        <v>661.9</v>
      </c>
      <c r="L37" s="26">
        <f>M37-K37</f>
        <v>0</v>
      </c>
      <c r="M37" s="26">
        <v>661.9</v>
      </c>
      <c r="N37" s="26">
        <v>661.9</v>
      </c>
    </row>
    <row r="38" spans="1:14" s="122" customFormat="1" ht="72" x14ac:dyDescent="0.35">
      <c r="A38" s="11"/>
      <c r="B38" s="24" t="s">
        <v>397</v>
      </c>
      <c r="C38" s="25" t="s">
        <v>1</v>
      </c>
      <c r="D38" s="10" t="s">
        <v>32</v>
      </c>
      <c r="E38" s="10" t="s">
        <v>47</v>
      </c>
      <c r="F38" s="571" t="s">
        <v>36</v>
      </c>
      <c r="G38" s="572" t="s">
        <v>40</v>
      </c>
      <c r="H38" s="572" t="s">
        <v>34</v>
      </c>
      <c r="I38" s="573" t="s">
        <v>56</v>
      </c>
      <c r="J38" s="10"/>
      <c r="K38" s="26">
        <f>K39+K40</f>
        <v>662.19999999999993</v>
      </c>
      <c r="L38" s="26">
        <f>L39+L40</f>
        <v>0</v>
      </c>
      <c r="M38" s="26">
        <v>662.19999999999993</v>
      </c>
      <c r="N38" s="26">
        <v>662.19999999999993</v>
      </c>
    </row>
    <row r="39" spans="1:14" s="122" customFormat="1" ht="108" x14ac:dyDescent="0.35">
      <c r="A39" s="11"/>
      <c r="B39" s="24" t="s">
        <v>44</v>
      </c>
      <c r="C39" s="25" t="s">
        <v>1</v>
      </c>
      <c r="D39" s="10" t="s">
        <v>32</v>
      </c>
      <c r="E39" s="10" t="s">
        <v>47</v>
      </c>
      <c r="F39" s="571" t="s">
        <v>36</v>
      </c>
      <c r="G39" s="572" t="s">
        <v>40</v>
      </c>
      <c r="H39" s="572" t="s">
        <v>34</v>
      </c>
      <c r="I39" s="573" t="s">
        <v>56</v>
      </c>
      <c r="J39" s="10" t="s">
        <v>45</v>
      </c>
      <c r="K39" s="26">
        <v>657.8</v>
      </c>
      <c r="L39" s="26">
        <f>M39-K39</f>
        <v>0</v>
      </c>
      <c r="M39" s="26">
        <v>657.8</v>
      </c>
      <c r="N39" s="26">
        <v>657.8</v>
      </c>
    </row>
    <row r="40" spans="1:14" s="122" customFormat="1" ht="54" x14ac:dyDescent="0.35">
      <c r="A40" s="11"/>
      <c r="B40" s="24" t="s">
        <v>50</v>
      </c>
      <c r="C40" s="25" t="s">
        <v>1</v>
      </c>
      <c r="D40" s="10" t="s">
        <v>32</v>
      </c>
      <c r="E40" s="10" t="s">
        <v>47</v>
      </c>
      <c r="F40" s="571" t="s">
        <v>36</v>
      </c>
      <c r="G40" s="572" t="s">
        <v>40</v>
      </c>
      <c r="H40" s="572" t="s">
        <v>34</v>
      </c>
      <c r="I40" s="573" t="s">
        <v>56</v>
      </c>
      <c r="J40" s="10" t="s">
        <v>51</v>
      </c>
      <c r="K40" s="26">
        <v>4.4000000000000004</v>
      </c>
      <c r="L40" s="26">
        <f>M40-K40</f>
        <v>0</v>
      </c>
      <c r="M40" s="26">
        <v>4.4000000000000004</v>
      </c>
      <c r="N40" s="26">
        <v>4.4000000000000004</v>
      </c>
    </row>
    <row r="41" spans="1:14" s="122" customFormat="1" ht="180" x14ac:dyDescent="0.35">
      <c r="A41" s="11"/>
      <c r="B41" s="44" t="s">
        <v>365</v>
      </c>
      <c r="C41" s="25" t="s">
        <v>1</v>
      </c>
      <c r="D41" s="10" t="s">
        <v>32</v>
      </c>
      <c r="E41" s="10" t="s">
        <v>47</v>
      </c>
      <c r="F41" s="571" t="s">
        <v>36</v>
      </c>
      <c r="G41" s="572" t="s">
        <v>40</v>
      </c>
      <c r="H41" s="572" t="s">
        <v>34</v>
      </c>
      <c r="I41" s="573" t="s">
        <v>364</v>
      </c>
      <c r="J41" s="10"/>
      <c r="K41" s="26">
        <f>K42</f>
        <v>63</v>
      </c>
      <c r="L41" s="26">
        <f>L42</f>
        <v>0</v>
      </c>
      <c r="M41" s="26">
        <v>63</v>
      </c>
      <c r="N41" s="26">
        <v>63</v>
      </c>
    </row>
    <row r="42" spans="1:14" s="122" customFormat="1" ht="54" x14ac:dyDescent="0.35">
      <c r="A42" s="11"/>
      <c r="B42" s="24" t="s">
        <v>50</v>
      </c>
      <c r="C42" s="25" t="s">
        <v>1</v>
      </c>
      <c r="D42" s="10" t="s">
        <v>32</v>
      </c>
      <c r="E42" s="10" t="s">
        <v>47</v>
      </c>
      <c r="F42" s="571" t="s">
        <v>36</v>
      </c>
      <c r="G42" s="572" t="s">
        <v>40</v>
      </c>
      <c r="H42" s="572" t="s">
        <v>34</v>
      </c>
      <c r="I42" s="573" t="s">
        <v>364</v>
      </c>
      <c r="J42" s="10" t="s">
        <v>51</v>
      </c>
      <c r="K42" s="26">
        <v>63</v>
      </c>
      <c r="L42" s="26">
        <f>M42-K42</f>
        <v>0</v>
      </c>
      <c r="M42" s="26">
        <v>63</v>
      </c>
      <c r="N42" s="26">
        <v>63</v>
      </c>
    </row>
    <row r="43" spans="1:14" s="122" customFormat="1" ht="72" x14ac:dyDescent="0.35">
      <c r="A43" s="11"/>
      <c r="B43" s="24" t="s">
        <v>55</v>
      </c>
      <c r="C43" s="25" t="s">
        <v>1</v>
      </c>
      <c r="D43" s="10" t="s">
        <v>32</v>
      </c>
      <c r="E43" s="10" t="s">
        <v>47</v>
      </c>
      <c r="F43" s="571" t="s">
        <v>36</v>
      </c>
      <c r="G43" s="572" t="s">
        <v>40</v>
      </c>
      <c r="H43" s="572" t="s">
        <v>34</v>
      </c>
      <c r="I43" s="573" t="s">
        <v>530</v>
      </c>
      <c r="J43" s="10"/>
      <c r="K43" s="26">
        <f>SUM(K44:K45)</f>
        <v>3579.2</v>
      </c>
      <c r="L43" s="26">
        <f>SUM(L44:L45)</f>
        <v>0</v>
      </c>
      <c r="M43" s="26">
        <v>3579.2</v>
      </c>
      <c r="N43" s="26">
        <v>3579.2</v>
      </c>
    </row>
    <row r="44" spans="1:14" s="122" customFormat="1" ht="108" x14ac:dyDescent="0.35">
      <c r="A44" s="11"/>
      <c r="B44" s="24" t="s">
        <v>44</v>
      </c>
      <c r="C44" s="25" t="s">
        <v>1</v>
      </c>
      <c r="D44" s="10" t="s">
        <v>32</v>
      </c>
      <c r="E44" s="10" t="s">
        <v>47</v>
      </c>
      <c r="F44" s="571" t="s">
        <v>36</v>
      </c>
      <c r="G44" s="572" t="s">
        <v>40</v>
      </c>
      <c r="H44" s="572" t="s">
        <v>34</v>
      </c>
      <c r="I44" s="573" t="s">
        <v>530</v>
      </c>
      <c r="J44" s="10" t="s">
        <v>45</v>
      </c>
      <c r="K44" s="26">
        <v>3387.6</v>
      </c>
      <c r="L44" s="26">
        <f>M44-K44</f>
        <v>0</v>
      </c>
      <c r="M44" s="26">
        <v>3387.6</v>
      </c>
      <c r="N44" s="26">
        <v>3387.6</v>
      </c>
    </row>
    <row r="45" spans="1:14" s="122" customFormat="1" ht="54" x14ac:dyDescent="0.35">
      <c r="A45" s="11"/>
      <c r="B45" s="24" t="s">
        <v>50</v>
      </c>
      <c r="C45" s="25" t="s">
        <v>1</v>
      </c>
      <c r="D45" s="10" t="s">
        <v>32</v>
      </c>
      <c r="E45" s="10" t="s">
        <v>47</v>
      </c>
      <c r="F45" s="571" t="s">
        <v>36</v>
      </c>
      <c r="G45" s="572" t="s">
        <v>40</v>
      </c>
      <c r="H45" s="572" t="s">
        <v>34</v>
      </c>
      <c r="I45" s="573" t="s">
        <v>530</v>
      </c>
      <c r="J45" s="10" t="s">
        <v>51</v>
      </c>
      <c r="K45" s="26">
        <v>191.6</v>
      </c>
      <c r="L45" s="26">
        <f>M45-K45</f>
        <v>0</v>
      </c>
      <c r="M45" s="26">
        <v>191.6</v>
      </c>
      <c r="N45" s="26">
        <v>191.6</v>
      </c>
    </row>
    <row r="46" spans="1:14" s="7" customFormat="1" ht="18" x14ac:dyDescent="0.35">
      <c r="A46" s="11"/>
      <c r="B46" s="24" t="s">
        <v>57</v>
      </c>
      <c r="C46" s="25" t="s">
        <v>1</v>
      </c>
      <c r="D46" s="10" t="s">
        <v>32</v>
      </c>
      <c r="E46" s="10" t="s">
        <v>47</v>
      </c>
      <c r="F46" s="571" t="s">
        <v>36</v>
      </c>
      <c r="G46" s="572" t="s">
        <v>40</v>
      </c>
      <c r="H46" s="572" t="s">
        <v>58</v>
      </c>
      <c r="I46" s="573" t="s">
        <v>39</v>
      </c>
      <c r="J46" s="10"/>
      <c r="K46" s="26">
        <f t="shared" ref="K46:N47" si="2">K47</f>
        <v>127.4</v>
      </c>
      <c r="L46" s="26">
        <f t="shared" si="2"/>
        <v>0</v>
      </c>
      <c r="M46" s="26">
        <v>127.4</v>
      </c>
      <c r="N46" s="26">
        <v>84.4</v>
      </c>
    </row>
    <row r="47" spans="1:14" s="117" customFormat="1" ht="36" x14ac:dyDescent="0.35">
      <c r="A47" s="11"/>
      <c r="B47" s="24" t="s">
        <v>42</v>
      </c>
      <c r="C47" s="25" t="s">
        <v>1</v>
      </c>
      <c r="D47" s="10" t="s">
        <v>32</v>
      </c>
      <c r="E47" s="10" t="s">
        <v>47</v>
      </c>
      <c r="F47" s="571" t="s">
        <v>36</v>
      </c>
      <c r="G47" s="572" t="s">
        <v>40</v>
      </c>
      <c r="H47" s="572" t="s">
        <v>58</v>
      </c>
      <c r="I47" s="573" t="s">
        <v>43</v>
      </c>
      <c r="J47" s="10"/>
      <c r="K47" s="26">
        <f t="shared" si="2"/>
        <v>127.4</v>
      </c>
      <c r="L47" s="26">
        <f t="shared" si="2"/>
        <v>0</v>
      </c>
      <c r="M47" s="26">
        <v>127.4</v>
      </c>
      <c r="N47" s="26">
        <v>84.4</v>
      </c>
    </row>
    <row r="48" spans="1:14" s="7" customFormat="1" ht="54" x14ac:dyDescent="0.35">
      <c r="A48" s="11"/>
      <c r="B48" s="24" t="s">
        <v>50</v>
      </c>
      <c r="C48" s="25" t="s">
        <v>1</v>
      </c>
      <c r="D48" s="10" t="s">
        <v>32</v>
      </c>
      <c r="E48" s="10" t="s">
        <v>47</v>
      </c>
      <c r="F48" s="571" t="s">
        <v>36</v>
      </c>
      <c r="G48" s="572" t="s">
        <v>40</v>
      </c>
      <c r="H48" s="572" t="s">
        <v>58</v>
      </c>
      <c r="I48" s="573" t="s">
        <v>43</v>
      </c>
      <c r="J48" s="10" t="s">
        <v>51</v>
      </c>
      <c r="K48" s="26">
        <v>127.4</v>
      </c>
      <c r="L48" s="26">
        <f>M48-K48</f>
        <v>0</v>
      </c>
      <c r="M48" s="26">
        <v>127.4</v>
      </c>
      <c r="N48" s="26">
        <v>84.4</v>
      </c>
    </row>
    <row r="49" spans="1:14" s="7" customFormat="1" ht="18" x14ac:dyDescent="0.35">
      <c r="A49" s="11"/>
      <c r="B49" s="24" t="s">
        <v>383</v>
      </c>
      <c r="C49" s="25" t="s">
        <v>1</v>
      </c>
      <c r="D49" s="10" t="s">
        <v>32</v>
      </c>
      <c r="E49" s="10" t="s">
        <v>60</v>
      </c>
      <c r="F49" s="571"/>
      <c r="G49" s="572"/>
      <c r="H49" s="572"/>
      <c r="I49" s="573"/>
      <c r="J49" s="10"/>
      <c r="K49" s="26">
        <f t="shared" ref="K49:N53" si="3">K50</f>
        <v>24.700000000000003</v>
      </c>
      <c r="L49" s="26">
        <f t="shared" si="3"/>
        <v>0</v>
      </c>
      <c r="M49" s="26">
        <v>24.700000000000003</v>
      </c>
      <c r="N49" s="26">
        <v>21.5</v>
      </c>
    </row>
    <row r="50" spans="1:14" s="7" customFormat="1" ht="58.5" customHeight="1" x14ac:dyDescent="0.35">
      <c r="A50" s="11"/>
      <c r="B50" s="24" t="s">
        <v>48</v>
      </c>
      <c r="C50" s="25" t="s">
        <v>1</v>
      </c>
      <c r="D50" s="10" t="s">
        <v>32</v>
      </c>
      <c r="E50" s="10" t="s">
        <v>60</v>
      </c>
      <c r="F50" s="571" t="s">
        <v>36</v>
      </c>
      <c r="G50" s="572" t="s">
        <v>37</v>
      </c>
      <c r="H50" s="572" t="s">
        <v>38</v>
      </c>
      <c r="I50" s="573" t="s">
        <v>39</v>
      </c>
      <c r="J50" s="10"/>
      <c r="K50" s="26">
        <f t="shared" si="3"/>
        <v>24.700000000000003</v>
      </c>
      <c r="L50" s="26">
        <f t="shared" si="3"/>
        <v>0</v>
      </c>
      <c r="M50" s="26">
        <v>24.700000000000003</v>
      </c>
      <c r="N50" s="26">
        <v>21.5</v>
      </c>
    </row>
    <row r="51" spans="1:14" s="7" customFormat="1" ht="36" x14ac:dyDescent="0.35">
      <c r="A51" s="11"/>
      <c r="B51" s="24" t="s">
        <v>328</v>
      </c>
      <c r="C51" s="25" t="s">
        <v>1</v>
      </c>
      <c r="D51" s="10" t="s">
        <v>32</v>
      </c>
      <c r="E51" s="10" t="s">
        <v>60</v>
      </c>
      <c r="F51" s="571" t="s">
        <v>36</v>
      </c>
      <c r="G51" s="572" t="s">
        <v>40</v>
      </c>
      <c r="H51" s="572" t="s">
        <v>38</v>
      </c>
      <c r="I51" s="573" t="s">
        <v>39</v>
      </c>
      <c r="J51" s="10"/>
      <c r="K51" s="26">
        <f t="shared" si="3"/>
        <v>24.700000000000003</v>
      </c>
      <c r="L51" s="26">
        <f t="shared" si="3"/>
        <v>0</v>
      </c>
      <c r="M51" s="26">
        <v>24.700000000000003</v>
      </c>
      <c r="N51" s="26">
        <v>21.5</v>
      </c>
    </row>
    <row r="52" spans="1:14" s="7" customFormat="1" ht="36" x14ac:dyDescent="0.35">
      <c r="A52" s="11"/>
      <c r="B52" s="24" t="s">
        <v>49</v>
      </c>
      <c r="C52" s="25" t="s">
        <v>1</v>
      </c>
      <c r="D52" s="10" t="s">
        <v>32</v>
      </c>
      <c r="E52" s="10" t="s">
        <v>60</v>
      </c>
      <c r="F52" s="571" t="s">
        <v>36</v>
      </c>
      <c r="G52" s="572" t="s">
        <v>40</v>
      </c>
      <c r="H52" s="572" t="s">
        <v>34</v>
      </c>
      <c r="I52" s="573" t="s">
        <v>39</v>
      </c>
      <c r="J52" s="10"/>
      <c r="K52" s="26">
        <f t="shared" si="3"/>
        <v>24.700000000000003</v>
      </c>
      <c r="L52" s="26">
        <f t="shared" si="3"/>
        <v>0</v>
      </c>
      <c r="M52" s="26">
        <v>24.700000000000003</v>
      </c>
      <c r="N52" s="26">
        <v>21.5</v>
      </c>
    </row>
    <row r="53" spans="1:14" s="7" customFormat="1" ht="76.5" customHeight="1" x14ac:dyDescent="0.35">
      <c r="A53" s="11"/>
      <c r="B53" s="24" t="s">
        <v>385</v>
      </c>
      <c r="C53" s="25" t="s">
        <v>1</v>
      </c>
      <c r="D53" s="10" t="s">
        <v>32</v>
      </c>
      <c r="E53" s="10" t="s">
        <v>60</v>
      </c>
      <c r="F53" s="571" t="s">
        <v>36</v>
      </c>
      <c r="G53" s="572" t="s">
        <v>40</v>
      </c>
      <c r="H53" s="572" t="s">
        <v>34</v>
      </c>
      <c r="I53" s="573" t="s">
        <v>384</v>
      </c>
      <c r="J53" s="10"/>
      <c r="K53" s="26">
        <f t="shared" si="3"/>
        <v>24.700000000000003</v>
      </c>
      <c r="L53" s="26">
        <f t="shared" si="3"/>
        <v>0</v>
      </c>
      <c r="M53" s="26">
        <v>24.700000000000003</v>
      </c>
      <c r="N53" s="26">
        <v>21.5</v>
      </c>
    </row>
    <row r="54" spans="1:14" s="7" customFormat="1" ht="54" x14ac:dyDescent="0.35">
      <c r="A54" s="11"/>
      <c r="B54" s="24" t="s">
        <v>50</v>
      </c>
      <c r="C54" s="25" t="s">
        <v>1</v>
      </c>
      <c r="D54" s="10" t="s">
        <v>32</v>
      </c>
      <c r="E54" s="10" t="s">
        <v>60</v>
      </c>
      <c r="F54" s="571" t="s">
        <v>36</v>
      </c>
      <c r="G54" s="572" t="s">
        <v>40</v>
      </c>
      <c r="H54" s="572" t="s">
        <v>34</v>
      </c>
      <c r="I54" s="573" t="s">
        <v>384</v>
      </c>
      <c r="J54" s="10" t="s">
        <v>51</v>
      </c>
      <c r="K54" s="26">
        <f>6.1+18.6</f>
        <v>24.700000000000003</v>
      </c>
      <c r="L54" s="26">
        <f>M54-K54</f>
        <v>0</v>
      </c>
      <c r="M54" s="26">
        <v>24.700000000000003</v>
      </c>
      <c r="N54" s="26">
        <v>21.5</v>
      </c>
    </row>
    <row r="55" spans="1:14" s="117" customFormat="1" ht="18" x14ac:dyDescent="0.35">
      <c r="A55" s="11"/>
      <c r="B55" s="24" t="s">
        <v>61</v>
      </c>
      <c r="C55" s="25" t="s">
        <v>1</v>
      </c>
      <c r="D55" s="10" t="s">
        <v>32</v>
      </c>
      <c r="E55" s="10" t="s">
        <v>62</v>
      </c>
      <c r="F55" s="571"/>
      <c r="G55" s="572"/>
      <c r="H55" s="572"/>
      <c r="I55" s="573"/>
      <c r="J55" s="10"/>
      <c r="K55" s="26">
        <f t="shared" ref="K55:N58" si="4">K56</f>
        <v>5000</v>
      </c>
      <c r="L55" s="26">
        <f t="shared" si="4"/>
        <v>0</v>
      </c>
      <c r="M55" s="26">
        <v>5000</v>
      </c>
      <c r="N55" s="26">
        <v>5000</v>
      </c>
    </row>
    <row r="56" spans="1:14" s="117" customFormat="1" ht="36" x14ac:dyDescent="0.35">
      <c r="A56" s="11"/>
      <c r="B56" s="24" t="s">
        <v>423</v>
      </c>
      <c r="C56" s="25" t="s">
        <v>1</v>
      </c>
      <c r="D56" s="10" t="s">
        <v>32</v>
      </c>
      <c r="E56" s="10" t="s">
        <v>62</v>
      </c>
      <c r="F56" s="571" t="s">
        <v>63</v>
      </c>
      <c r="G56" s="572" t="s">
        <v>37</v>
      </c>
      <c r="H56" s="572" t="s">
        <v>38</v>
      </c>
      <c r="I56" s="573" t="s">
        <v>39</v>
      </c>
      <c r="J56" s="10"/>
      <c r="K56" s="26">
        <f t="shared" si="4"/>
        <v>5000</v>
      </c>
      <c r="L56" s="26">
        <f t="shared" si="4"/>
        <v>0</v>
      </c>
      <c r="M56" s="26">
        <v>5000</v>
      </c>
      <c r="N56" s="26">
        <v>5000</v>
      </c>
    </row>
    <row r="57" spans="1:14" s="117" customFormat="1" ht="18" x14ac:dyDescent="0.35">
      <c r="A57" s="11"/>
      <c r="B57" s="27" t="s">
        <v>424</v>
      </c>
      <c r="C57" s="25" t="s">
        <v>1</v>
      </c>
      <c r="D57" s="10" t="s">
        <v>32</v>
      </c>
      <c r="E57" s="10" t="s">
        <v>62</v>
      </c>
      <c r="F57" s="571" t="s">
        <v>63</v>
      </c>
      <c r="G57" s="572" t="s">
        <v>40</v>
      </c>
      <c r="H57" s="572" t="s">
        <v>38</v>
      </c>
      <c r="I57" s="573" t="s">
        <v>39</v>
      </c>
      <c r="J57" s="10"/>
      <c r="K57" s="26">
        <f>K58</f>
        <v>5000</v>
      </c>
      <c r="L57" s="26">
        <f>L58</f>
        <v>0</v>
      </c>
      <c r="M57" s="26">
        <v>5000</v>
      </c>
      <c r="N57" s="26">
        <v>5000</v>
      </c>
    </row>
    <row r="58" spans="1:14" s="117" customFormat="1" ht="36" x14ac:dyDescent="0.35">
      <c r="A58" s="11"/>
      <c r="B58" s="24" t="s">
        <v>422</v>
      </c>
      <c r="C58" s="25" t="s">
        <v>1</v>
      </c>
      <c r="D58" s="10" t="s">
        <v>32</v>
      </c>
      <c r="E58" s="10" t="s">
        <v>62</v>
      </c>
      <c r="F58" s="571" t="s">
        <v>63</v>
      </c>
      <c r="G58" s="572" t="s">
        <v>40</v>
      </c>
      <c r="H58" s="572" t="s">
        <v>38</v>
      </c>
      <c r="I58" s="573" t="s">
        <v>64</v>
      </c>
      <c r="J58" s="10"/>
      <c r="K58" s="26">
        <f t="shared" si="4"/>
        <v>5000</v>
      </c>
      <c r="L58" s="26">
        <f t="shared" si="4"/>
        <v>0</v>
      </c>
      <c r="M58" s="26">
        <v>5000</v>
      </c>
      <c r="N58" s="26">
        <v>5000</v>
      </c>
    </row>
    <row r="59" spans="1:14" s="117" customFormat="1" ht="18" x14ac:dyDescent="0.35">
      <c r="A59" s="11"/>
      <c r="B59" s="24" t="s">
        <v>52</v>
      </c>
      <c r="C59" s="25" t="s">
        <v>1</v>
      </c>
      <c r="D59" s="10" t="s">
        <v>32</v>
      </c>
      <c r="E59" s="10" t="s">
        <v>62</v>
      </c>
      <c r="F59" s="571" t="s">
        <v>63</v>
      </c>
      <c r="G59" s="572" t="s">
        <v>40</v>
      </c>
      <c r="H59" s="572" t="s">
        <v>38</v>
      </c>
      <c r="I59" s="573" t="s">
        <v>64</v>
      </c>
      <c r="J59" s="10" t="s">
        <v>53</v>
      </c>
      <c r="K59" s="26">
        <v>5000</v>
      </c>
      <c r="L59" s="26">
        <f>M59-K59</f>
        <v>0</v>
      </c>
      <c r="M59" s="26">
        <v>5000</v>
      </c>
      <c r="N59" s="26">
        <v>5000</v>
      </c>
    </row>
    <row r="60" spans="1:14" s="117" customFormat="1" ht="18" x14ac:dyDescent="0.35">
      <c r="A60" s="11"/>
      <c r="B60" s="24" t="s">
        <v>65</v>
      </c>
      <c r="C60" s="25" t="s">
        <v>1</v>
      </c>
      <c r="D60" s="10" t="s">
        <v>32</v>
      </c>
      <c r="E60" s="10" t="s">
        <v>66</v>
      </c>
      <c r="F60" s="571"/>
      <c r="G60" s="572"/>
      <c r="H60" s="572"/>
      <c r="I60" s="573"/>
      <c r="J60" s="10"/>
      <c r="K60" s="26">
        <f>K66+K61</f>
        <v>4743.1000000000004</v>
      </c>
      <c r="L60" s="26">
        <f>L66+L61</f>
        <v>0</v>
      </c>
      <c r="M60" s="26">
        <v>4743.1000000000004</v>
      </c>
      <c r="N60" s="26">
        <v>4743.1000000000004</v>
      </c>
    </row>
    <row r="61" spans="1:14" s="117" customFormat="1" ht="72" x14ac:dyDescent="0.35">
      <c r="A61" s="11"/>
      <c r="B61" s="24" t="s">
        <v>67</v>
      </c>
      <c r="C61" s="25" t="s">
        <v>1</v>
      </c>
      <c r="D61" s="10" t="s">
        <v>32</v>
      </c>
      <c r="E61" s="10" t="s">
        <v>66</v>
      </c>
      <c r="F61" s="571" t="s">
        <v>68</v>
      </c>
      <c r="G61" s="572" t="s">
        <v>37</v>
      </c>
      <c r="H61" s="572" t="s">
        <v>38</v>
      </c>
      <c r="I61" s="573" t="s">
        <v>39</v>
      </c>
      <c r="J61" s="10"/>
      <c r="K61" s="26">
        <f t="shared" ref="K61:N64" si="5">K62</f>
        <v>303.60000000000002</v>
      </c>
      <c r="L61" s="26">
        <f t="shared" si="5"/>
        <v>0</v>
      </c>
      <c r="M61" s="26">
        <v>303.60000000000002</v>
      </c>
      <c r="N61" s="26">
        <v>303.60000000000002</v>
      </c>
    </row>
    <row r="62" spans="1:14" s="117" customFormat="1" ht="36" x14ac:dyDescent="0.35">
      <c r="A62" s="11"/>
      <c r="B62" s="24" t="s">
        <v>328</v>
      </c>
      <c r="C62" s="25" t="s">
        <v>1</v>
      </c>
      <c r="D62" s="10" t="s">
        <v>32</v>
      </c>
      <c r="E62" s="10" t="s">
        <v>66</v>
      </c>
      <c r="F62" s="571" t="s">
        <v>68</v>
      </c>
      <c r="G62" s="572" t="s">
        <v>40</v>
      </c>
      <c r="H62" s="572" t="s">
        <v>38</v>
      </c>
      <c r="I62" s="573" t="s">
        <v>39</v>
      </c>
      <c r="J62" s="10"/>
      <c r="K62" s="26">
        <f t="shared" si="5"/>
        <v>303.60000000000002</v>
      </c>
      <c r="L62" s="26">
        <f t="shared" si="5"/>
        <v>0</v>
      </c>
      <c r="M62" s="26">
        <v>303.60000000000002</v>
      </c>
      <c r="N62" s="26">
        <v>303.60000000000002</v>
      </c>
    </row>
    <row r="63" spans="1:14" s="117" customFormat="1" ht="54" x14ac:dyDescent="0.35">
      <c r="A63" s="11"/>
      <c r="B63" s="27" t="s">
        <v>254</v>
      </c>
      <c r="C63" s="25" t="s">
        <v>1</v>
      </c>
      <c r="D63" s="10" t="s">
        <v>32</v>
      </c>
      <c r="E63" s="10" t="s">
        <v>66</v>
      </c>
      <c r="F63" s="571" t="s">
        <v>68</v>
      </c>
      <c r="G63" s="572" t="s">
        <v>40</v>
      </c>
      <c r="H63" s="572" t="s">
        <v>32</v>
      </c>
      <c r="I63" s="573" t="s">
        <v>39</v>
      </c>
      <c r="J63" s="10"/>
      <c r="K63" s="26">
        <f t="shared" si="5"/>
        <v>303.60000000000002</v>
      </c>
      <c r="L63" s="26">
        <f t="shared" si="5"/>
        <v>0</v>
      </c>
      <c r="M63" s="26">
        <v>303.60000000000002</v>
      </c>
      <c r="N63" s="26">
        <v>303.60000000000002</v>
      </c>
    </row>
    <row r="64" spans="1:14" s="117" customFormat="1" ht="54" x14ac:dyDescent="0.35">
      <c r="A64" s="11"/>
      <c r="B64" s="27" t="s">
        <v>69</v>
      </c>
      <c r="C64" s="25" t="s">
        <v>1</v>
      </c>
      <c r="D64" s="10" t="s">
        <v>32</v>
      </c>
      <c r="E64" s="10" t="s">
        <v>66</v>
      </c>
      <c r="F64" s="571" t="s">
        <v>68</v>
      </c>
      <c r="G64" s="572" t="s">
        <v>40</v>
      </c>
      <c r="H64" s="572" t="s">
        <v>32</v>
      </c>
      <c r="I64" s="573" t="s">
        <v>70</v>
      </c>
      <c r="J64" s="10"/>
      <c r="K64" s="26">
        <f t="shared" si="5"/>
        <v>303.60000000000002</v>
      </c>
      <c r="L64" s="26">
        <f t="shared" si="5"/>
        <v>0</v>
      </c>
      <c r="M64" s="26">
        <v>303.60000000000002</v>
      </c>
      <c r="N64" s="26">
        <v>303.60000000000002</v>
      </c>
    </row>
    <row r="65" spans="1:14" s="117" customFormat="1" ht="54" x14ac:dyDescent="0.35">
      <c r="A65" s="11"/>
      <c r="B65" s="28" t="s">
        <v>71</v>
      </c>
      <c r="C65" s="25" t="s">
        <v>1</v>
      </c>
      <c r="D65" s="10" t="s">
        <v>32</v>
      </c>
      <c r="E65" s="10" t="s">
        <v>66</v>
      </c>
      <c r="F65" s="571" t="s">
        <v>68</v>
      </c>
      <c r="G65" s="572" t="s">
        <v>40</v>
      </c>
      <c r="H65" s="572" t="s">
        <v>32</v>
      </c>
      <c r="I65" s="573" t="s">
        <v>70</v>
      </c>
      <c r="J65" s="10" t="s">
        <v>72</v>
      </c>
      <c r="K65" s="26">
        <v>303.60000000000002</v>
      </c>
      <c r="L65" s="26">
        <f>M65-K65</f>
        <v>0</v>
      </c>
      <c r="M65" s="26">
        <v>303.60000000000002</v>
      </c>
      <c r="N65" s="26">
        <v>303.60000000000002</v>
      </c>
    </row>
    <row r="66" spans="1:14" s="117" customFormat="1" ht="54" x14ac:dyDescent="0.35">
      <c r="A66" s="11"/>
      <c r="B66" s="24" t="s">
        <v>35</v>
      </c>
      <c r="C66" s="25" t="s">
        <v>1</v>
      </c>
      <c r="D66" s="10" t="s">
        <v>32</v>
      </c>
      <c r="E66" s="10" t="s">
        <v>66</v>
      </c>
      <c r="F66" s="571" t="s">
        <v>36</v>
      </c>
      <c r="G66" s="572" t="s">
        <v>37</v>
      </c>
      <c r="H66" s="572" t="s">
        <v>38</v>
      </c>
      <c r="I66" s="573" t="s">
        <v>39</v>
      </c>
      <c r="J66" s="10"/>
      <c r="K66" s="26">
        <f>K67</f>
        <v>4439.5</v>
      </c>
      <c r="L66" s="26">
        <f>L67</f>
        <v>0</v>
      </c>
      <c r="M66" s="26">
        <v>4439.5</v>
      </c>
      <c r="N66" s="26">
        <v>4439.5</v>
      </c>
    </row>
    <row r="67" spans="1:14" s="117" customFormat="1" ht="36" x14ac:dyDescent="0.35">
      <c r="A67" s="11"/>
      <c r="B67" s="24" t="s">
        <v>328</v>
      </c>
      <c r="C67" s="25" t="s">
        <v>1</v>
      </c>
      <c r="D67" s="10" t="s">
        <v>32</v>
      </c>
      <c r="E67" s="10" t="s">
        <v>66</v>
      </c>
      <c r="F67" s="571" t="s">
        <v>36</v>
      </c>
      <c r="G67" s="572" t="s">
        <v>40</v>
      </c>
      <c r="H67" s="572" t="s">
        <v>38</v>
      </c>
      <c r="I67" s="573" t="s">
        <v>39</v>
      </c>
      <c r="J67" s="10"/>
      <c r="K67" s="26">
        <f>K72+K68+K77+K80</f>
        <v>4439.5</v>
      </c>
      <c r="L67" s="26">
        <f>L72+L68+L77+L80</f>
        <v>0</v>
      </c>
      <c r="M67" s="26">
        <v>4439.5</v>
      </c>
      <c r="N67" s="26">
        <v>4439.5</v>
      </c>
    </row>
    <row r="68" spans="1:14" s="117" customFormat="1" ht="18" x14ac:dyDescent="0.35">
      <c r="A68" s="11"/>
      <c r="B68" s="28" t="s">
        <v>57</v>
      </c>
      <c r="C68" s="25" t="s">
        <v>1</v>
      </c>
      <c r="D68" s="10" t="s">
        <v>32</v>
      </c>
      <c r="E68" s="10" t="s">
        <v>66</v>
      </c>
      <c r="F68" s="571" t="s">
        <v>36</v>
      </c>
      <c r="G68" s="572" t="s">
        <v>40</v>
      </c>
      <c r="H68" s="572" t="s">
        <v>58</v>
      </c>
      <c r="I68" s="573" t="s">
        <v>39</v>
      </c>
      <c r="J68" s="10"/>
      <c r="K68" s="26">
        <f>K69</f>
        <v>1247.8</v>
      </c>
      <c r="L68" s="26">
        <f>L69</f>
        <v>0</v>
      </c>
      <c r="M68" s="26">
        <v>1247.8</v>
      </c>
      <c r="N68" s="26">
        <v>1247.8</v>
      </c>
    </row>
    <row r="69" spans="1:14" s="117" customFormat="1" ht="54" x14ac:dyDescent="0.35">
      <c r="A69" s="11"/>
      <c r="B69" s="28" t="s">
        <v>375</v>
      </c>
      <c r="C69" s="25" t="s">
        <v>1</v>
      </c>
      <c r="D69" s="10" t="s">
        <v>32</v>
      </c>
      <c r="E69" s="10" t="s">
        <v>66</v>
      </c>
      <c r="F69" s="571" t="s">
        <v>36</v>
      </c>
      <c r="G69" s="572" t="s">
        <v>40</v>
      </c>
      <c r="H69" s="572" t="s">
        <v>58</v>
      </c>
      <c r="I69" s="573" t="s">
        <v>374</v>
      </c>
      <c r="J69" s="10"/>
      <c r="K69" s="26">
        <f>K70+K71</f>
        <v>1247.8</v>
      </c>
      <c r="L69" s="26">
        <f>L70+L71</f>
        <v>0</v>
      </c>
      <c r="M69" s="26">
        <v>1247.8</v>
      </c>
      <c r="N69" s="26">
        <v>1247.8</v>
      </c>
    </row>
    <row r="70" spans="1:14" s="117" customFormat="1" ht="54" x14ac:dyDescent="0.35">
      <c r="A70" s="11"/>
      <c r="B70" s="24" t="s">
        <v>50</v>
      </c>
      <c r="C70" s="25" t="s">
        <v>1</v>
      </c>
      <c r="D70" s="10" t="s">
        <v>32</v>
      </c>
      <c r="E70" s="10" t="s">
        <v>66</v>
      </c>
      <c r="F70" s="571" t="s">
        <v>36</v>
      </c>
      <c r="G70" s="572" t="s">
        <v>40</v>
      </c>
      <c r="H70" s="572" t="s">
        <v>58</v>
      </c>
      <c r="I70" s="573" t="s">
        <v>374</v>
      </c>
      <c r="J70" s="10" t="s">
        <v>51</v>
      </c>
      <c r="K70" s="26">
        <v>1019.5</v>
      </c>
      <c r="L70" s="26">
        <f>M70-K70</f>
        <v>0</v>
      </c>
      <c r="M70" s="26">
        <v>1019.5</v>
      </c>
      <c r="N70" s="26">
        <v>1019.5</v>
      </c>
    </row>
    <row r="71" spans="1:14" s="117" customFormat="1" ht="18" x14ac:dyDescent="0.35">
      <c r="A71" s="11"/>
      <c r="B71" s="24" t="s">
        <v>52</v>
      </c>
      <c r="C71" s="25" t="s">
        <v>1</v>
      </c>
      <c r="D71" s="10" t="s">
        <v>32</v>
      </c>
      <c r="E71" s="10" t="s">
        <v>66</v>
      </c>
      <c r="F71" s="571" t="s">
        <v>36</v>
      </c>
      <c r="G71" s="572" t="s">
        <v>40</v>
      </c>
      <c r="H71" s="572" t="s">
        <v>58</v>
      </c>
      <c r="I71" s="573" t="s">
        <v>374</v>
      </c>
      <c r="J71" s="10" t="s">
        <v>53</v>
      </c>
      <c r="K71" s="26">
        <v>228.3</v>
      </c>
      <c r="L71" s="26">
        <f>M71-K71</f>
        <v>0</v>
      </c>
      <c r="M71" s="26">
        <v>228.3</v>
      </c>
      <c r="N71" s="26">
        <v>228.3</v>
      </c>
    </row>
    <row r="72" spans="1:14" s="117" customFormat="1" ht="18" x14ac:dyDescent="0.35">
      <c r="A72" s="11"/>
      <c r="B72" s="24" t="s">
        <v>59</v>
      </c>
      <c r="C72" s="25" t="s">
        <v>1</v>
      </c>
      <c r="D72" s="10" t="s">
        <v>32</v>
      </c>
      <c r="E72" s="10" t="s">
        <v>66</v>
      </c>
      <c r="F72" s="571" t="s">
        <v>36</v>
      </c>
      <c r="G72" s="572" t="s">
        <v>40</v>
      </c>
      <c r="H72" s="572" t="s">
        <v>47</v>
      </c>
      <c r="I72" s="573" t="s">
        <v>39</v>
      </c>
      <c r="J72" s="10"/>
      <c r="K72" s="26">
        <f>K73+K75</f>
        <v>3011.6</v>
      </c>
      <c r="L72" s="26">
        <f>L73+L75</f>
        <v>0</v>
      </c>
      <c r="M72" s="26">
        <v>3011.6</v>
      </c>
      <c r="N72" s="26">
        <v>3011.6</v>
      </c>
    </row>
    <row r="73" spans="1:14" s="117" customFormat="1" ht="54" x14ac:dyDescent="0.35">
      <c r="A73" s="11"/>
      <c r="B73" s="29" t="s">
        <v>341</v>
      </c>
      <c r="C73" s="25" t="s">
        <v>1</v>
      </c>
      <c r="D73" s="10" t="s">
        <v>32</v>
      </c>
      <c r="E73" s="10" t="s">
        <v>66</v>
      </c>
      <c r="F73" s="571" t="s">
        <v>36</v>
      </c>
      <c r="G73" s="572" t="s">
        <v>40</v>
      </c>
      <c r="H73" s="572" t="s">
        <v>47</v>
      </c>
      <c r="I73" s="573" t="s">
        <v>100</v>
      </c>
      <c r="J73" s="10"/>
      <c r="K73" s="26">
        <f>K74</f>
        <v>1016.8</v>
      </c>
      <c r="L73" s="26">
        <f>L74</f>
        <v>0</v>
      </c>
      <c r="M73" s="26">
        <v>1016.8</v>
      </c>
      <c r="N73" s="26">
        <v>1016.8</v>
      </c>
    </row>
    <row r="74" spans="1:14" s="117" customFormat="1" ht="54" x14ac:dyDescent="0.35">
      <c r="A74" s="11"/>
      <c r="B74" s="24" t="s">
        <v>50</v>
      </c>
      <c r="C74" s="25" t="s">
        <v>1</v>
      </c>
      <c r="D74" s="10" t="s">
        <v>32</v>
      </c>
      <c r="E74" s="10" t="s">
        <v>66</v>
      </c>
      <c r="F74" s="571" t="s">
        <v>36</v>
      </c>
      <c r="G74" s="572" t="s">
        <v>40</v>
      </c>
      <c r="H74" s="572" t="s">
        <v>47</v>
      </c>
      <c r="I74" s="573" t="s">
        <v>100</v>
      </c>
      <c r="J74" s="10" t="s">
        <v>51</v>
      </c>
      <c r="K74" s="26">
        <v>1016.8</v>
      </c>
      <c r="L74" s="26">
        <f>M74-K74</f>
        <v>0</v>
      </c>
      <c r="M74" s="26">
        <v>1016.8</v>
      </c>
      <c r="N74" s="26">
        <v>1016.8</v>
      </c>
    </row>
    <row r="75" spans="1:14" s="117" customFormat="1" ht="54" x14ac:dyDescent="0.35">
      <c r="A75" s="11"/>
      <c r="B75" s="24" t="s">
        <v>343</v>
      </c>
      <c r="C75" s="25" t="s">
        <v>1</v>
      </c>
      <c r="D75" s="10" t="s">
        <v>32</v>
      </c>
      <c r="E75" s="10" t="s">
        <v>66</v>
      </c>
      <c r="F75" s="571" t="s">
        <v>36</v>
      </c>
      <c r="G75" s="572" t="s">
        <v>40</v>
      </c>
      <c r="H75" s="572" t="s">
        <v>47</v>
      </c>
      <c r="I75" s="573" t="s">
        <v>342</v>
      </c>
      <c r="J75" s="10"/>
      <c r="K75" s="26">
        <f>K76</f>
        <v>1994.8</v>
      </c>
      <c r="L75" s="26">
        <f>L76</f>
        <v>0</v>
      </c>
      <c r="M75" s="26">
        <v>1994.8</v>
      </c>
      <c r="N75" s="26">
        <v>1994.8</v>
      </c>
    </row>
    <row r="76" spans="1:14" s="117" customFormat="1" ht="54" x14ac:dyDescent="0.35">
      <c r="A76" s="11"/>
      <c r="B76" s="24" t="s">
        <v>50</v>
      </c>
      <c r="C76" s="25" t="s">
        <v>1</v>
      </c>
      <c r="D76" s="10" t="s">
        <v>32</v>
      </c>
      <c r="E76" s="10" t="s">
        <v>66</v>
      </c>
      <c r="F76" s="571" t="s">
        <v>36</v>
      </c>
      <c r="G76" s="572" t="s">
        <v>40</v>
      </c>
      <c r="H76" s="572" t="s">
        <v>47</v>
      </c>
      <c r="I76" s="573" t="s">
        <v>342</v>
      </c>
      <c r="J76" s="10" t="s">
        <v>51</v>
      </c>
      <c r="K76" s="26">
        <v>1994.8</v>
      </c>
      <c r="L76" s="26">
        <f>M76-K76</f>
        <v>0</v>
      </c>
      <c r="M76" s="26">
        <v>1994.8</v>
      </c>
      <c r="N76" s="26">
        <v>1994.8</v>
      </c>
    </row>
    <row r="77" spans="1:14" s="117" customFormat="1" ht="36" x14ac:dyDescent="0.35">
      <c r="A77" s="11"/>
      <c r="B77" s="24" t="s">
        <v>445</v>
      </c>
      <c r="C77" s="25" t="s">
        <v>1</v>
      </c>
      <c r="D77" s="10" t="s">
        <v>32</v>
      </c>
      <c r="E77" s="10" t="s">
        <v>66</v>
      </c>
      <c r="F77" s="571" t="s">
        <v>36</v>
      </c>
      <c r="G77" s="572" t="s">
        <v>40</v>
      </c>
      <c r="H77" s="572" t="s">
        <v>400</v>
      </c>
      <c r="I77" s="573" t="s">
        <v>39</v>
      </c>
      <c r="J77" s="10"/>
      <c r="K77" s="26">
        <f t="shared" ref="K77:N78" si="6">K78</f>
        <v>120.1</v>
      </c>
      <c r="L77" s="26">
        <f t="shared" si="6"/>
        <v>0</v>
      </c>
      <c r="M77" s="26">
        <v>120.1</v>
      </c>
      <c r="N77" s="26">
        <v>120.1</v>
      </c>
    </row>
    <row r="78" spans="1:14" s="117" customFormat="1" ht="36" x14ac:dyDescent="0.35">
      <c r="A78" s="11"/>
      <c r="B78" s="29" t="s">
        <v>122</v>
      </c>
      <c r="C78" s="25" t="s">
        <v>1</v>
      </c>
      <c r="D78" s="10" t="s">
        <v>32</v>
      </c>
      <c r="E78" s="10" t="s">
        <v>66</v>
      </c>
      <c r="F78" s="571" t="s">
        <v>36</v>
      </c>
      <c r="G78" s="572" t="s">
        <v>40</v>
      </c>
      <c r="H78" s="572" t="s">
        <v>400</v>
      </c>
      <c r="I78" s="573" t="s">
        <v>85</v>
      </c>
      <c r="J78" s="10"/>
      <c r="K78" s="26">
        <f t="shared" si="6"/>
        <v>120.1</v>
      </c>
      <c r="L78" s="26">
        <f t="shared" si="6"/>
        <v>0</v>
      </c>
      <c r="M78" s="26">
        <v>120.1</v>
      </c>
      <c r="N78" s="26">
        <v>120.1</v>
      </c>
    </row>
    <row r="79" spans="1:14" s="117" customFormat="1" ht="54" x14ac:dyDescent="0.35">
      <c r="A79" s="11"/>
      <c r="B79" s="24" t="s">
        <v>50</v>
      </c>
      <c r="C79" s="25" t="s">
        <v>1</v>
      </c>
      <c r="D79" s="10" t="s">
        <v>32</v>
      </c>
      <c r="E79" s="10" t="s">
        <v>66</v>
      </c>
      <c r="F79" s="571" t="s">
        <v>36</v>
      </c>
      <c r="G79" s="572" t="s">
        <v>40</v>
      </c>
      <c r="H79" s="572" t="s">
        <v>400</v>
      </c>
      <c r="I79" s="573" t="s">
        <v>85</v>
      </c>
      <c r="J79" s="10" t="s">
        <v>51</v>
      </c>
      <c r="K79" s="26">
        <v>120.1</v>
      </c>
      <c r="L79" s="26">
        <f>M79-K79</f>
        <v>0</v>
      </c>
      <c r="M79" s="26">
        <v>120.1</v>
      </c>
      <c r="N79" s="26">
        <v>120.1</v>
      </c>
    </row>
    <row r="80" spans="1:14" s="117" customFormat="1" ht="36" x14ac:dyDescent="0.35">
      <c r="A80" s="11"/>
      <c r="B80" s="24" t="s">
        <v>441</v>
      </c>
      <c r="C80" s="25" t="s">
        <v>1</v>
      </c>
      <c r="D80" s="10" t="s">
        <v>32</v>
      </c>
      <c r="E80" s="10" t="s">
        <v>66</v>
      </c>
      <c r="F80" s="571" t="s">
        <v>36</v>
      </c>
      <c r="G80" s="572" t="s">
        <v>40</v>
      </c>
      <c r="H80" s="572" t="s">
        <v>36</v>
      </c>
      <c r="I80" s="573" t="s">
        <v>39</v>
      </c>
      <c r="J80" s="10"/>
      <c r="K80" s="26">
        <f t="shared" ref="K80:N81" si="7">K81</f>
        <v>60</v>
      </c>
      <c r="L80" s="26">
        <f t="shared" si="7"/>
        <v>0</v>
      </c>
      <c r="M80" s="26">
        <v>60</v>
      </c>
      <c r="N80" s="26">
        <v>60</v>
      </c>
    </row>
    <row r="81" spans="1:14" s="117" customFormat="1" ht="18" x14ac:dyDescent="0.35">
      <c r="A81" s="11"/>
      <c r="B81" s="29" t="s">
        <v>439</v>
      </c>
      <c r="C81" s="25" t="s">
        <v>1</v>
      </c>
      <c r="D81" s="10" t="s">
        <v>32</v>
      </c>
      <c r="E81" s="10" t="s">
        <v>66</v>
      </c>
      <c r="F81" s="571" t="s">
        <v>36</v>
      </c>
      <c r="G81" s="572" t="s">
        <v>40</v>
      </c>
      <c r="H81" s="572" t="s">
        <v>36</v>
      </c>
      <c r="I81" s="573" t="s">
        <v>440</v>
      </c>
      <c r="J81" s="10"/>
      <c r="K81" s="26">
        <f t="shared" si="7"/>
        <v>60</v>
      </c>
      <c r="L81" s="26">
        <f t="shared" si="7"/>
        <v>0</v>
      </c>
      <c r="M81" s="26">
        <v>60</v>
      </c>
      <c r="N81" s="26">
        <v>60</v>
      </c>
    </row>
    <row r="82" spans="1:14" s="117" customFormat="1" ht="54" x14ac:dyDescent="0.35">
      <c r="A82" s="11"/>
      <c r="B82" s="24" t="s">
        <v>50</v>
      </c>
      <c r="C82" s="25" t="s">
        <v>1</v>
      </c>
      <c r="D82" s="10" t="s">
        <v>32</v>
      </c>
      <c r="E82" s="10" t="s">
        <v>66</v>
      </c>
      <c r="F82" s="571" t="s">
        <v>36</v>
      </c>
      <c r="G82" s="572" t="s">
        <v>40</v>
      </c>
      <c r="H82" s="572" t="s">
        <v>36</v>
      </c>
      <c r="I82" s="573" t="s">
        <v>440</v>
      </c>
      <c r="J82" s="10" t="s">
        <v>51</v>
      </c>
      <c r="K82" s="26">
        <v>60</v>
      </c>
      <c r="L82" s="26">
        <f>M82-K82</f>
        <v>0</v>
      </c>
      <c r="M82" s="26">
        <v>60</v>
      </c>
      <c r="N82" s="26">
        <v>60</v>
      </c>
    </row>
    <row r="83" spans="1:14" s="117" customFormat="1" ht="36" x14ac:dyDescent="0.35">
      <c r="A83" s="11"/>
      <c r="B83" s="24" t="s">
        <v>73</v>
      </c>
      <c r="C83" s="25" t="s">
        <v>1</v>
      </c>
      <c r="D83" s="10" t="s">
        <v>58</v>
      </c>
      <c r="E83" s="10"/>
      <c r="F83" s="571"/>
      <c r="G83" s="572"/>
      <c r="H83" s="572"/>
      <c r="I83" s="573"/>
      <c r="J83" s="10"/>
      <c r="K83" s="26">
        <f>K84+K92</f>
        <v>11858.099999999999</v>
      </c>
      <c r="L83" s="26">
        <f>L84+L92</f>
        <v>0</v>
      </c>
      <c r="M83" s="26">
        <v>11858.099999999999</v>
      </c>
      <c r="N83" s="26">
        <v>11858.499999999998</v>
      </c>
    </row>
    <row r="84" spans="1:14" s="117" customFormat="1" ht="72" x14ac:dyDescent="0.35">
      <c r="A84" s="11"/>
      <c r="B84" s="213" t="s">
        <v>436</v>
      </c>
      <c r="C84" s="25" t="s">
        <v>1</v>
      </c>
      <c r="D84" s="10" t="s">
        <v>58</v>
      </c>
      <c r="E84" s="10" t="s">
        <v>99</v>
      </c>
      <c r="F84" s="571"/>
      <c r="G84" s="572"/>
      <c r="H84" s="572"/>
      <c r="I84" s="573"/>
      <c r="J84" s="10"/>
      <c r="K84" s="26">
        <f t="shared" ref="K84:N86" si="8">K85</f>
        <v>362.29999999999995</v>
      </c>
      <c r="L84" s="26">
        <f t="shared" si="8"/>
        <v>0</v>
      </c>
      <c r="M84" s="26">
        <v>362.29999999999995</v>
      </c>
      <c r="N84" s="26">
        <v>362.29999999999995</v>
      </c>
    </row>
    <row r="85" spans="1:14" s="117" customFormat="1" ht="54" x14ac:dyDescent="0.35">
      <c r="A85" s="11"/>
      <c r="B85" s="24" t="s">
        <v>75</v>
      </c>
      <c r="C85" s="25" t="s">
        <v>1</v>
      </c>
      <c r="D85" s="10" t="s">
        <v>58</v>
      </c>
      <c r="E85" s="10" t="s">
        <v>99</v>
      </c>
      <c r="F85" s="571" t="s">
        <v>76</v>
      </c>
      <c r="G85" s="572" t="s">
        <v>37</v>
      </c>
      <c r="H85" s="572" t="s">
        <v>38</v>
      </c>
      <c r="I85" s="573" t="s">
        <v>39</v>
      </c>
      <c r="J85" s="10"/>
      <c r="K85" s="26">
        <f t="shared" si="8"/>
        <v>362.29999999999995</v>
      </c>
      <c r="L85" s="26">
        <f t="shared" si="8"/>
        <v>0</v>
      </c>
      <c r="M85" s="26">
        <v>362.29999999999995</v>
      </c>
      <c r="N85" s="26">
        <v>362.29999999999995</v>
      </c>
    </row>
    <row r="86" spans="1:14" s="117" customFormat="1" ht="54" x14ac:dyDescent="0.35">
      <c r="A86" s="11"/>
      <c r="B86" s="30" t="s">
        <v>77</v>
      </c>
      <c r="C86" s="25" t="s">
        <v>1</v>
      </c>
      <c r="D86" s="10" t="s">
        <v>58</v>
      </c>
      <c r="E86" s="10" t="s">
        <v>99</v>
      </c>
      <c r="F86" s="571" t="s">
        <v>76</v>
      </c>
      <c r="G86" s="572" t="s">
        <v>40</v>
      </c>
      <c r="H86" s="572" t="s">
        <v>38</v>
      </c>
      <c r="I86" s="573" t="s">
        <v>39</v>
      </c>
      <c r="J86" s="10"/>
      <c r="K86" s="26">
        <f t="shared" si="8"/>
        <v>362.29999999999995</v>
      </c>
      <c r="L86" s="26">
        <f t="shared" si="8"/>
        <v>0</v>
      </c>
      <c r="M86" s="26">
        <v>362.29999999999995</v>
      </c>
      <c r="N86" s="26">
        <v>362.29999999999995</v>
      </c>
    </row>
    <row r="87" spans="1:14" s="117" customFormat="1" ht="72" x14ac:dyDescent="0.35">
      <c r="A87" s="11"/>
      <c r="B87" s="24" t="s">
        <v>78</v>
      </c>
      <c r="C87" s="25" t="s">
        <v>1</v>
      </c>
      <c r="D87" s="10" t="s">
        <v>58</v>
      </c>
      <c r="E87" s="10" t="s">
        <v>99</v>
      </c>
      <c r="F87" s="571" t="s">
        <v>76</v>
      </c>
      <c r="G87" s="572" t="s">
        <v>40</v>
      </c>
      <c r="H87" s="572" t="s">
        <v>32</v>
      </c>
      <c r="I87" s="573" t="s">
        <v>39</v>
      </c>
      <c r="J87" s="10"/>
      <c r="K87" s="26">
        <f>K88+K90</f>
        <v>362.29999999999995</v>
      </c>
      <c r="L87" s="26">
        <f>L88+L90</f>
        <v>0</v>
      </c>
      <c r="M87" s="26">
        <v>362.29999999999995</v>
      </c>
      <c r="N87" s="26">
        <v>362.29999999999995</v>
      </c>
    </row>
    <row r="88" spans="1:14" s="117" customFormat="1" ht="36" x14ac:dyDescent="0.35">
      <c r="A88" s="11"/>
      <c r="B88" s="30" t="s">
        <v>428</v>
      </c>
      <c r="C88" s="25" t="s">
        <v>1</v>
      </c>
      <c r="D88" s="10" t="s">
        <v>58</v>
      </c>
      <c r="E88" s="10" t="s">
        <v>99</v>
      </c>
      <c r="F88" s="571" t="s">
        <v>76</v>
      </c>
      <c r="G88" s="572" t="s">
        <v>40</v>
      </c>
      <c r="H88" s="572" t="s">
        <v>32</v>
      </c>
      <c r="I88" s="573" t="s">
        <v>79</v>
      </c>
      <c r="J88" s="10"/>
      <c r="K88" s="26">
        <f>K89</f>
        <v>298.39999999999998</v>
      </c>
      <c r="L88" s="26">
        <f>L89</f>
        <v>0</v>
      </c>
      <c r="M88" s="26">
        <v>298.39999999999998</v>
      </c>
      <c r="N88" s="26">
        <v>298.39999999999998</v>
      </c>
    </row>
    <row r="89" spans="1:14" s="117" customFormat="1" ht="54" x14ac:dyDescent="0.35">
      <c r="A89" s="11"/>
      <c r="B89" s="24" t="s">
        <v>50</v>
      </c>
      <c r="C89" s="25" t="s">
        <v>1</v>
      </c>
      <c r="D89" s="10" t="s">
        <v>58</v>
      </c>
      <c r="E89" s="10" t="s">
        <v>99</v>
      </c>
      <c r="F89" s="571" t="s">
        <v>76</v>
      </c>
      <c r="G89" s="572" t="s">
        <v>40</v>
      </c>
      <c r="H89" s="572" t="s">
        <v>32</v>
      </c>
      <c r="I89" s="573" t="s">
        <v>79</v>
      </c>
      <c r="J89" s="10" t="s">
        <v>51</v>
      </c>
      <c r="K89" s="26">
        <v>298.39999999999998</v>
      </c>
      <c r="L89" s="26">
        <f>M89-K89</f>
        <v>0</v>
      </c>
      <c r="M89" s="26">
        <v>298.39999999999998</v>
      </c>
      <c r="N89" s="26">
        <v>298.39999999999998</v>
      </c>
    </row>
    <row r="90" spans="1:14" s="117" customFormat="1" ht="54" x14ac:dyDescent="0.35">
      <c r="A90" s="11"/>
      <c r="B90" s="24" t="s">
        <v>80</v>
      </c>
      <c r="C90" s="25" t="s">
        <v>1</v>
      </c>
      <c r="D90" s="10" t="s">
        <v>58</v>
      </c>
      <c r="E90" s="10" t="s">
        <v>99</v>
      </c>
      <c r="F90" s="571" t="s">
        <v>76</v>
      </c>
      <c r="G90" s="572" t="s">
        <v>40</v>
      </c>
      <c r="H90" s="572" t="s">
        <v>32</v>
      </c>
      <c r="I90" s="573" t="s">
        <v>81</v>
      </c>
      <c r="J90" s="10"/>
      <c r="K90" s="26">
        <f>K91</f>
        <v>63.9</v>
      </c>
      <c r="L90" s="26">
        <f>L91</f>
        <v>0</v>
      </c>
      <c r="M90" s="26">
        <v>63.9</v>
      </c>
      <c r="N90" s="26">
        <v>63.9</v>
      </c>
    </row>
    <row r="91" spans="1:14" s="117" customFormat="1" ht="54" x14ac:dyDescent="0.35">
      <c r="A91" s="11"/>
      <c r="B91" s="24" t="s">
        <v>50</v>
      </c>
      <c r="C91" s="25" t="s">
        <v>1</v>
      </c>
      <c r="D91" s="10" t="s">
        <v>58</v>
      </c>
      <c r="E91" s="10" t="s">
        <v>99</v>
      </c>
      <c r="F91" s="571" t="s">
        <v>76</v>
      </c>
      <c r="G91" s="572" t="s">
        <v>40</v>
      </c>
      <c r="H91" s="572" t="s">
        <v>32</v>
      </c>
      <c r="I91" s="573" t="s">
        <v>81</v>
      </c>
      <c r="J91" s="10" t="s">
        <v>51</v>
      </c>
      <c r="K91" s="26">
        <v>63.9</v>
      </c>
      <c r="L91" s="26">
        <f>M91-K91</f>
        <v>0</v>
      </c>
      <c r="M91" s="26">
        <v>63.9</v>
      </c>
      <c r="N91" s="26">
        <v>63.9</v>
      </c>
    </row>
    <row r="92" spans="1:14" s="117" customFormat="1" ht="54" x14ac:dyDescent="0.35">
      <c r="A92" s="11"/>
      <c r="B92" s="29" t="s">
        <v>82</v>
      </c>
      <c r="C92" s="25" t="s">
        <v>1</v>
      </c>
      <c r="D92" s="10" t="s">
        <v>58</v>
      </c>
      <c r="E92" s="10" t="s">
        <v>83</v>
      </c>
      <c r="F92" s="571"/>
      <c r="G92" s="572"/>
      <c r="H92" s="572"/>
      <c r="I92" s="573"/>
      <c r="J92" s="10"/>
      <c r="K92" s="26">
        <f t="shared" ref="K92:N92" si="9">K93</f>
        <v>11495.8</v>
      </c>
      <c r="L92" s="26">
        <f t="shared" si="9"/>
        <v>0</v>
      </c>
      <c r="M92" s="26">
        <v>11495.8</v>
      </c>
      <c r="N92" s="26">
        <v>11496.199999999999</v>
      </c>
    </row>
    <row r="93" spans="1:14" s="117" customFormat="1" ht="57.75" customHeight="1" x14ac:dyDescent="0.35">
      <c r="A93" s="11"/>
      <c r="B93" s="24" t="s">
        <v>75</v>
      </c>
      <c r="C93" s="25" t="s">
        <v>1</v>
      </c>
      <c r="D93" s="10" t="s">
        <v>58</v>
      </c>
      <c r="E93" s="10" t="s">
        <v>83</v>
      </c>
      <c r="F93" s="571" t="s">
        <v>76</v>
      </c>
      <c r="G93" s="572" t="s">
        <v>37</v>
      </c>
      <c r="H93" s="572" t="s">
        <v>38</v>
      </c>
      <c r="I93" s="573" t="s">
        <v>39</v>
      </c>
      <c r="J93" s="10"/>
      <c r="K93" s="26">
        <f>K101+K94+K107</f>
        <v>11495.8</v>
      </c>
      <c r="L93" s="26">
        <f>L101+L94+L107</f>
        <v>0</v>
      </c>
      <c r="M93" s="26">
        <v>11495.8</v>
      </c>
      <c r="N93" s="26">
        <v>11496.199999999999</v>
      </c>
    </row>
    <row r="94" spans="1:14" s="117" customFormat="1" ht="39.75" customHeight="1" x14ac:dyDescent="0.35">
      <c r="A94" s="11"/>
      <c r="B94" s="29" t="s">
        <v>120</v>
      </c>
      <c r="C94" s="25" t="s">
        <v>1</v>
      </c>
      <c r="D94" s="10" t="s">
        <v>58</v>
      </c>
      <c r="E94" s="10" t="s">
        <v>83</v>
      </c>
      <c r="F94" s="571" t="s">
        <v>76</v>
      </c>
      <c r="G94" s="572" t="s">
        <v>84</v>
      </c>
      <c r="H94" s="572" t="s">
        <v>38</v>
      </c>
      <c r="I94" s="573" t="s">
        <v>39</v>
      </c>
      <c r="J94" s="10"/>
      <c r="K94" s="26">
        <f>K95+K98</f>
        <v>465.40000000000003</v>
      </c>
      <c r="L94" s="26">
        <f>L95+L98</f>
        <v>0</v>
      </c>
      <c r="M94" s="26">
        <v>465.40000000000003</v>
      </c>
      <c r="N94" s="26">
        <v>465.40000000000003</v>
      </c>
    </row>
    <row r="95" spans="1:14" s="117" customFormat="1" ht="39" customHeight="1" x14ac:dyDescent="0.35">
      <c r="A95" s="11"/>
      <c r="B95" s="29" t="s">
        <v>259</v>
      </c>
      <c r="C95" s="25" t="s">
        <v>1</v>
      </c>
      <c r="D95" s="10" t="s">
        <v>58</v>
      </c>
      <c r="E95" s="10" t="s">
        <v>83</v>
      </c>
      <c r="F95" s="571" t="s">
        <v>76</v>
      </c>
      <c r="G95" s="572" t="s">
        <v>84</v>
      </c>
      <c r="H95" s="572" t="s">
        <v>32</v>
      </c>
      <c r="I95" s="573" t="s">
        <v>39</v>
      </c>
      <c r="J95" s="10"/>
      <c r="K95" s="26">
        <f>K96</f>
        <v>21.8</v>
      </c>
      <c r="L95" s="26">
        <f>L96</f>
        <v>0</v>
      </c>
      <c r="M95" s="26">
        <v>21.8</v>
      </c>
      <c r="N95" s="26">
        <v>21.8</v>
      </c>
    </row>
    <row r="96" spans="1:14" s="117" customFormat="1" ht="36" customHeight="1" x14ac:dyDescent="0.35">
      <c r="A96" s="11"/>
      <c r="B96" s="27" t="s">
        <v>122</v>
      </c>
      <c r="C96" s="25" t="s">
        <v>1</v>
      </c>
      <c r="D96" s="10" t="s">
        <v>58</v>
      </c>
      <c r="E96" s="10" t="s">
        <v>83</v>
      </c>
      <c r="F96" s="571" t="s">
        <v>76</v>
      </c>
      <c r="G96" s="572" t="s">
        <v>84</v>
      </c>
      <c r="H96" s="572" t="s">
        <v>32</v>
      </c>
      <c r="I96" s="573" t="s">
        <v>85</v>
      </c>
      <c r="J96" s="10"/>
      <c r="K96" s="26">
        <f t="shared" ref="K96:N96" si="10">K97</f>
        <v>21.8</v>
      </c>
      <c r="L96" s="26">
        <f t="shared" si="10"/>
        <v>0</v>
      </c>
      <c r="M96" s="26">
        <v>21.8</v>
      </c>
      <c r="N96" s="26">
        <v>21.8</v>
      </c>
    </row>
    <row r="97" spans="1:14" s="117" customFormat="1" ht="57.75" customHeight="1" x14ac:dyDescent="0.35">
      <c r="A97" s="11"/>
      <c r="B97" s="24" t="s">
        <v>50</v>
      </c>
      <c r="C97" s="25" t="s">
        <v>1</v>
      </c>
      <c r="D97" s="10" t="s">
        <v>58</v>
      </c>
      <c r="E97" s="10" t="s">
        <v>83</v>
      </c>
      <c r="F97" s="571" t="s">
        <v>76</v>
      </c>
      <c r="G97" s="572" t="s">
        <v>84</v>
      </c>
      <c r="H97" s="572" t="s">
        <v>32</v>
      </c>
      <c r="I97" s="573" t="s">
        <v>85</v>
      </c>
      <c r="J97" s="10" t="s">
        <v>51</v>
      </c>
      <c r="K97" s="26">
        <v>21.8</v>
      </c>
      <c r="L97" s="26">
        <f>M97-K97</f>
        <v>0</v>
      </c>
      <c r="M97" s="26">
        <v>21.8</v>
      </c>
      <c r="N97" s="26">
        <v>21.8</v>
      </c>
    </row>
    <row r="98" spans="1:14" s="117" customFormat="1" ht="57.75" customHeight="1" x14ac:dyDescent="0.35">
      <c r="A98" s="11"/>
      <c r="B98" s="27" t="s">
        <v>121</v>
      </c>
      <c r="C98" s="25" t="s">
        <v>1</v>
      </c>
      <c r="D98" s="10" t="s">
        <v>58</v>
      </c>
      <c r="E98" s="10" t="s">
        <v>83</v>
      </c>
      <c r="F98" s="571" t="s">
        <v>76</v>
      </c>
      <c r="G98" s="572" t="s">
        <v>84</v>
      </c>
      <c r="H98" s="572" t="s">
        <v>34</v>
      </c>
      <c r="I98" s="573" t="s">
        <v>39</v>
      </c>
      <c r="J98" s="10"/>
      <c r="K98" s="26">
        <f t="shared" ref="K98:N99" si="11">K99</f>
        <v>443.6</v>
      </c>
      <c r="L98" s="26">
        <f t="shared" si="11"/>
        <v>0</v>
      </c>
      <c r="M98" s="26">
        <v>443.6</v>
      </c>
      <c r="N98" s="26">
        <v>443.6</v>
      </c>
    </row>
    <row r="99" spans="1:14" s="117" customFormat="1" ht="31.5" customHeight="1" x14ac:dyDescent="0.35">
      <c r="A99" s="11"/>
      <c r="B99" s="27" t="s">
        <v>122</v>
      </c>
      <c r="C99" s="25" t="s">
        <v>1</v>
      </c>
      <c r="D99" s="10" t="s">
        <v>58</v>
      </c>
      <c r="E99" s="10" t="s">
        <v>83</v>
      </c>
      <c r="F99" s="571" t="s">
        <v>76</v>
      </c>
      <c r="G99" s="572" t="s">
        <v>84</v>
      </c>
      <c r="H99" s="572" t="s">
        <v>34</v>
      </c>
      <c r="I99" s="573" t="s">
        <v>85</v>
      </c>
      <c r="J99" s="10"/>
      <c r="K99" s="26">
        <f t="shared" si="11"/>
        <v>443.6</v>
      </c>
      <c r="L99" s="26">
        <f t="shared" si="11"/>
        <v>0</v>
      </c>
      <c r="M99" s="26">
        <v>443.6</v>
      </c>
      <c r="N99" s="26">
        <v>443.6</v>
      </c>
    </row>
    <row r="100" spans="1:14" s="117" customFormat="1" ht="54" x14ac:dyDescent="0.35">
      <c r="A100" s="11"/>
      <c r="B100" s="24" t="s">
        <v>50</v>
      </c>
      <c r="C100" s="25" t="s">
        <v>1</v>
      </c>
      <c r="D100" s="10" t="s">
        <v>58</v>
      </c>
      <c r="E100" s="10" t="s">
        <v>83</v>
      </c>
      <c r="F100" s="571" t="s">
        <v>76</v>
      </c>
      <c r="G100" s="572" t="s">
        <v>84</v>
      </c>
      <c r="H100" s="572" t="s">
        <v>34</v>
      </c>
      <c r="I100" s="573" t="s">
        <v>85</v>
      </c>
      <c r="J100" s="10" t="s">
        <v>51</v>
      </c>
      <c r="K100" s="26">
        <v>443.6</v>
      </c>
      <c r="L100" s="26">
        <f>M100-K100</f>
        <v>0</v>
      </c>
      <c r="M100" s="26">
        <v>443.6</v>
      </c>
      <c r="N100" s="26">
        <v>443.6</v>
      </c>
    </row>
    <row r="101" spans="1:14" s="117" customFormat="1" ht="72" x14ac:dyDescent="0.35">
      <c r="A101" s="11"/>
      <c r="B101" s="29" t="s">
        <v>357</v>
      </c>
      <c r="C101" s="25" t="s">
        <v>1</v>
      </c>
      <c r="D101" s="10" t="s">
        <v>58</v>
      </c>
      <c r="E101" s="10" t="s">
        <v>83</v>
      </c>
      <c r="F101" s="571" t="s">
        <v>76</v>
      </c>
      <c r="G101" s="572" t="s">
        <v>25</v>
      </c>
      <c r="H101" s="572" t="s">
        <v>38</v>
      </c>
      <c r="I101" s="573" t="s">
        <v>39</v>
      </c>
      <c r="J101" s="10"/>
      <c r="K101" s="26">
        <f t="shared" ref="K101:N102" si="12">K102</f>
        <v>11008.6</v>
      </c>
      <c r="L101" s="26">
        <f t="shared" si="12"/>
        <v>0</v>
      </c>
      <c r="M101" s="26">
        <v>11008.6</v>
      </c>
      <c r="N101" s="26">
        <v>11009</v>
      </c>
    </row>
    <row r="102" spans="1:14" s="117" customFormat="1" ht="72" x14ac:dyDescent="0.35">
      <c r="A102" s="11"/>
      <c r="B102" s="27" t="s">
        <v>310</v>
      </c>
      <c r="C102" s="25" t="s">
        <v>1</v>
      </c>
      <c r="D102" s="10" t="s">
        <v>58</v>
      </c>
      <c r="E102" s="10" t="s">
        <v>83</v>
      </c>
      <c r="F102" s="571" t="s">
        <v>76</v>
      </c>
      <c r="G102" s="572" t="s">
        <v>25</v>
      </c>
      <c r="H102" s="572" t="s">
        <v>32</v>
      </c>
      <c r="I102" s="573" t="s">
        <v>39</v>
      </c>
      <c r="J102" s="10"/>
      <c r="K102" s="26">
        <f t="shared" si="12"/>
        <v>11008.6</v>
      </c>
      <c r="L102" s="26">
        <f t="shared" si="12"/>
        <v>0</v>
      </c>
      <c r="M102" s="26">
        <v>11008.6</v>
      </c>
      <c r="N102" s="26">
        <v>11009</v>
      </c>
    </row>
    <row r="103" spans="1:14" s="117" customFormat="1" ht="38.25" customHeight="1" x14ac:dyDescent="0.35">
      <c r="A103" s="11"/>
      <c r="B103" s="79" t="s">
        <v>437</v>
      </c>
      <c r="C103" s="25" t="s">
        <v>1</v>
      </c>
      <c r="D103" s="10" t="s">
        <v>58</v>
      </c>
      <c r="E103" s="10" t="s">
        <v>83</v>
      </c>
      <c r="F103" s="571" t="s">
        <v>76</v>
      </c>
      <c r="G103" s="572" t="s">
        <v>25</v>
      </c>
      <c r="H103" s="572" t="s">
        <v>32</v>
      </c>
      <c r="I103" s="573" t="s">
        <v>86</v>
      </c>
      <c r="J103" s="10"/>
      <c r="K103" s="26">
        <f>K104+K105+K106</f>
        <v>11008.6</v>
      </c>
      <c r="L103" s="26">
        <f>L104+L105+L106</f>
        <v>0</v>
      </c>
      <c r="M103" s="26">
        <v>11008.6</v>
      </c>
      <c r="N103" s="26">
        <v>11009</v>
      </c>
    </row>
    <row r="104" spans="1:14" s="117" customFormat="1" ht="108" x14ac:dyDescent="0.35">
      <c r="A104" s="11"/>
      <c r="B104" s="24" t="s">
        <v>44</v>
      </c>
      <c r="C104" s="25" t="s">
        <v>1</v>
      </c>
      <c r="D104" s="10" t="s">
        <v>58</v>
      </c>
      <c r="E104" s="10" t="s">
        <v>83</v>
      </c>
      <c r="F104" s="571" t="s">
        <v>76</v>
      </c>
      <c r="G104" s="572" t="s">
        <v>25</v>
      </c>
      <c r="H104" s="572" t="s">
        <v>32</v>
      </c>
      <c r="I104" s="573" t="s">
        <v>86</v>
      </c>
      <c r="J104" s="10" t="s">
        <v>45</v>
      </c>
      <c r="K104" s="26">
        <f>10605+40.2</f>
        <v>10645.2</v>
      </c>
      <c r="L104" s="26">
        <f>M104-K104</f>
        <v>0</v>
      </c>
      <c r="M104" s="26">
        <v>10645.2</v>
      </c>
      <c r="N104" s="26">
        <v>10645.2</v>
      </c>
    </row>
    <row r="105" spans="1:14" s="117" customFormat="1" ht="54" x14ac:dyDescent="0.35">
      <c r="A105" s="11"/>
      <c r="B105" s="24" t="s">
        <v>50</v>
      </c>
      <c r="C105" s="25" t="s">
        <v>1</v>
      </c>
      <c r="D105" s="10" t="s">
        <v>58</v>
      </c>
      <c r="E105" s="10" t="s">
        <v>83</v>
      </c>
      <c r="F105" s="571" t="s">
        <v>76</v>
      </c>
      <c r="G105" s="572" t="s">
        <v>25</v>
      </c>
      <c r="H105" s="572" t="s">
        <v>32</v>
      </c>
      <c r="I105" s="573" t="s">
        <v>86</v>
      </c>
      <c r="J105" s="10" t="s">
        <v>51</v>
      </c>
      <c r="K105" s="26">
        <v>357.1</v>
      </c>
      <c r="L105" s="26">
        <f>M105-K105</f>
        <v>0</v>
      </c>
      <c r="M105" s="26">
        <v>357.1</v>
      </c>
      <c r="N105" s="26">
        <v>357.5</v>
      </c>
    </row>
    <row r="106" spans="1:14" s="117" customFormat="1" ht="18" x14ac:dyDescent="0.35">
      <c r="A106" s="11"/>
      <c r="B106" s="24" t="s">
        <v>52</v>
      </c>
      <c r="C106" s="25" t="s">
        <v>1</v>
      </c>
      <c r="D106" s="10" t="s">
        <v>58</v>
      </c>
      <c r="E106" s="10" t="s">
        <v>83</v>
      </c>
      <c r="F106" s="571" t="s">
        <v>76</v>
      </c>
      <c r="G106" s="572" t="s">
        <v>25</v>
      </c>
      <c r="H106" s="572" t="s">
        <v>32</v>
      </c>
      <c r="I106" s="573" t="s">
        <v>86</v>
      </c>
      <c r="J106" s="10" t="s">
        <v>53</v>
      </c>
      <c r="K106" s="26">
        <v>6.3</v>
      </c>
      <c r="L106" s="26">
        <f>M106-K106</f>
        <v>0</v>
      </c>
      <c r="M106" s="26">
        <v>6.3</v>
      </c>
      <c r="N106" s="26">
        <v>6.3</v>
      </c>
    </row>
    <row r="107" spans="1:14" s="117" customFormat="1" ht="54" x14ac:dyDescent="0.35">
      <c r="A107" s="11"/>
      <c r="B107" s="262" t="s">
        <v>465</v>
      </c>
      <c r="C107" s="25" t="s">
        <v>1</v>
      </c>
      <c r="D107" s="10" t="s">
        <v>58</v>
      </c>
      <c r="E107" s="10" t="s">
        <v>83</v>
      </c>
      <c r="F107" s="571" t="s">
        <v>76</v>
      </c>
      <c r="G107" s="572" t="s">
        <v>26</v>
      </c>
      <c r="H107" s="572" t="s">
        <v>38</v>
      </c>
      <c r="I107" s="573" t="s">
        <v>39</v>
      </c>
      <c r="J107" s="10"/>
      <c r="K107" s="26">
        <f t="shared" ref="K107:N109" si="13">K108</f>
        <v>21.8</v>
      </c>
      <c r="L107" s="26">
        <f t="shared" si="13"/>
        <v>0</v>
      </c>
      <c r="M107" s="26">
        <v>21.8</v>
      </c>
      <c r="N107" s="26">
        <v>21.8</v>
      </c>
    </row>
    <row r="108" spans="1:14" s="117" customFormat="1" ht="72" x14ac:dyDescent="0.35">
      <c r="A108" s="11"/>
      <c r="B108" s="263" t="s">
        <v>466</v>
      </c>
      <c r="C108" s="25" t="s">
        <v>1</v>
      </c>
      <c r="D108" s="10" t="s">
        <v>58</v>
      </c>
      <c r="E108" s="10" t="s">
        <v>83</v>
      </c>
      <c r="F108" s="571" t="s">
        <v>76</v>
      </c>
      <c r="G108" s="572" t="s">
        <v>26</v>
      </c>
      <c r="H108" s="572" t="s">
        <v>32</v>
      </c>
      <c r="I108" s="573" t="s">
        <v>39</v>
      </c>
      <c r="J108" s="10"/>
      <c r="K108" s="26">
        <f t="shared" si="13"/>
        <v>21.8</v>
      </c>
      <c r="L108" s="26">
        <f t="shared" si="13"/>
        <v>0</v>
      </c>
      <c r="M108" s="26">
        <v>21.8</v>
      </c>
      <c r="N108" s="26">
        <v>21.8</v>
      </c>
    </row>
    <row r="109" spans="1:14" s="117" customFormat="1" ht="54" x14ac:dyDescent="0.35">
      <c r="A109" s="11"/>
      <c r="B109" s="260" t="s">
        <v>80</v>
      </c>
      <c r="C109" s="25" t="s">
        <v>1</v>
      </c>
      <c r="D109" s="10" t="s">
        <v>58</v>
      </c>
      <c r="E109" s="10" t="s">
        <v>83</v>
      </c>
      <c r="F109" s="571" t="s">
        <v>76</v>
      </c>
      <c r="G109" s="572" t="s">
        <v>26</v>
      </c>
      <c r="H109" s="572" t="s">
        <v>32</v>
      </c>
      <c r="I109" s="573" t="s">
        <v>81</v>
      </c>
      <c r="J109" s="10"/>
      <c r="K109" s="26">
        <f t="shared" si="13"/>
        <v>21.8</v>
      </c>
      <c r="L109" s="26">
        <f t="shared" si="13"/>
        <v>0</v>
      </c>
      <c r="M109" s="26">
        <v>21.8</v>
      </c>
      <c r="N109" s="26">
        <v>21.8</v>
      </c>
    </row>
    <row r="110" spans="1:14" s="117" customFormat="1" ht="54" x14ac:dyDescent="0.35">
      <c r="A110" s="11"/>
      <c r="B110" s="261" t="s">
        <v>50</v>
      </c>
      <c r="C110" s="25" t="s">
        <v>1</v>
      </c>
      <c r="D110" s="10" t="s">
        <v>58</v>
      </c>
      <c r="E110" s="10" t="s">
        <v>83</v>
      </c>
      <c r="F110" s="571" t="s">
        <v>76</v>
      </c>
      <c r="G110" s="572" t="s">
        <v>26</v>
      </c>
      <c r="H110" s="572" t="s">
        <v>32</v>
      </c>
      <c r="I110" s="573" t="s">
        <v>81</v>
      </c>
      <c r="J110" s="10" t="s">
        <v>51</v>
      </c>
      <c r="K110" s="26">
        <v>21.8</v>
      </c>
      <c r="L110" s="26">
        <f>M110-K110</f>
        <v>0</v>
      </c>
      <c r="M110" s="26">
        <v>21.8</v>
      </c>
      <c r="N110" s="26">
        <v>21.8</v>
      </c>
    </row>
    <row r="111" spans="1:14" s="117" customFormat="1" ht="18" x14ac:dyDescent="0.35">
      <c r="A111" s="11"/>
      <c r="B111" s="24" t="s">
        <v>87</v>
      </c>
      <c r="C111" s="25" t="s">
        <v>1</v>
      </c>
      <c r="D111" s="10" t="s">
        <v>47</v>
      </c>
      <c r="E111" s="10"/>
      <c r="F111" s="571"/>
      <c r="G111" s="572"/>
      <c r="H111" s="572"/>
      <c r="I111" s="573"/>
      <c r="J111" s="10"/>
      <c r="K111" s="26">
        <f>K112+K121+K127</f>
        <v>28289</v>
      </c>
      <c r="L111" s="26">
        <f>L112+L121+L127</f>
        <v>0</v>
      </c>
      <c r="M111" s="26">
        <v>28289</v>
      </c>
      <c r="N111" s="26">
        <v>31457.599999999999</v>
      </c>
    </row>
    <row r="112" spans="1:14" s="7" customFormat="1" ht="18" x14ac:dyDescent="0.35">
      <c r="A112" s="11"/>
      <c r="B112" s="24" t="s">
        <v>88</v>
      </c>
      <c r="C112" s="25" t="s">
        <v>1</v>
      </c>
      <c r="D112" s="10" t="s">
        <v>47</v>
      </c>
      <c r="E112" s="10" t="s">
        <v>60</v>
      </c>
      <c r="F112" s="571"/>
      <c r="G112" s="572"/>
      <c r="H112" s="572"/>
      <c r="I112" s="573"/>
      <c r="J112" s="10"/>
      <c r="K112" s="26">
        <f t="shared" ref="K112:N113" si="14">K113</f>
        <v>12695.300000000001</v>
      </c>
      <c r="L112" s="26">
        <f t="shared" si="14"/>
        <v>0</v>
      </c>
      <c r="M112" s="26">
        <v>12695.300000000001</v>
      </c>
      <c r="N112" s="26">
        <v>17253.900000000001</v>
      </c>
    </row>
    <row r="113" spans="1:14" s="117" customFormat="1" ht="59.25" customHeight="1" x14ac:dyDescent="0.35">
      <c r="A113" s="11"/>
      <c r="B113" s="24" t="s">
        <v>89</v>
      </c>
      <c r="C113" s="25" t="s">
        <v>1</v>
      </c>
      <c r="D113" s="10" t="s">
        <v>47</v>
      </c>
      <c r="E113" s="10" t="s">
        <v>60</v>
      </c>
      <c r="F113" s="571" t="s">
        <v>62</v>
      </c>
      <c r="G113" s="572" t="s">
        <v>37</v>
      </c>
      <c r="H113" s="572" t="s">
        <v>38</v>
      </c>
      <c r="I113" s="573" t="s">
        <v>39</v>
      </c>
      <c r="J113" s="10"/>
      <c r="K113" s="26">
        <f t="shared" si="14"/>
        <v>12695.300000000001</v>
      </c>
      <c r="L113" s="26">
        <f t="shared" si="14"/>
        <v>0</v>
      </c>
      <c r="M113" s="26">
        <v>12695.300000000001</v>
      </c>
      <c r="N113" s="26">
        <v>17253.900000000001</v>
      </c>
    </row>
    <row r="114" spans="1:14" s="7" customFormat="1" ht="36" x14ac:dyDescent="0.35">
      <c r="A114" s="11"/>
      <c r="B114" s="24" t="s">
        <v>328</v>
      </c>
      <c r="C114" s="25" t="s">
        <v>1</v>
      </c>
      <c r="D114" s="10" t="s">
        <v>47</v>
      </c>
      <c r="E114" s="10" t="s">
        <v>60</v>
      </c>
      <c r="F114" s="571" t="s">
        <v>62</v>
      </c>
      <c r="G114" s="572" t="s">
        <v>40</v>
      </c>
      <c r="H114" s="572" t="s">
        <v>38</v>
      </c>
      <c r="I114" s="573" t="s">
        <v>39</v>
      </c>
      <c r="J114" s="10"/>
      <c r="K114" s="26">
        <f>K115+K118</f>
        <v>12695.300000000001</v>
      </c>
      <c r="L114" s="26">
        <f>L115+L118</f>
        <v>0</v>
      </c>
      <c r="M114" s="26">
        <v>12695.300000000001</v>
      </c>
      <c r="N114" s="26">
        <v>17253.900000000001</v>
      </c>
    </row>
    <row r="115" spans="1:14" s="7" customFormat="1" ht="54" x14ac:dyDescent="0.35">
      <c r="A115" s="11"/>
      <c r="B115" s="24" t="s">
        <v>90</v>
      </c>
      <c r="C115" s="25" t="s">
        <v>1</v>
      </c>
      <c r="D115" s="10" t="s">
        <v>47</v>
      </c>
      <c r="E115" s="10" t="s">
        <v>60</v>
      </c>
      <c r="F115" s="571" t="s">
        <v>62</v>
      </c>
      <c r="G115" s="572" t="s">
        <v>40</v>
      </c>
      <c r="H115" s="572" t="s">
        <v>32</v>
      </c>
      <c r="I115" s="573" t="s">
        <v>39</v>
      </c>
      <c r="J115" s="10"/>
      <c r="K115" s="26">
        <f t="shared" ref="K115:N115" si="15">K116</f>
        <v>11070.6</v>
      </c>
      <c r="L115" s="26">
        <f t="shared" si="15"/>
        <v>0</v>
      </c>
      <c r="M115" s="26">
        <v>11070.6</v>
      </c>
      <c r="N115" s="26">
        <v>15776.9</v>
      </c>
    </row>
    <row r="116" spans="1:14" s="7" customFormat="1" ht="72" x14ac:dyDescent="0.35">
      <c r="A116" s="11"/>
      <c r="B116" s="44" t="s">
        <v>397</v>
      </c>
      <c r="C116" s="25" t="s">
        <v>1</v>
      </c>
      <c r="D116" s="10" t="s">
        <v>47</v>
      </c>
      <c r="E116" s="10" t="s">
        <v>60</v>
      </c>
      <c r="F116" s="571" t="s">
        <v>62</v>
      </c>
      <c r="G116" s="572" t="s">
        <v>40</v>
      </c>
      <c r="H116" s="572" t="s">
        <v>32</v>
      </c>
      <c r="I116" s="573" t="s">
        <v>56</v>
      </c>
      <c r="J116" s="10"/>
      <c r="K116" s="26">
        <f>K117</f>
        <v>11070.6</v>
      </c>
      <c r="L116" s="26">
        <f>L117</f>
        <v>0</v>
      </c>
      <c r="M116" s="26">
        <v>11070.6</v>
      </c>
      <c r="N116" s="26">
        <v>15776.9</v>
      </c>
    </row>
    <row r="117" spans="1:14" s="117" customFormat="1" ht="18" x14ac:dyDescent="0.35">
      <c r="A117" s="11"/>
      <c r="B117" s="24" t="s">
        <v>52</v>
      </c>
      <c r="C117" s="25" t="s">
        <v>1</v>
      </c>
      <c r="D117" s="10" t="s">
        <v>47</v>
      </c>
      <c r="E117" s="10" t="s">
        <v>60</v>
      </c>
      <c r="F117" s="571" t="s">
        <v>62</v>
      </c>
      <c r="G117" s="572" t="s">
        <v>40</v>
      </c>
      <c r="H117" s="572" t="s">
        <v>32</v>
      </c>
      <c r="I117" s="573" t="s">
        <v>56</v>
      </c>
      <c r="J117" s="10" t="s">
        <v>53</v>
      </c>
      <c r="K117" s="26">
        <v>11070.6</v>
      </c>
      <c r="L117" s="26">
        <f>M117-K117</f>
        <v>0</v>
      </c>
      <c r="M117" s="26">
        <v>11070.6</v>
      </c>
      <c r="N117" s="26">
        <v>15776.9</v>
      </c>
    </row>
    <row r="118" spans="1:14" s="7" customFormat="1" ht="57" customHeight="1" x14ac:dyDescent="0.35">
      <c r="A118" s="11"/>
      <c r="B118" s="24" t="s">
        <v>91</v>
      </c>
      <c r="C118" s="25" t="s">
        <v>1</v>
      </c>
      <c r="D118" s="10" t="s">
        <v>47</v>
      </c>
      <c r="E118" s="10" t="s">
        <v>60</v>
      </c>
      <c r="F118" s="571" t="s">
        <v>62</v>
      </c>
      <c r="G118" s="572" t="s">
        <v>40</v>
      </c>
      <c r="H118" s="572" t="s">
        <v>34</v>
      </c>
      <c r="I118" s="573" t="s">
        <v>39</v>
      </c>
      <c r="J118" s="10"/>
      <c r="K118" s="26">
        <f t="shared" ref="K118:N119" si="16">K119</f>
        <v>1624.7</v>
      </c>
      <c r="L118" s="26">
        <f t="shared" si="16"/>
        <v>0</v>
      </c>
      <c r="M118" s="26">
        <v>1624.7</v>
      </c>
      <c r="N118" s="26">
        <v>1477</v>
      </c>
    </row>
    <row r="119" spans="1:14" s="7" customFormat="1" ht="180" x14ac:dyDescent="0.35">
      <c r="A119" s="11"/>
      <c r="B119" s="24" t="s">
        <v>514</v>
      </c>
      <c r="C119" s="25" t="s">
        <v>1</v>
      </c>
      <c r="D119" s="10" t="s">
        <v>47</v>
      </c>
      <c r="E119" s="10" t="s">
        <v>60</v>
      </c>
      <c r="F119" s="571" t="s">
        <v>62</v>
      </c>
      <c r="G119" s="572" t="s">
        <v>40</v>
      </c>
      <c r="H119" s="572" t="s">
        <v>34</v>
      </c>
      <c r="I119" s="573" t="s">
        <v>92</v>
      </c>
      <c r="J119" s="10"/>
      <c r="K119" s="26">
        <f t="shared" si="16"/>
        <v>1624.7</v>
      </c>
      <c r="L119" s="26">
        <f t="shared" si="16"/>
        <v>0</v>
      </c>
      <c r="M119" s="26">
        <v>1624.7</v>
      </c>
      <c r="N119" s="26">
        <v>1477</v>
      </c>
    </row>
    <row r="120" spans="1:14" s="117" customFormat="1" ht="54" x14ac:dyDescent="0.35">
      <c r="A120" s="11"/>
      <c r="B120" s="24" t="s">
        <v>50</v>
      </c>
      <c r="C120" s="25" t="s">
        <v>1</v>
      </c>
      <c r="D120" s="10" t="s">
        <v>47</v>
      </c>
      <c r="E120" s="10" t="s">
        <v>60</v>
      </c>
      <c r="F120" s="571" t="s">
        <v>62</v>
      </c>
      <c r="G120" s="572" t="s">
        <v>40</v>
      </c>
      <c r="H120" s="572" t="s">
        <v>34</v>
      </c>
      <c r="I120" s="573" t="s">
        <v>92</v>
      </c>
      <c r="J120" s="10" t="s">
        <v>51</v>
      </c>
      <c r="K120" s="26">
        <v>1624.7</v>
      </c>
      <c r="L120" s="26">
        <f>M120-K120</f>
        <v>0</v>
      </c>
      <c r="M120" s="26">
        <v>1624.7</v>
      </c>
      <c r="N120" s="26">
        <v>1477</v>
      </c>
    </row>
    <row r="121" spans="1:14" s="7" customFormat="1" ht="18" x14ac:dyDescent="0.35">
      <c r="A121" s="11"/>
      <c r="B121" s="29" t="s">
        <v>93</v>
      </c>
      <c r="C121" s="25" t="s">
        <v>1</v>
      </c>
      <c r="D121" s="10" t="s">
        <v>47</v>
      </c>
      <c r="E121" s="10" t="s">
        <v>74</v>
      </c>
      <c r="F121" s="571"/>
      <c r="G121" s="572"/>
      <c r="H121" s="572"/>
      <c r="I121" s="573"/>
      <c r="J121" s="10"/>
      <c r="K121" s="26">
        <f t="shared" ref="K121:N125" si="17">K122</f>
        <v>6443.4</v>
      </c>
      <c r="L121" s="26">
        <f t="shared" si="17"/>
        <v>0</v>
      </c>
      <c r="M121" s="26">
        <v>6443.4</v>
      </c>
      <c r="N121" s="26">
        <v>6701.1</v>
      </c>
    </row>
    <row r="122" spans="1:14" s="117" customFormat="1" ht="54" x14ac:dyDescent="0.35">
      <c r="A122" s="11"/>
      <c r="B122" s="24" t="s">
        <v>94</v>
      </c>
      <c r="C122" s="25" t="s">
        <v>1</v>
      </c>
      <c r="D122" s="10" t="s">
        <v>47</v>
      </c>
      <c r="E122" s="10" t="s">
        <v>74</v>
      </c>
      <c r="F122" s="571" t="s">
        <v>95</v>
      </c>
      <c r="G122" s="572" t="s">
        <v>37</v>
      </c>
      <c r="H122" s="572" t="s">
        <v>38</v>
      </c>
      <c r="I122" s="573" t="s">
        <v>39</v>
      </c>
      <c r="J122" s="10"/>
      <c r="K122" s="26">
        <f t="shared" si="17"/>
        <v>6443.4</v>
      </c>
      <c r="L122" s="26">
        <f t="shared" si="17"/>
        <v>0</v>
      </c>
      <c r="M122" s="26">
        <v>6443.4</v>
      </c>
      <c r="N122" s="26">
        <v>6701.1</v>
      </c>
    </row>
    <row r="123" spans="1:14" s="7" customFormat="1" ht="36" x14ac:dyDescent="0.35">
      <c r="A123" s="11"/>
      <c r="B123" s="24" t="s">
        <v>328</v>
      </c>
      <c r="C123" s="25" t="s">
        <v>1</v>
      </c>
      <c r="D123" s="10" t="s">
        <v>47</v>
      </c>
      <c r="E123" s="10" t="s">
        <v>74</v>
      </c>
      <c r="F123" s="571" t="s">
        <v>95</v>
      </c>
      <c r="G123" s="572" t="s">
        <v>40</v>
      </c>
      <c r="H123" s="572" t="s">
        <v>38</v>
      </c>
      <c r="I123" s="573" t="s">
        <v>39</v>
      </c>
      <c r="J123" s="10"/>
      <c r="K123" s="26">
        <f t="shared" si="17"/>
        <v>6443.4</v>
      </c>
      <c r="L123" s="26">
        <f t="shared" si="17"/>
        <v>0</v>
      </c>
      <c r="M123" s="26">
        <v>6443.4</v>
      </c>
      <c r="N123" s="26">
        <v>6701.1</v>
      </c>
    </row>
    <row r="124" spans="1:14" s="7" customFormat="1" ht="90" x14ac:dyDescent="0.35">
      <c r="A124" s="11"/>
      <c r="B124" s="24" t="s">
        <v>96</v>
      </c>
      <c r="C124" s="25" t="s">
        <v>1</v>
      </c>
      <c r="D124" s="10" t="s">
        <v>47</v>
      </c>
      <c r="E124" s="10" t="s">
        <v>74</v>
      </c>
      <c r="F124" s="571" t="s">
        <v>95</v>
      </c>
      <c r="G124" s="572" t="s">
        <v>40</v>
      </c>
      <c r="H124" s="572" t="s">
        <v>32</v>
      </c>
      <c r="I124" s="573" t="s">
        <v>39</v>
      </c>
      <c r="J124" s="10"/>
      <c r="K124" s="26">
        <f t="shared" si="17"/>
        <v>6443.4</v>
      </c>
      <c r="L124" s="26">
        <f t="shared" si="17"/>
        <v>0</v>
      </c>
      <c r="M124" s="26">
        <v>6443.4</v>
      </c>
      <c r="N124" s="26">
        <v>6701.1</v>
      </c>
    </row>
    <row r="125" spans="1:14" s="7" customFormat="1" ht="75.75" customHeight="1" x14ac:dyDescent="0.35">
      <c r="A125" s="11"/>
      <c r="B125" s="30" t="s">
        <v>97</v>
      </c>
      <c r="C125" s="25" t="s">
        <v>1</v>
      </c>
      <c r="D125" s="10" t="s">
        <v>47</v>
      </c>
      <c r="E125" s="10" t="s">
        <v>74</v>
      </c>
      <c r="F125" s="571" t="s">
        <v>95</v>
      </c>
      <c r="G125" s="572" t="s">
        <v>40</v>
      </c>
      <c r="H125" s="572" t="s">
        <v>32</v>
      </c>
      <c r="I125" s="573" t="s">
        <v>98</v>
      </c>
      <c r="J125" s="10"/>
      <c r="K125" s="26">
        <f t="shared" si="17"/>
        <v>6443.4</v>
      </c>
      <c r="L125" s="26">
        <f t="shared" si="17"/>
        <v>0</v>
      </c>
      <c r="M125" s="26">
        <v>6443.4</v>
      </c>
      <c r="N125" s="26">
        <v>6701.1</v>
      </c>
    </row>
    <row r="126" spans="1:14" s="117" customFormat="1" ht="54" x14ac:dyDescent="0.35">
      <c r="A126" s="11"/>
      <c r="B126" s="24" t="s">
        <v>50</v>
      </c>
      <c r="C126" s="25" t="s">
        <v>1</v>
      </c>
      <c r="D126" s="10" t="s">
        <v>47</v>
      </c>
      <c r="E126" s="10" t="s">
        <v>74</v>
      </c>
      <c r="F126" s="571" t="s">
        <v>95</v>
      </c>
      <c r="G126" s="572" t="s">
        <v>40</v>
      </c>
      <c r="H126" s="572" t="s">
        <v>32</v>
      </c>
      <c r="I126" s="573" t="s">
        <v>98</v>
      </c>
      <c r="J126" s="10" t="s">
        <v>51</v>
      </c>
      <c r="K126" s="26">
        <v>6443.4</v>
      </c>
      <c r="L126" s="26">
        <f>M126-K126</f>
        <v>0</v>
      </c>
      <c r="M126" s="26">
        <v>6443.4</v>
      </c>
      <c r="N126" s="26">
        <v>6701.1</v>
      </c>
    </row>
    <row r="127" spans="1:14" s="7" customFormat="1" ht="36" x14ac:dyDescent="0.35">
      <c r="A127" s="11"/>
      <c r="B127" s="29" t="s">
        <v>101</v>
      </c>
      <c r="C127" s="25" t="s">
        <v>1</v>
      </c>
      <c r="D127" s="10" t="s">
        <v>47</v>
      </c>
      <c r="E127" s="10" t="s">
        <v>95</v>
      </c>
      <c r="F127" s="571"/>
      <c r="G127" s="572"/>
      <c r="H127" s="572"/>
      <c r="I127" s="573"/>
      <c r="J127" s="10"/>
      <c r="K127" s="26">
        <f>K128+K137+K144</f>
        <v>9150.2999999999993</v>
      </c>
      <c r="L127" s="26">
        <f>L128+L137+L144</f>
        <v>0</v>
      </c>
      <c r="M127" s="26">
        <v>9150.2999999999993</v>
      </c>
      <c r="N127" s="26">
        <v>7502.6</v>
      </c>
    </row>
    <row r="128" spans="1:14" s="117" customFormat="1" ht="72" x14ac:dyDescent="0.35">
      <c r="A128" s="11"/>
      <c r="B128" s="24" t="s">
        <v>102</v>
      </c>
      <c r="C128" s="25" t="s">
        <v>1</v>
      </c>
      <c r="D128" s="10" t="s">
        <v>47</v>
      </c>
      <c r="E128" s="10" t="s">
        <v>95</v>
      </c>
      <c r="F128" s="571" t="s">
        <v>66</v>
      </c>
      <c r="G128" s="572" t="s">
        <v>37</v>
      </c>
      <c r="H128" s="572" t="s">
        <v>38</v>
      </c>
      <c r="I128" s="573" t="s">
        <v>39</v>
      </c>
      <c r="J128" s="10"/>
      <c r="K128" s="26">
        <f>K133+K129</f>
        <v>1025.0999999999999</v>
      </c>
      <c r="L128" s="26">
        <f>L133+L129</f>
        <v>0</v>
      </c>
      <c r="M128" s="26">
        <v>1025.0999999999999</v>
      </c>
      <c r="N128" s="26">
        <v>1025.0999999999999</v>
      </c>
    </row>
    <row r="129" spans="1:14" s="117" customFormat="1" ht="54" x14ac:dyDescent="0.35">
      <c r="A129" s="11"/>
      <c r="B129" s="29" t="s">
        <v>103</v>
      </c>
      <c r="C129" s="25" t="s">
        <v>1</v>
      </c>
      <c r="D129" s="10" t="s">
        <v>47</v>
      </c>
      <c r="E129" s="10" t="s">
        <v>95</v>
      </c>
      <c r="F129" s="571" t="s">
        <v>66</v>
      </c>
      <c r="G129" s="572" t="s">
        <v>40</v>
      </c>
      <c r="H129" s="572" t="s">
        <v>38</v>
      </c>
      <c r="I129" s="573" t="s">
        <v>39</v>
      </c>
      <c r="J129" s="10"/>
      <c r="K129" s="26">
        <f t="shared" ref="K129:N131" si="18">K130</f>
        <v>310</v>
      </c>
      <c r="L129" s="26">
        <f t="shared" si="18"/>
        <v>0</v>
      </c>
      <c r="M129" s="26">
        <v>310</v>
      </c>
      <c r="N129" s="26">
        <v>310</v>
      </c>
    </row>
    <row r="130" spans="1:14" s="117" customFormat="1" ht="36" x14ac:dyDescent="0.35">
      <c r="A130" s="11"/>
      <c r="B130" s="24" t="s">
        <v>104</v>
      </c>
      <c r="C130" s="25" t="s">
        <v>1</v>
      </c>
      <c r="D130" s="10" t="s">
        <v>47</v>
      </c>
      <c r="E130" s="10" t="s">
        <v>95</v>
      </c>
      <c r="F130" s="571" t="s">
        <v>66</v>
      </c>
      <c r="G130" s="572" t="s">
        <v>40</v>
      </c>
      <c r="H130" s="572" t="s">
        <v>32</v>
      </c>
      <c r="I130" s="573" t="s">
        <v>39</v>
      </c>
      <c r="J130" s="10"/>
      <c r="K130" s="26">
        <f t="shared" si="18"/>
        <v>310</v>
      </c>
      <c r="L130" s="26">
        <f t="shared" si="18"/>
        <v>0</v>
      </c>
      <c r="M130" s="26">
        <v>310</v>
      </c>
      <c r="N130" s="26">
        <v>310</v>
      </c>
    </row>
    <row r="131" spans="1:14" s="117" customFormat="1" ht="36" x14ac:dyDescent="0.35">
      <c r="A131" s="11"/>
      <c r="B131" s="29" t="s">
        <v>105</v>
      </c>
      <c r="C131" s="25" t="s">
        <v>1</v>
      </c>
      <c r="D131" s="10" t="s">
        <v>47</v>
      </c>
      <c r="E131" s="10" t="s">
        <v>95</v>
      </c>
      <c r="F131" s="571" t="s">
        <v>66</v>
      </c>
      <c r="G131" s="572" t="s">
        <v>40</v>
      </c>
      <c r="H131" s="572" t="s">
        <v>32</v>
      </c>
      <c r="I131" s="573" t="s">
        <v>106</v>
      </c>
      <c r="J131" s="10"/>
      <c r="K131" s="26">
        <f t="shared" si="18"/>
        <v>310</v>
      </c>
      <c r="L131" s="26">
        <f t="shared" si="18"/>
        <v>0</v>
      </c>
      <c r="M131" s="26">
        <v>310</v>
      </c>
      <c r="N131" s="26">
        <v>310</v>
      </c>
    </row>
    <row r="132" spans="1:14" s="117" customFormat="1" ht="54" x14ac:dyDescent="0.35">
      <c r="A132" s="11"/>
      <c r="B132" s="24" t="s">
        <v>50</v>
      </c>
      <c r="C132" s="25" t="s">
        <v>1</v>
      </c>
      <c r="D132" s="10" t="s">
        <v>47</v>
      </c>
      <c r="E132" s="10" t="s">
        <v>95</v>
      </c>
      <c r="F132" s="571" t="s">
        <v>66</v>
      </c>
      <c r="G132" s="572" t="s">
        <v>40</v>
      </c>
      <c r="H132" s="572" t="s">
        <v>32</v>
      </c>
      <c r="I132" s="573" t="s">
        <v>106</v>
      </c>
      <c r="J132" s="10" t="s">
        <v>51</v>
      </c>
      <c r="K132" s="26">
        <v>310</v>
      </c>
      <c r="L132" s="26">
        <f>M132-K132</f>
        <v>0</v>
      </c>
      <c r="M132" s="26">
        <v>310</v>
      </c>
      <c r="N132" s="26">
        <v>310</v>
      </c>
    </row>
    <row r="133" spans="1:14" s="117" customFormat="1" ht="36" x14ac:dyDescent="0.35">
      <c r="A133" s="11"/>
      <c r="B133" s="29" t="s">
        <v>107</v>
      </c>
      <c r="C133" s="25" t="s">
        <v>1</v>
      </c>
      <c r="D133" s="10" t="s">
        <v>47</v>
      </c>
      <c r="E133" s="10" t="s">
        <v>95</v>
      </c>
      <c r="F133" s="571" t="s">
        <v>66</v>
      </c>
      <c r="G133" s="572" t="s">
        <v>84</v>
      </c>
      <c r="H133" s="572" t="s">
        <v>38</v>
      </c>
      <c r="I133" s="573" t="s">
        <v>39</v>
      </c>
      <c r="J133" s="10"/>
      <c r="K133" s="26">
        <f t="shared" ref="K133:N135" si="19">K134</f>
        <v>715.1</v>
      </c>
      <c r="L133" s="26">
        <f t="shared" si="19"/>
        <v>0</v>
      </c>
      <c r="M133" s="26">
        <v>715.1</v>
      </c>
      <c r="N133" s="26">
        <v>715.1</v>
      </c>
    </row>
    <row r="134" spans="1:14" s="7" customFormat="1" ht="54" x14ac:dyDescent="0.35">
      <c r="A134" s="11"/>
      <c r="B134" s="29" t="s">
        <v>108</v>
      </c>
      <c r="C134" s="25" t="s">
        <v>1</v>
      </c>
      <c r="D134" s="10" t="s">
        <v>47</v>
      </c>
      <c r="E134" s="10" t="s">
        <v>95</v>
      </c>
      <c r="F134" s="571" t="s">
        <v>66</v>
      </c>
      <c r="G134" s="572" t="s">
        <v>84</v>
      </c>
      <c r="H134" s="572" t="s">
        <v>32</v>
      </c>
      <c r="I134" s="573" t="s">
        <v>39</v>
      </c>
      <c r="J134" s="10"/>
      <c r="K134" s="26">
        <f t="shared" si="19"/>
        <v>715.1</v>
      </c>
      <c r="L134" s="26">
        <f t="shared" si="19"/>
        <v>0</v>
      </c>
      <c r="M134" s="26">
        <v>715.1</v>
      </c>
      <c r="N134" s="26">
        <v>715.1</v>
      </c>
    </row>
    <row r="135" spans="1:14" s="117" customFormat="1" ht="79.5" customHeight="1" x14ac:dyDescent="0.35">
      <c r="A135" s="11"/>
      <c r="B135" s="29" t="s">
        <v>109</v>
      </c>
      <c r="C135" s="25" t="s">
        <v>1</v>
      </c>
      <c r="D135" s="10" t="s">
        <v>47</v>
      </c>
      <c r="E135" s="10" t="s">
        <v>95</v>
      </c>
      <c r="F135" s="571" t="s">
        <v>66</v>
      </c>
      <c r="G135" s="572" t="s">
        <v>84</v>
      </c>
      <c r="H135" s="572" t="s">
        <v>32</v>
      </c>
      <c r="I135" s="573" t="s">
        <v>110</v>
      </c>
      <c r="J135" s="10"/>
      <c r="K135" s="26">
        <f t="shared" si="19"/>
        <v>715.1</v>
      </c>
      <c r="L135" s="26">
        <f t="shared" si="19"/>
        <v>0</v>
      </c>
      <c r="M135" s="26">
        <v>715.1</v>
      </c>
      <c r="N135" s="26">
        <v>715.1</v>
      </c>
    </row>
    <row r="136" spans="1:14" s="7" customFormat="1" ht="54" x14ac:dyDescent="0.35">
      <c r="A136" s="11"/>
      <c r="B136" s="24" t="s">
        <v>50</v>
      </c>
      <c r="C136" s="25" t="s">
        <v>1</v>
      </c>
      <c r="D136" s="10" t="s">
        <v>47</v>
      </c>
      <c r="E136" s="10" t="s">
        <v>95</v>
      </c>
      <c r="F136" s="571" t="s">
        <v>66</v>
      </c>
      <c r="G136" s="572" t="s">
        <v>84</v>
      </c>
      <c r="H136" s="572" t="s">
        <v>32</v>
      </c>
      <c r="I136" s="573" t="s">
        <v>110</v>
      </c>
      <c r="J136" s="10" t="s">
        <v>51</v>
      </c>
      <c r="K136" s="26">
        <v>715.1</v>
      </c>
      <c r="L136" s="26">
        <f>M136-K136</f>
        <v>0</v>
      </c>
      <c r="M136" s="26">
        <v>715.1</v>
      </c>
      <c r="N136" s="26">
        <v>715.1</v>
      </c>
    </row>
    <row r="137" spans="1:14" s="117" customFormat="1" ht="72" x14ac:dyDescent="0.35">
      <c r="A137" s="11"/>
      <c r="B137" s="24" t="s">
        <v>111</v>
      </c>
      <c r="C137" s="25" t="s">
        <v>1</v>
      </c>
      <c r="D137" s="10" t="s">
        <v>47</v>
      </c>
      <c r="E137" s="10" t="s">
        <v>95</v>
      </c>
      <c r="F137" s="571" t="s">
        <v>83</v>
      </c>
      <c r="G137" s="572" t="s">
        <v>37</v>
      </c>
      <c r="H137" s="572" t="s">
        <v>38</v>
      </c>
      <c r="I137" s="573" t="s">
        <v>39</v>
      </c>
      <c r="J137" s="10"/>
      <c r="K137" s="26">
        <f t="shared" ref="K137:N138" si="20">K138</f>
        <v>891.2</v>
      </c>
      <c r="L137" s="26">
        <f t="shared" si="20"/>
        <v>0</v>
      </c>
      <c r="M137" s="26">
        <v>891.2</v>
      </c>
      <c r="N137" s="26">
        <v>934.2</v>
      </c>
    </row>
    <row r="138" spans="1:14" s="117" customFormat="1" ht="36" x14ac:dyDescent="0.35">
      <c r="A138" s="11"/>
      <c r="B138" s="24" t="s">
        <v>328</v>
      </c>
      <c r="C138" s="25" t="s">
        <v>1</v>
      </c>
      <c r="D138" s="10" t="s">
        <v>47</v>
      </c>
      <c r="E138" s="10" t="s">
        <v>95</v>
      </c>
      <c r="F138" s="571" t="s">
        <v>83</v>
      </c>
      <c r="G138" s="572" t="s">
        <v>40</v>
      </c>
      <c r="H138" s="572" t="s">
        <v>38</v>
      </c>
      <c r="I138" s="573" t="s">
        <v>39</v>
      </c>
      <c r="J138" s="10"/>
      <c r="K138" s="26">
        <f t="shared" si="20"/>
        <v>891.2</v>
      </c>
      <c r="L138" s="26">
        <f t="shared" si="20"/>
        <v>0</v>
      </c>
      <c r="M138" s="26">
        <v>891.2</v>
      </c>
      <c r="N138" s="26">
        <v>934.2</v>
      </c>
    </row>
    <row r="139" spans="1:14" s="7" customFormat="1" ht="72" x14ac:dyDescent="0.35">
      <c r="A139" s="11"/>
      <c r="B139" s="29" t="s">
        <v>295</v>
      </c>
      <c r="C139" s="25" t="s">
        <v>1</v>
      </c>
      <c r="D139" s="10" t="s">
        <v>47</v>
      </c>
      <c r="E139" s="10" t="s">
        <v>95</v>
      </c>
      <c r="F139" s="571" t="s">
        <v>83</v>
      </c>
      <c r="G139" s="572" t="s">
        <v>40</v>
      </c>
      <c r="H139" s="572" t="s">
        <v>32</v>
      </c>
      <c r="I139" s="573" t="s">
        <v>39</v>
      </c>
      <c r="J139" s="10"/>
      <c r="K139" s="26">
        <f>K142+K140</f>
        <v>891.2</v>
      </c>
      <c r="L139" s="26">
        <f>L142+L140</f>
        <v>0</v>
      </c>
      <c r="M139" s="26">
        <v>891.2</v>
      </c>
      <c r="N139" s="26">
        <v>934.2</v>
      </c>
    </row>
    <row r="140" spans="1:14" s="7" customFormat="1" ht="54" x14ac:dyDescent="0.35">
      <c r="A140" s="11"/>
      <c r="B140" s="29" t="s">
        <v>112</v>
      </c>
      <c r="C140" s="25" t="s">
        <v>1</v>
      </c>
      <c r="D140" s="10" t="s">
        <v>47</v>
      </c>
      <c r="E140" s="10" t="s">
        <v>95</v>
      </c>
      <c r="F140" s="571" t="s">
        <v>83</v>
      </c>
      <c r="G140" s="572" t="s">
        <v>40</v>
      </c>
      <c r="H140" s="572" t="s">
        <v>32</v>
      </c>
      <c r="I140" s="573" t="s">
        <v>113</v>
      </c>
      <c r="J140" s="10"/>
      <c r="K140" s="26">
        <f>K141</f>
        <v>112.2</v>
      </c>
      <c r="L140" s="26">
        <f>L141</f>
        <v>0</v>
      </c>
      <c r="M140" s="26">
        <v>112.2</v>
      </c>
      <c r="N140" s="26">
        <v>112.2</v>
      </c>
    </row>
    <row r="141" spans="1:14" s="7" customFormat="1" ht="54" x14ac:dyDescent="0.35">
      <c r="A141" s="11"/>
      <c r="B141" s="24" t="s">
        <v>50</v>
      </c>
      <c r="C141" s="25" t="s">
        <v>1</v>
      </c>
      <c r="D141" s="10" t="s">
        <v>47</v>
      </c>
      <c r="E141" s="10" t="s">
        <v>95</v>
      </c>
      <c r="F141" s="571" t="s">
        <v>83</v>
      </c>
      <c r="G141" s="572" t="s">
        <v>40</v>
      </c>
      <c r="H141" s="572" t="s">
        <v>32</v>
      </c>
      <c r="I141" s="573" t="s">
        <v>113</v>
      </c>
      <c r="J141" s="10" t="s">
        <v>51</v>
      </c>
      <c r="K141" s="26">
        <v>112.2</v>
      </c>
      <c r="L141" s="26">
        <f>M141-K141</f>
        <v>0</v>
      </c>
      <c r="M141" s="26">
        <v>112.2</v>
      </c>
      <c r="N141" s="26">
        <v>112.2</v>
      </c>
    </row>
    <row r="142" spans="1:14" s="7" customFormat="1" ht="90" x14ac:dyDescent="0.35">
      <c r="A142" s="11"/>
      <c r="B142" s="24" t="s">
        <v>515</v>
      </c>
      <c r="C142" s="25" t="s">
        <v>1</v>
      </c>
      <c r="D142" s="10" t="s">
        <v>47</v>
      </c>
      <c r="E142" s="10" t="s">
        <v>95</v>
      </c>
      <c r="F142" s="571" t="s">
        <v>83</v>
      </c>
      <c r="G142" s="572" t="s">
        <v>40</v>
      </c>
      <c r="H142" s="572" t="s">
        <v>32</v>
      </c>
      <c r="I142" s="573" t="s">
        <v>513</v>
      </c>
      <c r="J142" s="10"/>
      <c r="K142" s="26">
        <f t="shared" ref="K142:N142" si="21">K143</f>
        <v>779</v>
      </c>
      <c r="L142" s="26">
        <f t="shared" si="21"/>
        <v>0</v>
      </c>
      <c r="M142" s="26">
        <v>779</v>
      </c>
      <c r="N142" s="26">
        <v>822</v>
      </c>
    </row>
    <row r="143" spans="1:14" s="7" customFormat="1" ht="54" x14ac:dyDescent="0.35">
      <c r="A143" s="11"/>
      <c r="B143" s="24" t="s">
        <v>50</v>
      </c>
      <c r="C143" s="25" t="s">
        <v>1</v>
      </c>
      <c r="D143" s="10" t="s">
        <v>47</v>
      </c>
      <c r="E143" s="10" t="s">
        <v>95</v>
      </c>
      <c r="F143" s="571" t="s">
        <v>83</v>
      </c>
      <c r="G143" s="572" t="s">
        <v>40</v>
      </c>
      <c r="H143" s="572" t="s">
        <v>32</v>
      </c>
      <c r="I143" s="573" t="s">
        <v>513</v>
      </c>
      <c r="J143" s="10" t="s">
        <v>51</v>
      </c>
      <c r="K143" s="26">
        <v>779</v>
      </c>
      <c r="L143" s="26">
        <f>M143-K143</f>
        <v>0</v>
      </c>
      <c r="M143" s="26">
        <v>779</v>
      </c>
      <c r="N143" s="26">
        <v>822</v>
      </c>
    </row>
    <row r="144" spans="1:14" s="7" customFormat="1" ht="54" x14ac:dyDescent="0.35">
      <c r="A144" s="11"/>
      <c r="B144" s="24" t="s">
        <v>35</v>
      </c>
      <c r="C144" s="25" t="s">
        <v>1</v>
      </c>
      <c r="D144" s="10" t="s">
        <v>47</v>
      </c>
      <c r="E144" s="10" t="s">
        <v>95</v>
      </c>
      <c r="F144" s="571" t="s">
        <v>36</v>
      </c>
      <c r="G144" s="572" t="s">
        <v>37</v>
      </c>
      <c r="H144" s="572" t="s">
        <v>38</v>
      </c>
      <c r="I144" s="573" t="s">
        <v>39</v>
      </c>
      <c r="J144" s="10"/>
      <c r="K144" s="26">
        <f t="shared" ref="K144:N145" si="22">K145</f>
        <v>7234</v>
      </c>
      <c r="L144" s="26">
        <f t="shared" si="22"/>
        <v>0</v>
      </c>
      <c r="M144" s="26">
        <v>7234</v>
      </c>
      <c r="N144" s="26">
        <v>5543.3</v>
      </c>
    </row>
    <row r="145" spans="1:14" s="7" customFormat="1" ht="36" x14ac:dyDescent="0.35">
      <c r="A145" s="11"/>
      <c r="B145" s="24" t="s">
        <v>328</v>
      </c>
      <c r="C145" s="25" t="s">
        <v>1</v>
      </c>
      <c r="D145" s="10" t="s">
        <v>47</v>
      </c>
      <c r="E145" s="10" t="s">
        <v>95</v>
      </c>
      <c r="F145" s="571" t="s">
        <v>36</v>
      </c>
      <c r="G145" s="572" t="s">
        <v>40</v>
      </c>
      <c r="H145" s="572" t="s">
        <v>38</v>
      </c>
      <c r="I145" s="573" t="s">
        <v>39</v>
      </c>
      <c r="J145" s="10"/>
      <c r="K145" s="26">
        <f t="shared" si="22"/>
        <v>7234</v>
      </c>
      <c r="L145" s="26">
        <f t="shared" si="22"/>
        <v>0</v>
      </c>
      <c r="M145" s="26">
        <v>7234</v>
      </c>
      <c r="N145" s="26">
        <v>5543.3</v>
      </c>
    </row>
    <row r="146" spans="1:14" s="7" customFormat="1" ht="54" x14ac:dyDescent="0.35">
      <c r="A146" s="11"/>
      <c r="B146" s="24" t="s">
        <v>320</v>
      </c>
      <c r="C146" s="25" t="s">
        <v>1</v>
      </c>
      <c r="D146" s="10" t="s">
        <v>47</v>
      </c>
      <c r="E146" s="10" t="s">
        <v>95</v>
      </c>
      <c r="F146" s="571" t="s">
        <v>36</v>
      </c>
      <c r="G146" s="572" t="s">
        <v>40</v>
      </c>
      <c r="H146" s="572" t="s">
        <v>83</v>
      </c>
      <c r="I146" s="573" t="s">
        <v>39</v>
      </c>
      <c r="J146" s="10"/>
      <c r="K146" s="26">
        <f>K147+K150</f>
        <v>7234</v>
      </c>
      <c r="L146" s="26">
        <f>L147+L150</f>
        <v>0</v>
      </c>
      <c r="M146" s="26">
        <v>7234</v>
      </c>
      <c r="N146" s="26">
        <v>5543.3</v>
      </c>
    </row>
    <row r="147" spans="1:14" s="7" customFormat="1" ht="41.25" customHeight="1" x14ac:dyDescent="0.35">
      <c r="A147" s="11"/>
      <c r="B147" s="79" t="s">
        <v>437</v>
      </c>
      <c r="C147" s="25" t="s">
        <v>1</v>
      </c>
      <c r="D147" s="10" t="s">
        <v>47</v>
      </c>
      <c r="E147" s="10" t="s">
        <v>95</v>
      </c>
      <c r="F147" s="571" t="s">
        <v>36</v>
      </c>
      <c r="G147" s="572" t="s">
        <v>40</v>
      </c>
      <c r="H147" s="572" t="s">
        <v>83</v>
      </c>
      <c r="I147" s="573" t="s">
        <v>86</v>
      </c>
      <c r="J147" s="10"/>
      <c r="K147" s="26">
        <f>K148+K149</f>
        <v>5491</v>
      </c>
      <c r="L147" s="26">
        <f>L148+L149</f>
        <v>0</v>
      </c>
      <c r="M147" s="26">
        <v>5491</v>
      </c>
      <c r="N147" s="26">
        <v>5543.3</v>
      </c>
    </row>
    <row r="148" spans="1:14" s="7" customFormat="1" ht="108" x14ac:dyDescent="0.35">
      <c r="A148" s="11"/>
      <c r="B148" s="24" t="s">
        <v>44</v>
      </c>
      <c r="C148" s="25" t="s">
        <v>1</v>
      </c>
      <c r="D148" s="10" t="s">
        <v>47</v>
      </c>
      <c r="E148" s="10" t="s">
        <v>95</v>
      </c>
      <c r="F148" s="571" t="s">
        <v>36</v>
      </c>
      <c r="G148" s="572" t="s">
        <v>40</v>
      </c>
      <c r="H148" s="572" t="s">
        <v>83</v>
      </c>
      <c r="I148" s="573" t="s">
        <v>86</v>
      </c>
      <c r="J148" s="10" t="s">
        <v>45</v>
      </c>
      <c r="K148" s="26">
        <v>5398</v>
      </c>
      <c r="L148" s="26">
        <f>M148-K148</f>
        <v>0</v>
      </c>
      <c r="M148" s="26">
        <v>5398</v>
      </c>
      <c r="N148" s="26">
        <v>5398</v>
      </c>
    </row>
    <row r="149" spans="1:14" s="7" customFormat="1" ht="54" x14ac:dyDescent="0.35">
      <c r="A149" s="11"/>
      <c r="B149" s="24" t="s">
        <v>50</v>
      </c>
      <c r="C149" s="25" t="s">
        <v>1</v>
      </c>
      <c r="D149" s="10" t="s">
        <v>47</v>
      </c>
      <c r="E149" s="10" t="s">
        <v>95</v>
      </c>
      <c r="F149" s="571" t="s">
        <v>36</v>
      </c>
      <c r="G149" s="572" t="s">
        <v>40</v>
      </c>
      <c r="H149" s="572" t="s">
        <v>83</v>
      </c>
      <c r="I149" s="573" t="s">
        <v>86</v>
      </c>
      <c r="J149" s="10" t="s">
        <v>51</v>
      </c>
      <c r="K149" s="26">
        <f>145.3-52.3</f>
        <v>93.000000000000014</v>
      </c>
      <c r="L149" s="26">
        <f>M149-K149</f>
        <v>0</v>
      </c>
      <c r="M149" s="26">
        <v>93.000000000000014</v>
      </c>
      <c r="N149" s="26">
        <v>145.30000000000001</v>
      </c>
    </row>
    <row r="150" spans="1:14" s="7" customFormat="1" ht="54" x14ac:dyDescent="0.35">
      <c r="A150" s="11"/>
      <c r="B150" s="24" t="s">
        <v>529</v>
      </c>
      <c r="C150" s="25" t="s">
        <v>1</v>
      </c>
      <c r="D150" s="10" t="s">
        <v>47</v>
      </c>
      <c r="E150" s="10" t="s">
        <v>95</v>
      </c>
      <c r="F150" s="571" t="s">
        <v>36</v>
      </c>
      <c r="G150" s="572" t="s">
        <v>40</v>
      </c>
      <c r="H150" s="572" t="s">
        <v>83</v>
      </c>
      <c r="I150" s="573" t="s">
        <v>528</v>
      </c>
      <c r="J150" s="10"/>
      <c r="K150" s="26">
        <f>K151</f>
        <v>1743</v>
      </c>
      <c r="L150" s="26">
        <f>L151</f>
        <v>0</v>
      </c>
      <c r="M150" s="26">
        <v>1743</v>
      </c>
      <c r="N150" s="26">
        <v>0</v>
      </c>
    </row>
    <row r="151" spans="1:14" s="7" customFormat="1" ht="54" x14ac:dyDescent="0.35">
      <c r="A151" s="11"/>
      <c r="B151" s="24" t="s">
        <v>50</v>
      </c>
      <c r="C151" s="25" t="s">
        <v>1</v>
      </c>
      <c r="D151" s="10" t="s">
        <v>47</v>
      </c>
      <c r="E151" s="10" t="s">
        <v>95</v>
      </c>
      <c r="F151" s="571" t="s">
        <v>36</v>
      </c>
      <c r="G151" s="572" t="s">
        <v>40</v>
      </c>
      <c r="H151" s="572" t="s">
        <v>83</v>
      </c>
      <c r="I151" s="573" t="s">
        <v>528</v>
      </c>
      <c r="J151" s="10" t="s">
        <v>51</v>
      </c>
      <c r="K151" s="26">
        <f>52.3+1690.7</f>
        <v>1743</v>
      </c>
      <c r="L151" s="26">
        <f>M151-K151</f>
        <v>0</v>
      </c>
      <c r="M151" s="26">
        <v>1743</v>
      </c>
      <c r="N151" s="26">
        <v>0</v>
      </c>
    </row>
    <row r="152" spans="1:14" s="7" customFormat="1" ht="18" x14ac:dyDescent="0.35">
      <c r="A152" s="11"/>
      <c r="B152" s="314" t="s">
        <v>475</v>
      </c>
      <c r="C152" s="25" t="s">
        <v>1</v>
      </c>
      <c r="D152" s="10" t="s">
        <v>60</v>
      </c>
      <c r="E152" s="10" t="s">
        <v>58</v>
      </c>
      <c r="F152" s="571"/>
      <c r="G152" s="572"/>
      <c r="H152" s="572"/>
      <c r="I152" s="573"/>
      <c r="J152" s="10"/>
      <c r="K152" s="26">
        <f t="shared" ref="K152:N152" si="23">K153</f>
        <v>3516.2</v>
      </c>
      <c r="L152" s="26">
        <f t="shared" si="23"/>
        <v>0</v>
      </c>
      <c r="M152" s="26">
        <v>3516.2</v>
      </c>
      <c r="N152" s="26">
        <v>0</v>
      </c>
    </row>
    <row r="153" spans="1:14" s="7" customFormat="1" ht="72" x14ac:dyDescent="0.35">
      <c r="A153" s="11"/>
      <c r="B153" s="314" t="s">
        <v>476</v>
      </c>
      <c r="C153" s="25" t="s">
        <v>1</v>
      </c>
      <c r="D153" s="10" t="s">
        <v>60</v>
      </c>
      <c r="E153" s="10" t="s">
        <v>58</v>
      </c>
      <c r="F153" s="571" t="s">
        <v>99</v>
      </c>
      <c r="G153" s="572" t="s">
        <v>37</v>
      </c>
      <c r="H153" s="572" t="s">
        <v>38</v>
      </c>
      <c r="I153" s="573" t="s">
        <v>39</v>
      </c>
      <c r="J153" s="10"/>
      <c r="K153" s="26">
        <f t="shared" ref="K153:N156" si="24">K154</f>
        <v>3516.2</v>
      </c>
      <c r="L153" s="26">
        <f t="shared" si="24"/>
        <v>0</v>
      </c>
      <c r="M153" s="26">
        <v>3516.2</v>
      </c>
      <c r="N153" s="26">
        <v>0</v>
      </c>
    </row>
    <row r="154" spans="1:14" s="7" customFormat="1" ht="54" x14ac:dyDescent="0.35">
      <c r="A154" s="11"/>
      <c r="B154" s="24" t="s">
        <v>477</v>
      </c>
      <c r="C154" s="25" t="s">
        <v>1</v>
      </c>
      <c r="D154" s="10" t="s">
        <v>60</v>
      </c>
      <c r="E154" s="10" t="s">
        <v>58</v>
      </c>
      <c r="F154" s="571" t="s">
        <v>99</v>
      </c>
      <c r="G154" s="572" t="s">
        <v>29</v>
      </c>
      <c r="H154" s="572" t="s">
        <v>38</v>
      </c>
      <c r="I154" s="573" t="s">
        <v>39</v>
      </c>
      <c r="J154" s="10"/>
      <c r="K154" s="26">
        <f t="shared" si="24"/>
        <v>3516.2</v>
      </c>
      <c r="L154" s="26">
        <f t="shared" si="24"/>
        <v>0</v>
      </c>
      <c r="M154" s="26">
        <v>3516.2</v>
      </c>
      <c r="N154" s="26">
        <v>0</v>
      </c>
    </row>
    <row r="155" spans="1:14" s="7" customFormat="1" ht="54" x14ac:dyDescent="0.35">
      <c r="A155" s="11"/>
      <c r="B155" s="24" t="s">
        <v>478</v>
      </c>
      <c r="C155" s="25" t="s">
        <v>1</v>
      </c>
      <c r="D155" s="10" t="s">
        <v>60</v>
      </c>
      <c r="E155" s="10" t="s">
        <v>58</v>
      </c>
      <c r="F155" s="571" t="s">
        <v>99</v>
      </c>
      <c r="G155" s="572" t="s">
        <v>29</v>
      </c>
      <c r="H155" s="572" t="s">
        <v>32</v>
      </c>
      <c r="I155" s="573" t="s">
        <v>39</v>
      </c>
      <c r="J155" s="10"/>
      <c r="K155" s="26">
        <f t="shared" si="24"/>
        <v>3516.2</v>
      </c>
      <c r="L155" s="26">
        <f t="shared" si="24"/>
        <v>0</v>
      </c>
      <c r="M155" s="26">
        <v>3516.2</v>
      </c>
      <c r="N155" s="26">
        <v>0</v>
      </c>
    </row>
    <row r="156" spans="1:14" s="7" customFormat="1" ht="36" x14ac:dyDescent="0.35">
      <c r="A156" s="11"/>
      <c r="B156" s="24" t="s">
        <v>479</v>
      </c>
      <c r="C156" s="25" t="s">
        <v>1</v>
      </c>
      <c r="D156" s="10" t="s">
        <v>60</v>
      </c>
      <c r="E156" s="10" t="s">
        <v>58</v>
      </c>
      <c r="F156" s="571" t="s">
        <v>99</v>
      </c>
      <c r="G156" s="572" t="s">
        <v>29</v>
      </c>
      <c r="H156" s="572" t="s">
        <v>32</v>
      </c>
      <c r="I156" s="573" t="s">
        <v>480</v>
      </c>
      <c r="J156" s="10"/>
      <c r="K156" s="26">
        <f t="shared" si="24"/>
        <v>3516.2</v>
      </c>
      <c r="L156" s="26">
        <f t="shared" si="24"/>
        <v>0</v>
      </c>
      <c r="M156" s="26">
        <v>3516.2</v>
      </c>
      <c r="N156" s="26">
        <v>0</v>
      </c>
    </row>
    <row r="157" spans="1:14" s="7" customFormat="1" ht="54" x14ac:dyDescent="0.35">
      <c r="A157" s="11"/>
      <c r="B157" s="24" t="s">
        <v>50</v>
      </c>
      <c r="C157" s="25" t="s">
        <v>1</v>
      </c>
      <c r="D157" s="10" t="s">
        <v>60</v>
      </c>
      <c r="E157" s="10" t="s">
        <v>58</v>
      </c>
      <c r="F157" s="571" t="s">
        <v>99</v>
      </c>
      <c r="G157" s="572" t="s">
        <v>29</v>
      </c>
      <c r="H157" s="572" t="s">
        <v>32</v>
      </c>
      <c r="I157" s="573" t="s">
        <v>480</v>
      </c>
      <c r="J157" s="10" t="s">
        <v>51</v>
      </c>
      <c r="K157" s="26">
        <v>3516.2</v>
      </c>
      <c r="L157" s="26">
        <f>M157-K157</f>
        <v>0</v>
      </c>
      <c r="M157" s="26">
        <v>3516.2</v>
      </c>
      <c r="N157" s="26">
        <v>0</v>
      </c>
    </row>
    <row r="158" spans="1:14" s="117" customFormat="1" ht="18" x14ac:dyDescent="0.35">
      <c r="A158" s="11"/>
      <c r="B158" s="24" t="s">
        <v>114</v>
      </c>
      <c r="C158" s="25" t="s">
        <v>1</v>
      </c>
      <c r="D158" s="10" t="s">
        <v>99</v>
      </c>
      <c r="E158" s="10"/>
      <c r="F158" s="571"/>
      <c r="G158" s="572"/>
      <c r="H158" s="572"/>
      <c r="I158" s="573"/>
      <c r="J158" s="10"/>
      <c r="K158" s="26">
        <f>K159+K165</f>
        <v>1456.1</v>
      </c>
      <c r="L158" s="26">
        <f>L159+L165</f>
        <v>0</v>
      </c>
      <c r="M158" s="26">
        <v>1456.1</v>
      </c>
      <c r="N158" s="26">
        <v>1456.1</v>
      </c>
    </row>
    <row r="159" spans="1:14" s="117" customFormat="1" ht="18" x14ac:dyDescent="0.35">
      <c r="A159" s="11"/>
      <c r="B159" s="24" t="s">
        <v>344</v>
      </c>
      <c r="C159" s="25" t="s">
        <v>1</v>
      </c>
      <c r="D159" s="10" t="s">
        <v>99</v>
      </c>
      <c r="E159" s="10" t="s">
        <v>32</v>
      </c>
      <c r="F159" s="571"/>
      <c r="G159" s="572"/>
      <c r="H159" s="572"/>
      <c r="I159" s="573"/>
      <c r="J159" s="10"/>
      <c r="K159" s="26">
        <f t="shared" ref="K159:N163" si="25">K160</f>
        <v>504</v>
      </c>
      <c r="L159" s="26">
        <f t="shared" si="25"/>
        <v>0</v>
      </c>
      <c r="M159" s="26">
        <v>504</v>
      </c>
      <c r="N159" s="26">
        <v>504</v>
      </c>
    </row>
    <row r="160" spans="1:14" s="117" customFormat="1" ht="54" x14ac:dyDescent="0.35">
      <c r="A160" s="11"/>
      <c r="B160" s="31" t="s">
        <v>284</v>
      </c>
      <c r="C160" s="25" t="s">
        <v>1</v>
      </c>
      <c r="D160" s="10" t="s">
        <v>99</v>
      </c>
      <c r="E160" s="10" t="s">
        <v>32</v>
      </c>
      <c r="F160" s="571" t="s">
        <v>74</v>
      </c>
      <c r="G160" s="572" t="s">
        <v>37</v>
      </c>
      <c r="H160" s="572" t="s">
        <v>38</v>
      </c>
      <c r="I160" s="573" t="s">
        <v>39</v>
      </c>
      <c r="J160" s="10"/>
      <c r="K160" s="26">
        <f t="shared" si="25"/>
        <v>504</v>
      </c>
      <c r="L160" s="26">
        <f t="shared" si="25"/>
        <v>0</v>
      </c>
      <c r="M160" s="26">
        <v>504</v>
      </c>
      <c r="N160" s="26">
        <v>504</v>
      </c>
    </row>
    <row r="161" spans="1:14" s="117" customFormat="1" ht="36" x14ac:dyDescent="0.35">
      <c r="A161" s="11"/>
      <c r="B161" s="24" t="s">
        <v>328</v>
      </c>
      <c r="C161" s="25" t="s">
        <v>1</v>
      </c>
      <c r="D161" s="10" t="s">
        <v>99</v>
      </c>
      <c r="E161" s="10" t="s">
        <v>32</v>
      </c>
      <c r="F161" s="571" t="s">
        <v>74</v>
      </c>
      <c r="G161" s="572" t="s">
        <v>40</v>
      </c>
      <c r="H161" s="572" t="s">
        <v>38</v>
      </c>
      <c r="I161" s="573" t="s">
        <v>39</v>
      </c>
      <c r="J161" s="10"/>
      <c r="K161" s="26">
        <f t="shared" si="25"/>
        <v>504</v>
      </c>
      <c r="L161" s="26">
        <f t="shared" si="25"/>
        <v>0</v>
      </c>
      <c r="M161" s="26">
        <v>504</v>
      </c>
      <c r="N161" s="26">
        <v>504</v>
      </c>
    </row>
    <row r="162" spans="1:14" s="117" customFormat="1" ht="90" x14ac:dyDescent="0.35">
      <c r="A162" s="11"/>
      <c r="B162" s="27" t="s">
        <v>426</v>
      </c>
      <c r="C162" s="25" t="s">
        <v>1</v>
      </c>
      <c r="D162" s="10" t="s">
        <v>99</v>
      </c>
      <c r="E162" s="10" t="s">
        <v>32</v>
      </c>
      <c r="F162" s="571" t="s">
        <v>74</v>
      </c>
      <c r="G162" s="572" t="s">
        <v>40</v>
      </c>
      <c r="H162" s="572" t="s">
        <v>47</v>
      </c>
      <c r="I162" s="573" t="s">
        <v>39</v>
      </c>
      <c r="J162" s="10"/>
      <c r="K162" s="26">
        <f t="shared" si="25"/>
        <v>504</v>
      </c>
      <c r="L162" s="26">
        <f t="shared" si="25"/>
        <v>0</v>
      </c>
      <c r="M162" s="26">
        <v>504</v>
      </c>
      <c r="N162" s="26">
        <v>504</v>
      </c>
    </row>
    <row r="163" spans="1:14" s="117" customFormat="1" ht="75.75" customHeight="1" x14ac:dyDescent="0.35">
      <c r="A163" s="11"/>
      <c r="B163" s="27" t="s">
        <v>420</v>
      </c>
      <c r="C163" s="25" t="s">
        <v>1</v>
      </c>
      <c r="D163" s="10" t="s">
        <v>99</v>
      </c>
      <c r="E163" s="10" t="s">
        <v>32</v>
      </c>
      <c r="F163" s="571" t="s">
        <v>74</v>
      </c>
      <c r="G163" s="572" t="s">
        <v>40</v>
      </c>
      <c r="H163" s="572" t="s">
        <v>47</v>
      </c>
      <c r="I163" s="573" t="s">
        <v>345</v>
      </c>
      <c r="J163" s="10"/>
      <c r="K163" s="26">
        <f t="shared" si="25"/>
        <v>504</v>
      </c>
      <c r="L163" s="26">
        <f t="shared" si="25"/>
        <v>0</v>
      </c>
      <c r="M163" s="26">
        <v>504</v>
      </c>
      <c r="N163" s="26">
        <v>504</v>
      </c>
    </row>
    <row r="164" spans="1:14" s="117" customFormat="1" ht="36" x14ac:dyDescent="0.35">
      <c r="A164" s="11"/>
      <c r="B164" s="28" t="s">
        <v>115</v>
      </c>
      <c r="C164" s="25" t="s">
        <v>1</v>
      </c>
      <c r="D164" s="10" t="s">
        <v>99</v>
      </c>
      <c r="E164" s="10" t="s">
        <v>32</v>
      </c>
      <c r="F164" s="571" t="s">
        <v>74</v>
      </c>
      <c r="G164" s="572" t="s">
        <v>40</v>
      </c>
      <c r="H164" s="572" t="s">
        <v>47</v>
      </c>
      <c r="I164" s="573" t="s">
        <v>345</v>
      </c>
      <c r="J164" s="10" t="s">
        <v>116</v>
      </c>
      <c r="K164" s="26">
        <v>504</v>
      </c>
      <c r="L164" s="26">
        <f>M164-K164</f>
        <v>0</v>
      </c>
      <c r="M164" s="26">
        <v>504</v>
      </c>
      <c r="N164" s="26">
        <v>504</v>
      </c>
    </row>
    <row r="165" spans="1:14" s="117" customFormat="1" ht="36" x14ac:dyDescent="0.35">
      <c r="A165" s="11"/>
      <c r="B165" s="24" t="s">
        <v>117</v>
      </c>
      <c r="C165" s="25" t="s">
        <v>1</v>
      </c>
      <c r="D165" s="10" t="s">
        <v>99</v>
      </c>
      <c r="E165" s="10" t="s">
        <v>76</v>
      </c>
      <c r="F165" s="571"/>
      <c r="G165" s="572"/>
      <c r="H165" s="572"/>
      <c r="I165" s="573"/>
      <c r="J165" s="10"/>
      <c r="K165" s="26">
        <f t="shared" ref="K165:M168" si="26">K166</f>
        <v>952.1</v>
      </c>
      <c r="L165" s="26">
        <f t="shared" si="26"/>
        <v>0</v>
      </c>
      <c r="M165" s="26">
        <v>952.1</v>
      </c>
      <c r="N165" s="26">
        <v>952.1</v>
      </c>
    </row>
    <row r="166" spans="1:14" s="117" customFormat="1" ht="72" x14ac:dyDescent="0.35">
      <c r="A166" s="11"/>
      <c r="B166" s="24" t="s">
        <v>67</v>
      </c>
      <c r="C166" s="25" t="s">
        <v>1</v>
      </c>
      <c r="D166" s="10" t="s">
        <v>99</v>
      </c>
      <c r="E166" s="10" t="s">
        <v>76</v>
      </c>
      <c r="F166" s="571" t="s">
        <v>68</v>
      </c>
      <c r="G166" s="572" t="s">
        <v>37</v>
      </c>
      <c r="H166" s="572" t="s">
        <v>38</v>
      </c>
      <c r="I166" s="573" t="s">
        <v>39</v>
      </c>
      <c r="J166" s="10"/>
      <c r="K166" s="26">
        <f t="shared" si="26"/>
        <v>952.1</v>
      </c>
      <c r="L166" s="26">
        <f t="shared" si="26"/>
        <v>0</v>
      </c>
      <c r="M166" s="26">
        <v>952.1</v>
      </c>
      <c r="N166" s="26">
        <v>952.1</v>
      </c>
    </row>
    <row r="167" spans="1:14" s="117" customFormat="1" ht="36" x14ac:dyDescent="0.35">
      <c r="A167" s="11"/>
      <c r="B167" s="24" t="s">
        <v>328</v>
      </c>
      <c r="C167" s="25" t="s">
        <v>1</v>
      </c>
      <c r="D167" s="10" t="s">
        <v>99</v>
      </c>
      <c r="E167" s="10" t="s">
        <v>76</v>
      </c>
      <c r="F167" s="571" t="s">
        <v>68</v>
      </c>
      <c r="G167" s="572" t="s">
        <v>40</v>
      </c>
      <c r="H167" s="572" t="s">
        <v>38</v>
      </c>
      <c r="I167" s="573" t="s">
        <v>39</v>
      </c>
      <c r="J167" s="10"/>
      <c r="K167" s="26">
        <f t="shared" si="26"/>
        <v>952.1</v>
      </c>
      <c r="L167" s="26">
        <f t="shared" si="26"/>
        <v>0</v>
      </c>
      <c r="M167" s="26">
        <v>952.1</v>
      </c>
      <c r="N167" s="26">
        <v>952.1</v>
      </c>
    </row>
    <row r="168" spans="1:14" s="117" customFormat="1" ht="54" x14ac:dyDescent="0.35">
      <c r="A168" s="11"/>
      <c r="B168" s="27" t="s">
        <v>254</v>
      </c>
      <c r="C168" s="25" t="s">
        <v>1</v>
      </c>
      <c r="D168" s="10" t="s">
        <v>99</v>
      </c>
      <c r="E168" s="10" t="s">
        <v>76</v>
      </c>
      <c r="F168" s="571" t="s">
        <v>68</v>
      </c>
      <c r="G168" s="572" t="s">
        <v>40</v>
      </c>
      <c r="H168" s="572" t="s">
        <v>32</v>
      </c>
      <c r="I168" s="573" t="s">
        <v>39</v>
      </c>
      <c r="J168" s="10"/>
      <c r="K168" s="26">
        <f t="shared" si="26"/>
        <v>952.1</v>
      </c>
      <c r="L168" s="26">
        <f t="shared" si="26"/>
        <v>0</v>
      </c>
      <c r="M168" s="26">
        <v>952.1</v>
      </c>
      <c r="N168" s="26">
        <v>952.1</v>
      </c>
    </row>
    <row r="169" spans="1:14" s="117" customFormat="1" ht="54" x14ac:dyDescent="0.35">
      <c r="A169" s="11"/>
      <c r="B169" s="27" t="s">
        <v>69</v>
      </c>
      <c r="C169" s="25" t="s">
        <v>1</v>
      </c>
      <c r="D169" s="10" t="s">
        <v>99</v>
      </c>
      <c r="E169" s="10" t="s">
        <v>76</v>
      </c>
      <c r="F169" s="571" t="s">
        <v>68</v>
      </c>
      <c r="G169" s="572" t="s">
        <v>40</v>
      </c>
      <c r="H169" s="572" t="s">
        <v>32</v>
      </c>
      <c r="I169" s="573" t="s">
        <v>70</v>
      </c>
      <c r="J169" s="10"/>
      <c r="K169" s="26">
        <f>K170</f>
        <v>952.1</v>
      </c>
      <c r="L169" s="26">
        <f>L170</f>
        <v>0</v>
      </c>
      <c r="M169" s="26">
        <v>952.1</v>
      </c>
      <c r="N169" s="26">
        <v>952.1</v>
      </c>
    </row>
    <row r="170" spans="1:14" s="117" customFormat="1" ht="54" x14ac:dyDescent="0.35">
      <c r="A170" s="11"/>
      <c r="B170" s="28" t="s">
        <v>71</v>
      </c>
      <c r="C170" s="25" t="s">
        <v>1</v>
      </c>
      <c r="D170" s="10" t="s">
        <v>99</v>
      </c>
      <c r="E170" s="10" t="s">
        <v>76</v>
      </c>
      <c r="F170" s="571" t="s">
        <v>68</v>
      </c>
      <c r="G170" s="572" t="s">
        <v>40</v>
      </c>
      <c r="H170" s="572" t="s">
        <v>32</v>
      </c>
      <c r="I170" s="573" t="s">
        <v>70</v>
      </c>
      <c r="J170" s="10" t="s">
        <v>72</v>
      </c>
      <c r="K170" s="26">
        <v>952.1</v>
      </c>
      <c r="L170" s="26">
        <f>M170-K170</f>
        <v>0</v>
      </c>
      <c r="M170" s="26">
        <v>952.1</v>
      </c>
      <c r="N170" s="26">
        <v>952.1</v>
      </c>
    </row>
    <row r="171" spans="1:14" s="117" customFormat="1" ht="18" x14ac:dyDescent="0.35">
      <c r="A171" s="11"/>
      <c r="B171" s="28"/>
      <c r="C171" s="25"/>
      <c r="D171" s="10"/>
      <c r="E171" s="10"/>
      <c r="F171" s="571"/>
      <c r="G171" s="572"/>
      <c r="H171" s="572"/>
      <c r="I171" s="573"/>
      <c r="J171" s="10"/>
      <c r="K171" s="26"/>
      <c r="L171" s="26"/>
      <c r="M171" s="26"/>
      <c r="N171" s="26"/>
    </row>
    <row r="172" spans="1:14" ht="52.2" x14ac:dyDescent="0.3">
      <c r="A172" s="116">
        <v>2</v>
      </c>
      <c r="B172" s="18" t="s">
        <v>2</v>
      </c>
      <c r="C172" s="19" t="s">
        <v>291</v>
      </c>
      <c r="D172" s="20"/>
      <c r="E172" s="20"/>
      <c r="F172" s="21"/>
      <c r="G172" s="22"/>
      <c r="H172" s="22"/>
      <c r="I172" s="23"/>
      <c r="J172" s="20"/>
      <c r="K172" s="40">
        <f>K173+K191</f>
        <v>35633.800000000003</v>
      </c>
      <c r="L172" s="40">
        <f>L173+L191</f>
        <v>0</v>
      </c>
      <c r="M172" s="40">
        <v>35633.800000000003</v>
      </c>
      <c r="N172" s="40">
        <v>35626</v>
      </c>
    </row>
    <row r="173" spans="1:14" s="121" customFormat="1" ht="18" x14ac:dyDescent="0.35">
      <c r="A173" s="11"/>
      <c r="B173" s="24" t="s">
        <v>31</v>
      </c>
      <c r="C173" s="25" t="s">
        <v>291</v>
      </c>
      <c r="D173" s="10" t="s">
        <v>32</v>
      </c>
      <c r="E173" s="10"/>
      <c r="F173" s="571"/>
      <c r="G173" s="572"/>
      <c r="H173" s="572"/>
      <c r="I173" s="573"/>
      <c r="J173" s="10"/>
      <c r="K173" s="26">
        <f>K174+K182</f>
        <v>28633.8</v>
      </c>
      <c r="L173" s="26">
        <f>L174+L182</f>
        <v>0</v>
      </c>
      <c r="M173" s="26">
        <v>28633.8</v>
      </c>
      <c r="N173" s="26">
        <v>28626</v>
      </c>
    </row>
    <row r="174" spans="1:14" s="122" customFormat="1" ht="54" x14ac:dyDescent="0.35">
      <c r="A174" s="11"/>
      <c r="B174" s="24" t="s">
        <v>124</v>
      </c>
      <c r="C174" s="25" t="s">
        <v>291</v>
      </c>
      <c r="D174" s="10" t="s">
        <v>32</v>
      </c>
      <c r="E174" s="10" t="s">
        <v>76</v>
      </c>
      <c r="F174" s="571"/>
      <c r="G174" s="572"/>
      <c r="H174" s="572"/>
      <c r="I174" s="573"/>
      <c r="J174" s="10"/>
      <c r="K174" s="26">
        <f t="shared" ref="K174:N177" si="27">K175</f>
        <v>25791.5</v>
      </c>
      <c r="L174" s="26">
        <f t="shared" si="27"/>
        <v>0</v>
      </c>
      <c r="M174" s="26">
        <v>25791.5</v>
      </c>
      <c r="N174" s="26">
        <v>25792.2</v>
      </c>
    </row>
    <row r="175" spans="1:14" s="117" customFormat="1" ht="54.75" customHeight="1" x14ac:dyDescent="0.35">
      <c r="A175" s="11"/>
      <c r="B175" s="24" t="s">
        <v>218</v>
      </c>
      <c r="C175" s="25" t="s">
        <v>291</v>
      </c>
      <c r="D175" s="10" t="s">
        <v>32</v>
      </c>
      <c r="E175" s="10" t="s">
        <v>76</v>
      </c>
      <c r="F175" s="571" t="s">
        <v>219</v>
      </c>
      <c r="G175" s="572" t="s">
        <v>37</v>
      </c>
      <c r="H175" s="572" t="s">
        <v>38</v>
      </c>
      <c r="I175" s="573" t="s">
        <v>39</v>
      </c>
      <c r="J175" s="10"/>
      <c r="K175" s="26">
        <f t="shared" si="27"/>
        <v>25791.5</v>
      </c>
      <c r="L175" s="26">
        <f t="shared" si="27"/>
        <v>0</v>
      </c>
      <c r="M175" s="26">
        <v>25791.5</v>
      </c>
      <c r="N175" s="26">
        <v>25792.2</v>
      </c>
    </row>
    <row r="176" spans="1:14" s="117" customFormat="1" ht="36" x14ac:dyDescent="0.35">
      <c r="A176" s="11"/>
      <c r="B176" s="24" t="s">
        <v>328</v>
      </c>
      <c r="C176" s="25" t="s">
        <v>291</v>
      </c>
      <c r="D176" s="10" t="s">
        <v>32</v>
      </c>
      <c r="E176" s="10" t="s">
        <v>76</v>
      </c>
      <c r="F176" s="32" t="s">
        <v>219</v>
      </c>
      <c r="G176" s="33" t="s">
        <v>40</v>
      </c>
      <c r="H176" s="572" t="s">
        <v>38</v>
      </c>
      <c r="I176" s="573" t="s">
        <v>39</v>
      </c>
      <c r="J176" s="10"/>
      <c r="K176" s="26">
        <f>K177</f>
        <v>25791.5</v>
      </c>
      <c r="L176" s="26">
        <f>L177</f>
        <v>0</v>
      </c>
      <c r="M176" s="26">
        <v>25791.5</v>
      </c>
      <c r="N176" s="26">
        <v>25792.2</v>
      </c>
    </row>
    <row r="177" spans="1:14" s="117" customFormat="1" ht="54" x14ac:dyDescent="0.35">
      <c r="A177" s="11"/>
      <c r="B177" s="24" t="s">
        <v>292</v>
      </c>
      <c r="C177" s="25" t="s">
        <v>291</v>
      </c>
      <c r="D177" s="10" t="s">
        <v>32</v>
      </c>
      <c r="E177" s="10" t="s">
        <v>76</v>
      </c>
      <c r="F177" s="32" t="s">
        <v>219</v>
      </c>
      <c r="G177" s="33" t="s">
        <v>40</v>
      </c>
      <c r="H177" s="572" t="s">
        <v>32</v>
      </c>
      <c r="I177" s="573" t="s">
        <v>39</v>
      </c>
      <c r="J177" s="10"/>
      <c r="K177" s="26">
        <f t="shared" si="27"/>
        <v>25791.5</v>
      </c>
      <c r="L177" s="26">
        <f t="shared" si="27"/>
        <v>0</v>
      </c>
      <c r="M177" s="26">
        <v>25791.5</v>
      </c>
      <c r="N177" s="26">
        <v>25792.2</v>
      </c>
    </row>
    <row r="178" spans="1:14" s="117" customFormat="1" ht="36" x14ac:dyDescent="0.35">
      <c r="A178" s="11"/>
      <c r="B178" s="24" t="s">
        <v>42</v>
      </c>
      <c r="C178" s="25" t="s">
        <v>291</v>
      </c>
      <c r="D178" s="10" t="s">
        <v>32</v>
      </c>
      <c r="E178" s="10" t="s">
        <v>76</v>
      </c>
      <c r="F178" s="32" t="s">
        <v>219</v>
      </c>
      <c r="G178" s="33" t="s">
        <v>40</v>
      </c>
      <c r="H178" s="572" t="s">
        <v>32</v>
      </c>
      <c r="I178" s="573" t="s">
        <v>43</v>
      </c>
      <c r="J178" s="10"/>
      <c r="K178" s="26">
        <f>SUM(K179:K181)</f>
        <v>25791.5</v>
      </c>
      <c r="L178" s="26">
        <f>SUM(L179:L181)</f>
        <v>0</v>
      </c>
      <c r="M178" s="26">
        <v>25791.5</v>
      </c>
      <c r="N178" s="26">
        <v>25792.2</v>
      </c>
    </row>
    <row r="179" spans="1:14" s="117" customFormat="1" ht="108" x14ac:dyDescent="0.35">
      <c r="A179" s="11"/>
      <c r="B179" s="24" t="s">
        <v>44</v>
      </c>
      <c r="C179" s="25" t="s">
        <v>291</v>
      </c>
      <c r="D179" s="10" t="s">
        <v>32</v>
      </c>
      <c r="E179" s="10" t="s">
        <v>76</v>
      </c>
      <c r="F179" s="32" t="s">
        <v>219</v>
      </c>
      <c r="G179" s="33" t="s">
        <v>40</v>
      </c>
      <c r="H179" s="572" t="s">
        <v>32</v>
      </c>
      <c r="I179" s="573" t="s">
        <v>43</v>
      </c>
      <c r="J179" s="10" t="s">
        <v>45</v>
      </c>
      <c r="K179" s="26">
        <v>25067.7</v>
      </c>
      <c r="L179" s="26">
        <f>M179-K179</f>
        <v>0</v>
      </c>
      <c r="M179" s="26">
        <v>25067.7</v>
      </c>
      <c r="N179" s="26">
        <v>25067.7</v>
      </c>
    </row>
    <row r="180" spans="1:14" s="117" customFormat="1" ht="54" x14ac:dyDescent="0.35">
      <c r="A180" s="11"/>
      <c r="B180" s="24" t="s">
        <v>50</v>
      </c>
      <c r="C180" s="25" t="s">
        <v>291</v>
      </c>
      <c r="D180" s="10" t="s">
        <v>32</v>
      </c>
      <c r="E180" s="10" t="s">
        <v>76</v>
      </c>
      <c r="F180" s="32" t="s">
        <v>219</v>
      </c>
      <c r="G180" s="33" t="s">
        <v>40</v>
      </c>
      <c r="H180" s="572" t="s">
        <v>32</v>
      </c>
      <c r="I180" s="573" t="s">
        <v>43</v>
      </c>
      <c r="J180" s="10" t="s">
        <v>51</v>
      </c>
      <c r="K180" s="26">
        <v>719.1</v>
      </c>
      <c r="L180" s="26">
        <f>M180-K180</f>
        <v>0</v>
      </c>
      <c r="M180" s="26">
        <v>719.1</v>
      </c>
      <c r="N180" s="26">
        <v>719.9</v>
      </c>
    </row>
    <row r="181" spans="1:14" s="122" customFormat="1" ht="18" x14ac:dyDescent="0.35">
      <c r="A181" s="11"/>
      <c r="B181" s="24" t="s">
        <v>52</v>
      </c>
      <c r="C181" s="25" t="s">
        <v>291</v>
      </c>
      <c r="D181" s="10" t="s">
        <v>32</v>
      </c>
      <c r="E181" s="10" t="s">
        <v>76</v>
      </c>
      <c r="F181" s="32" t="s">
        <v>219</v>
      </c>
      <c r="G181" s="33" t="s">
        <v>40</v>
      </c>
      <c r="H181" s="572" t="s">
        <v>32</v>
      </c>
      <c r="I181" s="573" t="s">
        <v>43</v>
      </c>
      <c r="J181" s="10" t="s">
        <v>53</v>
      </c>
      <c r="K181" s="26">
        <v>4.7</v>
      </c>
      <c r="L181" s="26">
        <f>M181-K181</f>
        <v>0</v>
      </c>
      <c r="M181" s="26">
        <v>4.7</v>
      </c>
      <c r="N181" s="26">
        <v>4.5999999999999996</v>
      </c>
    </row>
    <row r="182" spans="1:14" s="122" customFormat="1" ht="18" x14ac:dyDescent="0.35">
      <c r="A182" s="11"/>
      <c r="B182" s="24" t="s">
        <v>65</v>
      </c>
      <c r="C182" s="25" t="s">
        <v>291</v>
      </c>
      <c r="D182" s="10" t="s">
        <v>32</v>
      </c>
      <c r="E182" s="10" t="s">
        <v>66</v>
      </c>
      <c r="F182" s="32"/>
      <c r="G182" s="33"/>
      <c r="H182" s="572"/>
      <c r="I182" s="573"/>
      <c r="J182" s="10"/>
      <c r="K182" s="26">
        <f t="shared" ref="K182:N183" si="28">K183</f>
        <v>2842.2999999999997</v>
      </c>
      <c r="L182" s="26">
        <f t="shared" si="28"/>
        <v>0</v>
      </c>
      <c r="M182" s="26">
        <v>2842.2999999999997</v>
      </c>
      <c r="N182" s="26">
        <v>2833.7999999999997</v>
      </c>
    </row>
    <row r="183" spans="1:14" s="122" customFormat="1" ht="54" x14ac:dyDescent="0.35">
      <c r="A183" s="11"/>
      <c r="B183" s="24" t="s">
        <v>218</v>
      </c>
      <c r="C183" s="25" t="s">
        <v>291</v>
      </c>
      <c r="D183" s="10" t="s">
        <v>32</v>
      </c>
      <c r="E183" s="10" t="s">
        <v>66</v>
      </c>
      <c r="F183" s="32" t="s">
        <v>219</v>
      </c>
      <c r="G183" s="33" t="s">
        <v>37</v>
      </c>
      <c r="H183" s="572" t="s">
        <v>38</v>
      </c>
      <c r="I183" s="573" t="s">
        <v>39</v>
      </c>
      <c r="J183" s="10"/>
      <c r="K183" s="26">
        <f t="shared" si="28"/>
        <v>2842.2999999999997</v>
      </c>
      <c r="L183" s="26">
        <f t="shared" si="28"/>
        <v>0</v>
      </c>
      <c r="M183" s="26">
        <v>2842.2999999999997</v>
      </c>
      <c r="N183" s="26">
        <v>2833.7999999999997</v>
      </c>
    </row>
    <row r="184" spans="1:14" s="122" customFormat="1" ht="36" x14ac:dyDescent="0.35">
      <c r="A184" s="11"/>
      <c r="B184" s="24" t="s">
        <v>328</v>
      </c>
      <c r="C184" s="25" t="s">
        <v>291</v>
      </c>
      <c r="D184" s="10" t="s">
        <v>32</v>
      </c>
      <c r="E184" s="10" t="s">
        <v>66</v>
      </c>
      <c r="F184" s="32" t="s">
        <v>219</v>
      </c>
      <c r="G184" s="33" t="s">
        <v>40</v>
      </c>
      <c r="H184" s="572" t="s">
        <v>38</v>
      </c>
      <c r="I184" s="573" t="s">
        <v>39</v>
      </c>
      <c r="J184" s="10"/>
      <c r="K184" s="26">
        <f>K185+K188</f>
        <v>2842.2999999999997</v>
      </c>
      <c r="L184" s="26">
        <f>L185+L188</f>
        <v>0</v>
      </c>
      <c r="M184" s="26">
        <v>2842.2999999999997</v>
      </c>
      <c r="N184" s="26">
        <v>2833.7999999999997</v>
      </c>
    </row>
    <row r="185" spans="1:14" s="122" customFormat="1" ht="36" x14ac:dyDescent="0.35">
      <c r="A185" s="11"/>
      <c r="B185" s="24" t="s">
        <v>340</v>
      </c>
      <c r="C185" s="25" t="s">
        <v>291</v>
      </c>
      <c r="D185" s="10" t="s">
        <v>32</v>
      </c>
      <c r="E185" s="10" t="s">
        <v>66</v>
      </c>
      <c r="F185" s="32" t="s">
        <v>219</v>
      </c>
      <c r="G185" s="33" t="s">
        <v>40</v>
      </c>
      <c r="H185" s="572" t="s">
        <v>58</v>
      </c>
      <c r="I185" s="573" t="s">
        <v>39</v>
      </c>
      <c r="J185" s="10"/>
      <c r="K185" s="26">
        <f t="shared" ref="K185:N186" si="29">K186</f>
        <v>2825.1</v>
      </c>
      <c r="L185" s="26">
        <f t="shared" si="29"/>
        <v>0</v>
      </c>
      <c r="M185" s="26">
        <v>2825.1</v>
      </c>
      <c r="N185" s="26">
        <v>2816.6</v>
      </c>
    </row>
    <row r="186" spans="1:14" s="122" customFormat="1" ht="57" customHeight="1" x14ac:dyDescent="0.35">
      <c r="A186" s="11"/>
      <c r="B186" s="24" t="s">
        <v>341</v>
      </c>
      <c r="C186" s="25" t="s">
        <v>291</v>
      </c>
      <c r="D186" s="10" t="s">
        <v>32</v>
      </c>
      <c r="E186" s="10" t="s">
        <v>66</v>
      </c>
      <c r="F186" s="32" t="s">
        <v>219</v>
      </c>
      <c r="G186" s="33" t="s">
        <v>40</v>
      </c>
      <c r="H186" s="572" t="s">
        <v>58</v>
      </c>
      <c r="I186" s="573" t="s">
        <v>100</v>
      </c>
      <c r="J186" s="10"/>
      <c r="K186" s="26">
        <f t="shared" si="29"/>
        <v>2825.1</v>
      </c>
      <c r="L186" s="26">
        <f t="shared" si="29"/>
        <v>0</v>
      </c>
      <c r="M186" s="26">
        <v>2825.1</v>
      </c>
      <c r="N186" s="26">
        <v>2816.6</v>
      </c>
    </row>
    <row r="187" spans="1:14" s="122" customFormat="1" ht="54" x14ac:dyDescent="0.35">
      <c r="A187" s="11"/>
      <c r="B187" s="24" t="s">
        <v>50</v>
      </c>
      <c r="C187" s="25" t="s">
        <v>291</v>
      </c>
      <c r="D187" s="10" t="s">
        <v>32</v>
      </c>
      <c r="E187" s="10" t="s">
        <v>66</v>
      </c>
      <c r="F187" s="32" t="s">
        <v>219</v>
      </c>
      <c r="G187" s="33" t="s">
        <v>40</v>
      </c>
      <c r="H187" s="572" t="s">
        <v>58</v>
      </c>
      <c r="I187" s="573" t="s">
        <v>100</v>
      </c>
      <c r="J187" s="10" t="s">
        <v>51</v>
      </c>
      <c r="K187" s="26">
        <v>2825.1</v>
      </c>
      <c r="L187" s="26">
        <f>M187-K187</f>
        <v>0</v>
      </c>
      <c r="M187" s="26">
        <v>2825.1</v>
      </c>
      <c r="N187" s="26">
        <v>2816.6</v>
      </c>
    </row>
    <row r="188" spans="1:14" s="122" customFormat="1" ht="36" x14ac:dyDescent="0.35">
      <c r="A188" s="11"/>
      <c r="B188" s="24" t="s">
        <v>441</v>
      </c>
      <c r="C188" s="25" t="s">
        <v>291</v>
      </c>
      <c r="D188" s="10" t="s">
        <v>32</v>
      </c>
      <c r="E188" s="10" t="s">
        <v>66</v>
      </c>
      <c r="F188" s="32" t="s">
        <v>219</v>
      </c>
      <c r="G188" s="33" t="s">
        <v>40</v>
      </c>
      <c r="H188" s="572" t="s">
        <v>60</v>
      </c>
      <c r="I188" s="573" t="s">
        <v>39</v>
      </c>
      <c r="J188" s="10"/>
      <c r="K188" s="26">
        <f t="shared" ref="K188:N189" si="30">K189</f>
        <v>17.2</v>
      </c>
      <c r="L188" s="26">
        <f t="shared" si="30"/>
        <v>0</v>
      </c>
      <c r="M188" s="26">
        <v>17.2</v>
      </c>
      <c r="N188" s="26">
        <v>17.2</v>
      </c>
    </row>
    <row r="189" spans="1:14" s="122" customFormat="1" ht="18" x14ac:dyDescent="0.35">
      <c r="A189" s="11"/>
      <c r="B189" s="24" t="s">
        <v>439</v>
      </c>
      <c r="C189" s="25" t="s">
        <v>291</v>
      </c>
      <c r="D189" s="10" t="s">
        <v>32</v>
      </c>
      <c r="E189" s="10" t="s">
        <v>66</v>
      </c>
      <c r="F189" s="32" t="s">
        <v>219</v>
      </c>
      <c r="G189" s="33" t="s">
        <v>40</v>
      </c>
      <c r="H189" s="572" t="s">
        <v>60</v>
      </c>
      <c r="I189" s="573" t="s">
        <v>440</v>
      </c>
      <c r="J189" s="10"/>
      <c r="K189" s="26">
        <f t="shared" si="30"/>
        <v>17.2</v>
      </c>
      <c r="L189" s="26">
        <f t="shared" si="30"/>
        <v>0</v>
      </c>
      <c r="M189" s="26">
        <v>17.2</v>
      </c>
      <c r="N189" s="26">
        <v>17.2</v>
      </c>
    </row>
    <row r="190" spans="1:14" s="122" customFormat="1" ht="54" x14ac:dyDescent="0.35">
      <c r="A190" s="11"/>
      <c r="B190" s="24" t="s">
        <v>50</v>
      </c>
      <c r="C190" s="25" t="s">
        <v>291</v>
      </c>
      <c r="D190" s="10" t="s">
        <v>32</v>
      </c>
      <c r="E190" s="10" t="s">
        <v>66</v>
      </c>
      <c r="F190" s="32" t="s">
        <v>219</v>
      </c>
      <c r="G190" s="33" t="s">
        <v>40</v>
      </c>
      <c r="H190" s="572" t="s">
        <v>60</v>
      </c>
      <c r="I190" s="573" t="s">
        <v>440</v>
      </c>
      <c r="J190" s="10" t="s">
        <v>51</v>
      </c>
      <c r="K190" s="26">
        <v>17.2</v>
      </c>
      <c r="L190" s="26">
        <f>M190-K190</f>
        <v>0</v>
      </c>
      <c r="M190" s="26">
        <v>17.2</v>
      </c>
      <c r="N190" s="26">
        <v>17.2</v>
      </c>
    </row>
    <row r="191" spans="1:14" s="122" customFormat="1" ht="54" x14ac:dyDescent="0.35">
      <c r="A191" s="11"/>
      <c r="B191" s="24" t="s">
        <v>195</v>
      </c>
      <c r="C191" s="25" t="s">
        <v>291</v>
      </c>
      <c r="D191" s="10" t="s">
        <v>83</v>
      </c>
      <c r="E191" s="10"/>
      <c r="F191" s="32"/>
      <c r="G191" s="33"/>
      <c r="H191" s="572"/>
      <c r="I191" s="573"/>
      <c r="J191" s="10"/>
      <c r="K191" s="26">
        <f t="shared" ref="K191:N194" si="31">K192</f>
        <v>7000</v>
      </c>
      <c r="L191" s="26">
        <f t="shared" si="31"/>
        <v>0</v>
      </c>
      <c r="M191" s="26">
        <v>7000</v>
      </c>
      <c r="N191" s="26">
        <v>7000</v>
      </c>
    </row>
    <row r="192" spans="1:14" s="122" customFormat="1" ht="54" x14ac:dyDescent="0.35">
      <c r="A192" s="11"/>
      <c r="B192" s="30" t="s">
        <v>196</v>
      </c>
      <c r="C192" s="25" t="s">
        <v>291</v>
      </c>
      <c r="D192" s="10" t="s">
        <v>83</v>
      </c>
      <c r="E192" s="10" t="s">
        <v>32</v>
      </c>
      <c r="F192" s="32"/>
      <c r="G192" s="33"/>
      <c r="H192" s="572"/>
      <c r="I192" s="573"/>
      <c r="J192" s="10"/>
      <c r="K192" s="26">
        <f t="shared" si="31"/>
        <v>7000</v>
      </c>
      <c r="L192" s="26">
        <f t="shared" si="31"/>
        <v>0</v>
      </c>
      <c r="M192" s="26">
        <v>7000</v>
      </c>
      <c r="N192" s="26">
        <v>7000</v>
      </c>
    </row>
    <row r="193" spans="1:14" s="122" customFormat="1" ht="54" x14ac:dyDescent="0.35">
      <c r="A193" s="11"/>
      <c r="B193" s="24" t="s">
        <v>218</v>
      </c>
      <c r="C193" s="25" t="s">
        <v>291</v>
      </c>
      <c r="D193" s="10" t="s">
        <v>83</v>
      </c>
      <c r="E193" s="10" t="s">
        <v>32</v>
      </c>
      <c r="F193" s="32" t="s">
        <v>219</v>
      </c>
      <c r="G193" s="33" t="s">
        <v>37</v>
      </c>
      <c r="H193" s="572" t="s">
        <v>38</v>
      </c>
      <c r="I193" s="573" t="s">
        <v>39</v>
      </c>
      <c r="J193" s="10"/>
      <c r="K193" s="26">
        <f t="shared" si="31"/>
        <v>7000</v>
      </c>
      <c r="L193" s="26">
        <f t="shared" si="31"/>
        <v>0</v>
      </c>
      <c r="M193" s="26">
        <v>7000</v>
      </c>
      <c r="N193" s="26">
        <v>7000</v>
      </c>
    </row>
    <row r="194" spans="1:14" s="122" customFormat="1" ht="36" x14ac:dyDescent="0.35">
      <c r="A194" s="11"/>
      <c r="B194" s="24" t="s">
        <v>328</v>
      </c>
      <c r="C194" s="25" t="s">
        <v>291</v>
      </c>
      <c r="D194" s="10" t="s">
        <v>83</v>
      </c>
      <c r="E194" s="10" t="s">
        <v>32</v>
      </c>
      <c r="F194" s="32" t="s">
        <v>219</v>
      </c>
      <c r="G194" s="33" t="s">
        <v>40</v>
      </c>
      <c r="H194" s="572" t="s">
        <v>38</v>
      </c>
      <c r="I194" s="573" t="s">
        <v>39</v>
      </c>
      <c r="J194" s="10"/>
      <c r="K194" s="26">
        <f t="shared" si="31"/>
        <v>7000</v>
      </c>
      <c r="L194" s="26">
        <f t="shared" si="31"/>
        <v>0</v>
      </c>
      <c r="M194" s="26">
        <v>7000</v>
      </c>
      <c r="N194" s="26">
        <v>7000</v>
      </c>
    </row>
    <row r="195" spans="1:14" s="122" customFormat="1" ht="36" x14ac:dyDescent="0.35">
      <c r="A195" s="11"/>
      <c r="B195" s="24" t="s">
        <v>293</v>
      </c>
      <c r="C195" s="25" t="s">
        <v>291</v>
      </c>
      <c r="D195" s="10" t="s">
        <v>83</v>
      </c>
      <c r="E195" s="10" t="s">
        <v>32</v>
      </c>
      <c r="F195" s="32" t="s">
        <v>219</v>
      </c>
      <c r="G195" s="33" t="s">
        <v>40</v>
      </c>
      <c r="H195" s="572" t="s">
        <v>34</v>
      </c>
      <c r="I195" s="573" t="s">
        <v>39</v>
      </c>
      <c r="J195" s="10"/>
      <c r="K195" s="26">
        <f>K196</f>
        <v>7000</v>
      </c>
      <c r="L195" s="26">
        <f>L196</f>
        <v>0</v>
      </c>
      <c r="M195" s="26">
        <v>7000</v>
      </c>
      <c r="N195" s="26">
        <v>7000</v>
      </c>
    </row>
    <row r="196" spans="1:14" s="122" customFormat="1" ht="36" x14ac:dyDescent="0.35">
      <c r="A196" s="11"/>
      <c r="B196" s="24" t="s">
        <v>252</v>
      </c>
      <c r="C196" s="25" t="s">
        <v>291</v>
      </c>
      <c r="D196" s="10" t="s">
        <v>83</v>
      </c>
      <c r="E196" s="10" t="s">
        <v>32</v>
      </c>
      <c r="F196" s="32" t="s">
        <v>219</v>
      </c>
      <c r="G196" s="33" t="s">
        <v>40</v>
      </c>
      <c r="H196" s="572" t="s">
        <v>34</v>
      </c>
      <c r="I196" s="573" t="s">
        <v>394</v>
      </c>
      <c r="J196" s="10"/>
      <c r="K196" s="26">
        <f t="shared" ref="K196:N196" si="32">K197</f>
        <v>7000</v>
      </c>
      <c r="L196" s="26">
        <f t="shared" si="32"/>
        <v>0</v>
      </c>
      <c r="M196" s="26">
        <v>7000</v>
      </c>
      <c r="N196" s="26">
        <v>7000</v>
      </c>
    </row>
    <row r="197" spans="1:14" s="122" customFormat="1" ht="18" x14ac:dyDescent="0.35">
      <c r="A197" s="11"/>
      <c r="B197" s="24" t="s">
        <v>118</v>
      </c>
      <c r="C197" s="25" t="s">
        <v>291</v>
      </c>
      <c r="D197" s="10" t="s">
        <v>83</v>
      </c>
      <c r="E197" s="10" t="s">
        <v>32</v>
      </c>
      <c r="F197" s="32" t="s">
        <v>219</v>
      </c>
      <c r="G197" s="33" t="s">
        <v>40</v>
      </c>
      <c r="H197" s="572" t="s">
        <v>34</v>
      </c>
      <c r="I197" s="573" t="s">
        <v>394</v>
      </c>
      <c r="J197" s="10" t="s">
        <v>119</v>
      </c>
      <c r="K197" s="26">
        <v>7000</v>
      </c>
      <c r="L197" s="26">
        <f>M197-K197</f>
        <v>0</v>
      </c>
      <c r="M197" s="26">
        <v>7000</v>
      </c>
      <c r="N197" s="26">
        <v>7000</v>
      </c>
    </row>
    <row r="198" spans="1:14" s="122" customFormat="1" ht="18" x14ac:dyDescent="0.35">
      <c r="A198" s="11"/>
      <c r="B198" s="24"/>
      <c r="C198" s="25"/>
      <c r="D198" s="10"/>
      <c r="E198" s="10"/>
      <c r="F198" s="32"/>
      <c r="G198" s="33"/>
      <c r="H198" s="572"/>
      <c r="I198" s="573"/>
      <c r="J198" s="10"/>
      <c r="K198" s="26"/>
      <c r="L198" s="26"/>
      <c r="M198" s="26"/>
      <c r="N198" s="26"/>
    </row>
    <row r="199" spans="1:14" s="123" customFormat="1" ht="52.2" x14ac:dyDescent="0.3">
      <c r="A199" s="116">
        <v>3</v>
      </c>
      <c r="B199" s="18" t="s">
        <v>30</v>
      </c>
      <c r="C199" s="19" t="s">
        <v>123</v>
      </c>
      <c r="D199" s="20"/>
      <c r="E199" s="20"/>
      <c r="F199" s="21"/>
      <c r="G199" s="22"/>
      <c r="H199" s="22"/>
      <c r="I199" s="23"/>
      <c r="J199" s="20"/>
      <c r="K199" s="40">
        <f t="shared" ref="K199:N202" si="33">K200</f>
        <v>4387.9000000000005</v>
      </c>
      <c r="L199" s="40">
        <f t="shared" si="33"/>
        <v>0</v>
      </c>
      <c r="M199" s="40">
        <v>4387.9000000000005</v>
      </c>
      <c r="N199" s="40">
        <v>4388</v>
      </c>
    </row>
    <row r="200" spans="1:14" s="123" customFormat="1" ht="18" x14ac:dyDescent="0.35">
      <c r="A200" s="11"/>
      <c r="B200" s="24" t="s">
        <v>31</v>
      </c>
      <c r="C200" s="25" t="s">
        <v>123</v>
      </c>
      <c r="D200" s="10" t="s">
        <v>32</v>
      </c>
      <c r="E200" s="10"/>
      <c r="F200" s="571"/>
      <c r="G200" s="572"/>
      <c r="H200" s="572"/>
      <c r="I200" s="573"/>
      <c r="J200" s="10"/>
      <c r="K200" s="26">
        <f t="shared" si="33"/>
        <v>4387.9000000000005</v>
      </c>
      <c r="L200" s="26">
        <f t="shared" si="33"/>
        <v>0</v>
      </c>
      <c r="M200" s="26">
        <v>4387.9000000000005</v>
      </c>
      <c r="N200" s="26">
        <v>4388</v>
      </c>
    </row>
    <row r="201" spans="1:14" s="123" customFormat="1" ht="54" x14ac:dyDescent="0.35">
      <c r="A201" s="11"/>
      <c r="B201" s="24" t="s">
        <v>124</v>
      </c>
      <c r="C201" s="25" t="s">
        <v>123</v>
      </c>
      <c r="D201" s="10" t="s">
        <v>32</v>
      </c>
      <c r="E201" s="10" t="s">
        <v>76</v>
      </c>
      <c r="F201" s="571"/>
      <c r="G201" s="572"/>
      <c r="H201" s="572"/>
      <c r="I201" s="573"/>
      <c r="J201" s="10"/>
      <c r="K201" s="26">
        <f t="shared" si="33"/>
        <v>4387.9000000000005</v>
      </c>
      <c r="L201" s="26">
        <f t="shared" si="33"/>
        <v>0</v>
      </c>
      <c r="M201" s="26">
        <v>4387.9000000000005</v>
      </c>
      <c r="N201" s="26">
        <v>4388</v>
      </c>
    </row>
    <row r="202" spans="1:14" s="123" customFormat="1" ht="36" x14ac:dyDescent="0.35">
      <c r="A202" s="11"/>
      <c r="B202" s="27" t="s">
        <v>125</v>
      </c>
      <c r="C202" s="25" t="s">
        <v>123</v>
      </c>
      <c r="D202" s="10" t="s">
        <v>32</v>
      </c>
      <c r="E202" s="10" t="s">
        <v>76</v>
      </c>
      <c r="F202" s="571" t="s">
        <v>126</v>
      </c>
      <c r="G202" s="572" t="s">
        <v>37</v>
      </c>
      <c r="H202" s="572" t="s">
        <v>38</v>
      </c>
      <c r="I202" s="573" t="s">
        <v>39</v>
      </c>
      <c r="J202" s="10"/>
      <c r="K202" s="26">
        <f t="shared" si="33"/>
        <v>4387.9000000000005</v>
      </c>
      <c r="L202" s="26">
        <f t="shared" si="33"/>
        <v>0</v>
      </c>
      <c r="M202" s="26">
        <v>4387.9000000000005</v>
      </c>
      <c r="N202" s="26">
        <v>4388</v>
      </c>
    </row>
    <row r="203" spans="1:14" s="123" customFormat="1" ht="34.5" customHeight="1" x14ac:dyDescent="0.35">
      <c r="A203" s="11"/>
      <c r="B203" s="27" t="s">
        <v>127</v>
      </c>
      <c r="C203" s="25" t="s">
        <v>123</v>
      </c>
      <c r="D203" s="10" t="s">
        <v>32</v>
      </c>
      <c r="E203" s="10" t="s">
        <v>76</v>
      </c>
      <c r="F203" s="571" t="s">
        <v>126</v>
      </c>
      <c r="G203" s="572" t="s">
        <v>40</v>
      </c>
      <c r="H203" s="572" t="s">
        <v>38</v>
      </c>
      <c r="I203" s="573" t="s">
        <v>39</v>
      </c>
      <c r="J203" s="10"/>
      <c r="K203" s="26">
        <f>K204</f>
        <v>4387.9000000000005</v>
      </c>
      <c r="L203" s="26">
        <f>L204</f>
        <v>0</v>
      </c>
      <c r="M203" s="26">
        <v>4387.9000000000005</v>
      </c>
      <c r="N203" s="26">
        <v>4388</v>
      </c>
    </row>
    <row r="204" spans="1:14" s="123" customFormat="1" ht="36" x14ac:dyDescent="0.35">
      <c r="A204" s="11"/>
      <c r="B204" s="24" t="s">
        <v>42</v>
      </c>
      <c r="C204" s="25" t="s">
        <v>123</v>
      </c>
      <c r="D204" s="10" t="s">
        <v>32</v>
      </c>
      <c r="E204" s="10" t="s">
        <v>76</v>
      </c>
      <c r="F204" s="571" t="s">
        <v>126</v>
      </c>
      <c r="G204" s="572" t="s">
        <v>40</v>
      </c>
      <c r="H204" s="572" t="s">
        <v>38</v>
      </c>
      <c r="I204" s="573" t="s">
        <v>43</v>
      </c>
      <c r="J204" s="10"/>
      <c r="K204" s="26">
        <f>K205+K206+K207</f>
        <v>4387.9000000000005</v>
      </c>
      <c r="L204" s="26">
        <f>L205+L206+L207</f>
        <v>0</v>
      </c>
      <c r="M204" s="26">
        <v>4387.9000000000005</v>
      </c>
      <c r="N204" s="26">
        <v>4388</v>
      </c>
    </row>
    <row r="205" spans="1:14" s="123" customFormat="1" ht="108" x14ac:dyDescent="0.35">
      <c r="A205" s="11"/>
      <c r="B205" s="24" t="s">
        <v>44</v>
      </c>
      <c r="C205" s="25" t="s">
        <v>123</v>
      </c>
      <c r="D205" s="10" t="s">
        <v>32</v>
      </c>
      <c r="E205" s="10" t="s">
        <v>76</v>
      </c>
      <c r="F205" s="571" t="s">
        <v>126</v>
      </c>
      <c r="G205" s="572" t="s">
        <v>40</v>
      </c>
      <c r="H205" s="572" t="s">
        <v>38</v>
      </c>
      <c r="I205" s="573" t="s">
        <v>43</v>
      </c>
      <c r="J205" s="10" t="s">
        <v>45</v>
      </c>
      <c r="K205" s="26">
        <v>4137.8</v>
      </c>
      <c r="L205" s="26">
        <f>M205-K205</f>
        <v>0</v>
      </c>
      <c r="M205" s="26">
        <v>4137.8</v>
      </c>
      <c r="N205" s="26">
        <v>4137.8</v>
      </c>
    </row>
    <row r="206" spans="1:14" s="123" customFormat="1" ht="54" x14ac:dyDescent="0.35">
      <c r="A206" s="11"/>
      <c r="B206" s="24" t="s">
        <v>50</v>
      </c>
      <c r="C206" s="25" t="s">
        <v>123</v>
      </c>
      <c r="D206" s="10" t="s">
        <v>32</v>
      </c>
      <c r="E206" s="10" t="s">
        <v>76</v>
      </c>
      <c r="F206" s="571" t="s">
        <v>126</v>
      </c>
      <c r="G206" s="572" t="s">
        <v>40</v>
      </c>
      <c r="H206" s="572" t="s">
        <v>38</v>
      </c>
      <c r="I206" s="573" t="s">
        <v>43</v>
      </c>
      <c r="J206" s="10" t="s">
        <v>51</v>
      </c>
      <c r="K206" s="26">
        <v>240.1</v>
      </c>
      <c r="L206" s="26">
        <f>M206-K206</f>
        <v>0</v>
      </c>
      <c r="M206" s="26">
        <v>240.1</v>
      </c>
      <c r="N206" s="26">
        <v>240.2</v>
      </c>
    </row>
    <row r="207" spans="1:14" s="123" customFormat="1" ht="18" x14ac:dyDescent="0.35">
      <c r="A207" s="11"/>
      <c r="B207" s="24" t="s">
        <v>52</v>
      </c>
      <c r="C207" s="25" t="s">
        <v>123</v>
      </c>
      <c r="D207" s="10" t="s">
        <v>32</v>
      </c>
      <c r="E207" s="10" t="s">
        <v>76</v>
      </c>
      <c r="F207" s="571" t="s">
        <v>126</v>
      </c>
      <c r="G207" s="572" t="s">
        <v>40</v>
      </c>
      <c r="H207" s="572" t="s">
        <v>38</v>
      </c>
      <c r="I207" s="573" t="s">
        <v>43</v>
      </c>
      <c r="J207" s="10" t="s">
        <v>53</v>
      </c>
      <c r="K207" s="26">
        <v>10</v>
      </c>
      <c r="L207" s="26">
        <f>M207-K207</f>
        <v>0</v>
      </c>
      <c r="M207" s="26">
        <v>10</v>
      </c>
      <c r="N207" s="26">
        <v>10</v>
      </c>
    </row>
    <row r="208" spans="1:14" s="123" customFormat="1" ht="18" x14ac:dyDescent="0.35">
      <c r="A208" s="11"/>
      <c r="B208" s="24"/>
      <c r="C208" s="25"/>
      <c r="D208" s="10"/>
      <c r="E208" s="10"/>
      <c r="F208" s="571"/>
      <c r="G208" s="572"/>
      <c r="H208" s="572"/>
      <c r="I208" s="573"/>
      <c r="J208" s="10"/>
      <c r="K208" s="26"/>
      <c r="L208" s="26"/>
      <c r="M208" s="26"/>
      <c r="N208" s="26"/>
    </row>
    <row r="209" spans="1:14" s="132" customFormat="1" ht="52.2" x14ac:dyDescent="0.3">
      <c r="A209" s="124">
        <v>4</v>
      </c>
      <c r="B209" s="125" t="s">
        <v>5</v>
      </c>
      <c r="C209" s="126" t="s">
        <v>403</v>
      </c>
      <c r="D209" s="127"/>
      <c r="E209" s="127"/>
      <c r="F209" s="128"/>
      <c r="G209" s="129"/>
      <c r="H209" s="129"/>
      <c r="I209" s="130"/>
      <c r="J209" s="127"/>
      <c r="K209" s="131">
        <f>K210+K254+K241+K263</f>
        <v>74763.600000000006</v>
      </c>
      <c r="L209" s="131">
        <f>L210+L254+L241+L263</f>
        <v>1011.8</v>
      </c>
      <c r="M209" s="131">
        <v>75775.399999999994</v>
      </c>
      <c r="N209" s="131">
        <v>74774.899999999994</v>
      </c>
    </row>
    <row r="210" spans="1:14" s="138" customFormat="1" ht="18" x14ac:dyDescent="0.35">
      <c r="A210" s="133"/>
      <c r="B210" s="107" t="s">
        <v>31</v>
      </c>
      <c r="C210" s="134" t="s">
        <v>403</v>
      </c>
      <c r="D210" s="135" t="s">
        <v>32</v>
      </c>
      <c r="E210" s="85"/>
      <c r="F210" s="136"/>
      <c r="G210" s="83"/>
      <c r="H210" s="83"/>
      <c r="I210" s="84"/>
      <c r="J210" s="85"/>
      <c r="K210" s="137">
        <f>K211</f>
        <v>25771.399999999998</v>
      </c>
      <c r="L210" s="137">
        <f>L211</f>
        <v>0</v>
      </c>
      <c r="M210" s="137">
        <v>25771.399999999998</v>
      </c>
      <c r="N210" s="137">
        <v>27507</v>
      </c>
    </row>
    <row r="211" spans="1:14" s="132" customFormat="1" ht="18" x14ac:dyDescent="0.35">
      <c r="A211" s="133"/>
      <c r="B211" s="107" t="s">
        <v>65</v>
      </c>
      <c r="C211" s="134" t="s">
        <v>403</v>
      </c>
      <c r="D211" s="135" t="s">
        <v>32</v>
      </c>
      <c r="E211" s="135" t="s">
        <v>66</v>
      </c>
      <c r="F211" s="136"/>
      <c r="G211" s="83"/>
      <c r="H211" s="83"/>
      <c r="I211" s="84"/>
      <c r="J211" s="85"/>
      <c r="K211" s="137">
        <f>K212+K235</f>
        <v>25771.399999999998</v>
      </c>
      <c r="L211" s="137">
        <f>L212+L235</f>
        <v>0</v>
      </c>
      <c r="M211" s="137">
        <v>25771.399999999998</v>
      </c>
      <c r="N211" s="137">
        <v>27507</v>
      </c>
    </row>
    <row r="212" spans="1:14" s="138" customFormat="1" ht="54" customHeight="1" x14ac:dyDescent="0.35">
      <c r="A212" s="133"/>
      <c r="B212" s="107" t="s">
        <v>220</v>
      </c>
      <c r="C212" s="134" t="s">
        <v>403</v>
      </c>
      <c r="D212" s="135" t="s">
        <v>32</v>
      </c>
      <c r="E212" s="135" t="s">
        <v>66</v>
      </c>
      <c r="F212" s="95" t="s">
        <v>221</v>
      </c>
      <c r="G212" s="83" t="s">
        <v>37</v>
      </c>
      <c r="H212" s="83" t="s">
        <v>38</v>
      </c>
      <c r="I212" s="84" t="s">
        <v>39</v>
      </c>
      <c r="J212" s="85"/>
      <c r="K212" s="137">
        <f>K213+K217</f>
        <v>20561.899999999998</v>
      </c>
      <c r="L212" s="137">
        <f>L213+L217</f>
        <v>0</v>
      </c>
      <c r="M212" s="137">
        <v>20561.899999999998</v>
      </c>
      <c r="N212" s="137">
        <v>22293.899999999998</v>
      </c>
    </row>
    <row r="213" spans="1:14" s="138" customFormat="1" ht="41.25" customHeight="1" x14ac:dyDescent="0.35">
      <c r="A213" s="133"/>
      <c r="B213" s="107" t="s">
        <v>222</v>
      </c>
      <c r="C213" s="134" t="s">
        <v>403</v>
      </c>
      <c r="D213" s="135" t="s">
        <v>32</v>
      </c>
      <c r="E213" s="135" t="s">
        <v>66</v>
      </c>
      <c r="F213" s="139" t="s">
        <v>221</v>
      </c>
      <c r="G213" s="140" t="s">
        <v>40</v>
      </c>
      <c r="H213" s="140" t="s">
        <v>38</v>
      </c>
      <c r="I213" s="141" t="s">
        <v>39</v>
      </c>
      <c r="J213" s="85"/>
      <c r="K213" s="137">
        <f t="shared" ref="K213:N215" si="34">K214</f>
        <v>0</v>
      </c>
      <c r="L213" s="137">
        <f t="shared" si="34"/>
        <v>0</v>
      </c>
      <c r="M213" s="137">
        <v>0</v>
      </c>
      <c r="N213" s="137">
        <v>606.9</v>
      </c>
    </row>
    <row r="214" spans="1:14" s="132" customFormat="1" ht="36" x14ac:dyDescent="0.35">
      <c r="A214" s="133"/>
      <c r="B214" s="102" t="s">
        <v>327</v>
      </c>
      <c r="C214" s="134" t="s">
        <v>403</v>
      </c>
      <c r="D214" s="135" t="s">
        <v>32</v>
      </c>
      <c r="E214" s="135" t="s">
        <v>66</v>
      </c>
      <c r="F214" s="82" t="s">
        <v>221</v>
      </c>
      <c r="G214" s="83" t="s">
        <v>40</v>
      </c>
      <c r="H214" s="83" t="s">
        <v>34</v>
      </c>
      <c r="I214" s="84" t="s">
        <v>39</v>
      </c>
      <c r="J214" s="85"/>
      <c r="K214" s="137">
        <f>K215</f>
        <v>0</v>
      </c>
      <c r="L214" s="137">
        <f>L215</f>
        <v>0</v>
      </c>
      <c r="M214" s="137">
        <v>0</v>
      </c>
      <c r="N214" s="137">
        <v>606.9</v>
      </c>
    </row>
    <row r="215" spans="1:14" s="132" customFormat="1" ht="36" x14ac:dyDescent="0.35">
      <c r="A215" s="133"/>
      <c r="B215" s="102" t="s">
        <v>326</v>
      </c>
      <c r="C215" s="134" t="s">
        <v>403</v>
      </c>
      <c r="D215" s="135" t="s">
        <v>32</v>
      </c>
      <c r="E215" s="135" t="s">
        <v>66</v>
      </c>
      <c r="F215" s="82" t="s">
        <v>221</v>
      </c>
      <c r="G215" s="83" t="s">
        <v>40</v>
      </c>
      <c r="H215" s="83" t="s">
        <v>34</v>
      </c>
      <c r="I215" s="84" t="s">
        <v>325</v>
      </c>
      <c r="J215" s="85"/>
      <c r="K215" s="137">
        <f t="shared" si="34"/>
        <v>0</v>
      </c>
      <c r="L215" s="137">
        <f t="shared" si="34"/>
        <v>0</v>
      </c>
      <c r="M215" s="137">
        <v>0</v>
      </c>
      <c r="N215" s="137">
        <v>606.9</v>
      </c>
    </row>
    <row r="216" spans="1:14" s="132" customFormat="1" ht="54" x14ac:dyDescent="0.35">
      <c r="A216" s="133"/>
      <c r="B216" s="102" t="s">
        <v>50</v>
      </c>
      <c r="C216" s="134" t="s">
        <v>403</v>
      </c>
      <c r="D216" s="135" t="s">
        <v>32</v>
      </c>
      <c r="E216" s="135" t="s">
        <v>66</v>
      </c>
      <c r="F216" s="82" t="s">
        <v>221</v>
      </c>
      <c r="G216" s="83" t="s">
        <v>40</v>
      </c>
      <c r="H216" s="83" t="s">
        <v>34</v>
      </c>
      <c r="I216" s="84" t="s">
        <v>325</v>
      </c>
      <c r="J216" s="85" t="s">
        <v>51</v>
      </c>
      <c r="K216" s="137">
        <v>0</v>
      </c>
      <c r="L216" s="26">
        <f>M216-K216</f>
        <v>0</v>
      </c>
      <c r="M216" s="137">
        <v>0</v>
      </c>
      <c r="N216" s="137">
        <v>606.9</v>
      </c>
    </row>
    <row r="217" spans="1:14" s="132" customFormat="1" ht="36" x14ac:dyDescent="0.35">
      <c r="A217" s="133"/>
      <c r="B217" s="107" t="s">
        <v>224</v>
      </c>
      <c r="C217" s="134" t="s">
        <v>403</v>
      </c>
      <c r="D217" s="135" t="s">
        <v>32</v>
      </c>
      <c r="E217" s="135" t="s">
        <v>66</v>
      </c>
      <c r="F217" s="95" t="s">
        <v>221</v>
      </c>
      <c r="G217" s="83" t="s">
        <v>84</v>
      </c>
      <c r="H217" s="83" t="s">
        <v>38</v>
      </c>
      <c r="I217" s="84" t="s">
        <v>39</v>
      </c>
      <c r="J217" s="85"/>
      <c r="K217" s="137">
        <f>K218+K229+K232</f>
        <v>20561.899999999998</v>
      </c>
      <c r="L217" s="137">
        <f>L218+L229+L232</f>
        <v>0</v>
      </c>
      <c r="M217" s="137">
        <v>20561.899999999998</v>
      </c>
      <c r="N217" s="137">
        <v>21686.999999999996</v>
      </c>
    </row>
    <row r="218" spans="1:14" s="138" customFormat="1" ht="77.25" customHeight="1" x14ac:dyDescent="0.35">
      <c r="A218" s="133"/>
      <c r="B218" s="107" t="s">
        <v>290</v>
      </c>
      <c r="C218" s="134" t="s">
        <v>403</v>
      </c>
      <c r="D218" s="135" t="s">
        <v>32</v>
      </c>
      <c r="E218" s="135" t="s">
        <v>66</v>
      </c>
      <c r="F218" s="95" t="s">
        <v>221</v>
      </c>
      <c r="G218" s="83" t="s">
        <v>84</v>
      </c>
      <c r="H218" s="83" t="s">
        <v>32</v>
      </c>
      <c r="I218" s="84" t="s">
        <v>39</v>
      </c>
      <c r="J218" s="85"/>
      <c r="K218" s="137">
        <f>K219+K223+K227</f>
        <v>20547.099999999999</v>
      </c>
      <c r="L218" s="137">
        <f>L219+L223+L227</f>
        <v>0</v>
      </c>
      <c r="M218" s="137">
        <v>20547.099999999999</v>
      </c>
      <c r="N218" s="137">
        <v>20994.6</v>
      </c>
    </row>
    <row r="219" spans="1:14" s="132" customFormat="1" ht="36" x14ac:dyDescent="0.35">
      <c r="A219" s="133"/>
      <c r="B219" s="107" t="s">
        <v>42</v>
      </c>
      <c r="C219" s="134" t="s">
        <v>403</v>
      </c>
      <c r="D219" s="135" t="s">
        <v>32</v>
      </c>
      <c r="E219" s="135" t="s">
        <v>66</v>
      </c>
      <c r="F219" s="142" t="s">
        <v>221</v>
      </c>
      <c r="G219" s="140" t="s">
        <v>84</v>
      </c>
      <c r="H219" s="140" t="s">
        <v>32</v>
      </c>
      <c r="I219" s="141" t="s">
        <v>43</v>
      </c>
      <c r="J219" s="85"/>
      <c r="K219" s="137">
        <f>K220+K221+K222</f>
        <v>13047</v>
      </c>
      <c r="L219" s="137">
        <f>L220+L221+L222</f>
        <v>0</v>
      </c>
      <c r="M219" s="137">
        <v>13047</v>
      </c>
      <c r="N219" s="137">
        <v>13269.7</v>
      </c>
    </row>
    <row r="220" spans="1:14" s="138" customFormat="1" ht="108" x14ac:dyDescent="0.35">
      <c r="A220" s="133"/>
      <c r="B220" s="24" t="s">
        <v>44</v>
      </c>
      <c r="C220" s="134" t="s">
        <v>403</v>
      </c>
      <c r="D220" s="135" t="s">
        <v>32</v>
      </c>
      <c r="E220" s="135" t="s">
        <v>66</v>
      </c>
      <c r="F220" s="95" t="s">
        <v>221</v>
      </c>
      <c r="G220" s="83" t="s">
        <v>84</v>
      </c>
      <c r="H220" s="83" t="s">
        <v>32</v>
      </c>
      <c r="I220" s="84" t="s">
        <v>43</v>
      </c>
      <c r="J220" s="85" t="s">
        <v>45</v>
      </c>
      <c r="K220" s="137">
        <v>12941.5</v>
      </c>
      <c r="L220" s="26">
        <f>M220-K220</f>
        <v>0</v>
      </c>
      <c r="M220" s="137">
        <v>12941.5</v>
      </c>
      <c r="N220" s="137">
        <v>12941.5</v>
      </c>
    </row>
    <row r="221" spans="1:14" s="138" customFormat="1" ht="54" x14ac:dyDescent="0.35">
      <c r="A221" s="133"/>
      <c r="B221" s="102" t="s">
        <v>50</v>
      </c>
      <c r="C221" s="134" t="s">
        <v>403</v>
      </c>
      <c r="D221" s="135" t="s">
        <v>32</v>
      </c>
      <c r="E221" s="135" t="s">
        <v>66</v>
      </c>
      <c r="F221" s="95" t="s">
        <v>221</v>
      </c>
      <c r="G221" s="83" t="s">
        <v>84</v>
      </c>
      <c r="H221" s="83" t="s">
        <v>32</v>
      </c>
      <c r="I221" s="84" t="s">
        <v>43</v>
      </c>
      <c r="J221" s="85" t="s">
        <v>51</v>
      </c>
      <c r="K221" s="137">
        <v>104.3</v>
      </c>
      <c r="L221" s="26">
        <f>M221-K221</f>
        <v>0</v>
      </c>
      <c r="M221" s="137">
        <v>104.3</v>
      </c>
      <c r="N221" s="137">
        <v>327</v>
      </c>
    </row>
    <row r="222" spans="1:14" s="138" customFormat="1" ht="18" x14ac:dyDescent="0.35">
      <c r="A222" s="133"/>
      <c r="B222" s="107" t="s">
        <v>52</v>
      </c>
      <c r="C222" s="134" t="s">
        <v>403</v>
      </c>
      <c r="D222" s="135" t="s">
        <v>32</v>
      </c>
      <c r="E222" s="135" t="s">
        <v>66</v>
      </c>
      <c r="F222" s="95" t="s">
        <v>221</v>
      </c>
      <c r="G222" s="83" t="s">
        <v>84</v>
      </c>
      <c r="H222" s="83" t="s">
        <v>32</v>
      </c>
      <c r="I222" s="84" t="s">
        <v>43</v>
      </c>
      <c r="J222" s="85" t="s">
        <v>53</v>
      </c>
      <c r="K222" s="137">
        <v>1.2</v>
      </c>
      <c r="L222" s="26">
        <f>M222-K222</f>
        <v>0</v>
      </c>
      <c r="M222" s="137">
        <v>1.2</v>
      </c>
      <c r="N222" s="137">
        <v>1.2</v>
      </c>
    </row>
    <row r="223" spans="1:14" s="138" customFormat="1" ht="40.5" customHeight="1" x14ac:dyDescent="0.35">
      <c r="A223" s="133"/>
      <c r="B223" s="79" t="s">
        <v>437</v>
      </c>
      <c r="C223" s="134" t="s">
        <v>403</v>
      </c>
      <c r="D223" s="135" t="s">
        <v>32</v>
      </c>
      <c r="E223" s="135" t="s">
        <v>66</v>
      </c>
      <c r="F223" s="95" t="s">
        <v>221</v>
      </c>
      <c r="G223" s="83" t="s">
        <v>84</v>
      </c>
      <c r="H223" s="83" t="s">
        <v>32</v>
      </c>
      <c r="I223" s="84" t="s">
        <v>86</v>
      </c>
      <c r="J223" s="85"/>
      <c r="K223" s="137">
        <f>K224+K225+K226</f>
        <v>7431.0999999999995</v>
      </c>
      <c r="L223" s="137">
        <f>L224+L225+L226</f>
        <v>0</v>
      </c>
      <c r="M223" s="137">
        <v>7431.0999999999995</v>
      </c>
      <c r="N223" s="137">
        <v>7655.9</v>
      </c>
    </row>
    <row r="224" spans="1:14" s="138" customFormat="1" ht="108" x14ac:dyDescent="0.35">
      <c r="A224" s="133"/>
      <c r="B224" s="24" t="s">
        <v>44</v>
      </c>
      <c r="C224" s="134" t="s">
        <v>403</v>
      </c>
      <c r="D224" s="135" t="s">
        <v>32</v>
      </c>
      <c r="E224" s="135" t="s">
        <v>66</v>
      </c>
      <c r="F224" s="95" t="s">
        <v>221</v>
      </c>
      <c r="G224" s="83" t="s">
        <v>84</v>
      </c>
      <c r="H224" s="83" t="s">
        <v>32</v>
      </c>
      <c r="I224" s="84" t="s">
        <v>86</v>
      </c>
      <c r="J224" s="85" t="s">
        <v>45</v>
      </c>
      <c r="K224" s="137">
        <f>7298.3+14.4</f>
        <v>7312.7</v>
      </c>
      <c r="L224" s="26">
        <f>M224-K224</f>
        <v>0</v>
      </c>
      <c r="M224" s="137">
        <v>7312.7</v>
      </c>
      <c r="N224" s="137">
        <v>7312.7</v>
      </c>
    </row>
    <row r="225" spans="1:14" s="138" customFormat="1" ht="54" x14ac:dyDescent="0.35">
      <c r="A225" s="133"/>
      <c r="B225" s="102" t="s">
        <v>50</v>
      </c>
      <c r="C225" s="134" t="s">
        <v>403</v>
      </c>
      <c r="D225" s="135" t="s">
        <v>32</v>
      </c>
      <c r="E225" s="135" t="s">
        <v>66</v>
      </c>
      <c r="F225" s="142" t="s">
        <v>221</v>
      </c>
      <c r="G225" s="140" t="s">
        <v>84</v>
      </c>
      <c r="H225" s="140" t="s">
        <v>32</v>
      </c>
      <c r="I225" s="141" t="s">
        <v>86</v>
      </c>
      <c r="J225" s="85" t="s">
        <v>51</v>
      </c>
      <c r="K225" s="137">
        <v>98.9</v>
      </c>
      <c r="L225" s="26">
        <f>M225-K225</f>
        <v>0</v>
      </c>
      <c r="M225" s="137">
        <v>98.9</v>
      </c>
      <c r="N225" s="137">
        <v>324.5</v>
      </c>
    </row>
    <row r="226" spans="1:14" s="138" customFormat="1" ht="18" x14ac:dyDescent="0.35">
      <c r="A226" s="133"/>
      <c r="B226" s="107" t="s">
        <v>52</v>
      </c>
      <c r="C226" s="134" t="s">
        <v>403</v>
      </c>
      <c r="D226" s="135" t="s">
        <v>32</v>
      </c>
      <c r="E226" s="135" t="s">
        <v>66</v>
      </c>
      <c r="F226" s="95" t="s">
        <v>221</v>
      </c>
      <c r="G226" s="83" t="s">
        <v>84</v>
      </c>
      <c r="H226" s="83" t="s">
        <v>32</v>
      </c>
      <c r="I226" s="84" t="s">
        <v>86</v>
      </c>
      <c r="J226" s="85" t="s">
        <v>53</v>
      </c>
      <c r="K226" s="137">
        <v>19.5</v>
      </c>
      <c r="L226" s="26">
        <f>M226-K226</f>
        <v>0</v>
      </c>
      <c r="M226" s="137">
        <v>19.5</v>
      </c>
      <c r="N226" s="137">
        <v>18.7</v>
      </c>
    </row>
    <row r="227" spans="1:14" s="138" customFormat="1" ht="54" x14ac:dyDescent="0.35">
      <c r="A227" s="133"/>
      <c r="B227" s="102" t="s">
        <v>343</v>
      </c>
      <c r="C227" s="134" t="s">
        <v>403</v>
      </c>
      <c r="D227" s="135" t="s">
        <v>32</v>
      </c>
      <c r="E227" s="135" t="s">
        <v>66</v>
      </c>
      <c r="F227" s="95" t="s">
        <v>221</v>
      </c>
      <c r="G227" s="83" t="s">
        <v>84</v>
      </c>
      <c r="H227" s="83" t="s">
        <v>32</v>
      </c>
      <c r="I227" s="84" t="s">
        <v>342</v>
      </c>
      <c r="J227" s="85"/>
      <c r="K227" s="137">
        <f>K228</f>
        <v>69</v>
      </c>
      <c r="L227" s="137">
        <f>L228</f>
        <v>0</v>
      </c>
      <c r="M227" s="137">
        <v>69</v>
      </c>
      <c r="N227" s="137">
        <v>69</v>
      </c>
    </row>
    <row r="228" spans="1:14" s="138" customFormat="1" ht="54" x14ac:dyDescent="0.35">
      <c r="A228" s="133"/>
      <c r="B228" s="102" t="s">
        <v>50</v>
      </c>
      <c r="C228" s="134" t="s">
        <v>403</v>
      </c>
      <c r="D228" s="135" t="s">
        <v>32</v>
      </c>
      <c r="E228" s="135" t="s">
        <v>66</v>
      </c>
      <c r="F228" s="95" t="s">
        <v>221</v>
      </c>
      <c r="G228" s="83" t="s">
        <v>84</v>
      </c>
      <c r="H228" s="83" t="s">
        <v>32</v>
      </c>
      <c r="I228" s="173" t="s">
        <v>342</v>
      </c>
      <c r="J228" s="85" t="s">
        <v>51</v>
      </c>
      <c r="K228" s="137">
        <v>69</v>
      </c>
      <c r="L228" s="26">
        <f>M228-K228</f>
        <v>0</v>
      </c>
      <c r="M228" s="137">
        <v>69</v>
      </c>
      <c r="N228" s="137">
        <v>69</v>
      </c>
    </row>
    <row r="229" spans="1:14" s="138" customFormat="1" ht="36" x14ac:dyDescent="0.35">
      <c r="A229" s="133"/>
      <c r="B229" s="175" t="s">
        <v>340</v>
      </c>
      <c r="C229" s="176" t="s">
        <v>403</v>
      </c>
      <c r="D229" s="177" t="s">
        <v>32</v>
      </c>
      <c r="E229" s="177" t="s">
        <v>66</v>
      </c>
      <c r="F229" s="95" t="s">
        <v>221</v>
      </c>
      <c r="G229" s="96" t="s">
        <v>84</v>
      </c>
      <c r="H229" s="96" t="s">
        <v>34</v>
      </c>
      <c r="I229" s="97" t="s">
        <v>39</v>
      </c>
      <c r="J229" s="98"/>
      <c r="K229" s="137">
        <f t="shared" ref="K229:N230" si="35">K230</f>
        <v>0</v>
      </c>
      <c r="L229" s="137">
        <f t="shared" si="35"/>
        <v>0</v>
      </c>
      <c r="M229" s="137">
        <v>0</v>
      </c>
      <c r="N229" s="137">
        <v>677.6</v>
      </c>
    </row>
    <row r="230" spans="1:14" s="138" customFormat="1" ht="58.5" customHeight="1" x14ac:dyDescent="0.35">
      <c r="A230" s="133"/>
      <c r="B230" s="182" t="s">
        <v>341</v>
      </c>
      <c r="C230" s="134" t="s">
        <v>403</v>
      </c>
      <c r="D230" s="135" t="s">
        <v>32</v>
      </c>
      <c r="E230" s="135" t="s">
        <v>66</v>
      </c>
      <c r="F230" s="144" t="s">
        <v>221</v>
      </c>
      <c r="G230" s="96" t="s">
        <v>84</v>
      </c>
      <c r="H230" s="96" t="s">
        <v>34</v>
      </c>
      <c r="I230" s="97" t="s">
        <v>100</v>
      </c>
      <c r="J230" s="99"/>
      <c r="K230" s="137">
        <f t="shared" si="35"/>
        <v>0</v>
      </c>
      <c r="L230" s="137">
        <f t="shared" si="35"/>
        <v>0</v>
      </c>
      <c r="M230" s="137">
        <v>0</v>
      </c>
      <c r="N230" s="137">
        <v>677.6</v>
      </c>
    </row>
    <row r="231" spans="1:14" s="138" customFormat="1" ht="54" x14ac:dyDescent="0.35">
      <c r="A231" s="133"/>
      <c r="B231" s="184" t="s">
        <v>50</v>
      </c>
      <c r="C231" s="134" t="s">
        <v>403</v>
      </c>
      <c r="D231" s="135" t="s">
        <v>32</v>
      </c>
      <c r="E231" s="135" t="s">
        <v>66</v>
      </c>
      <c r="F231" s="144" t="s">
        <v>221</v>
      </c>
      <c r="G231" s="101" t="s">
        <v>84</v>
      </c>
      <c r="H231" s="101" t="s">
        <v>34</v>
      </c>
      <c r="I231" s="185" t="s">
        <v>100</v>
      </c>
      <c r="J231" s="186" t="s">
        <v>51</v>
      </c>
      <c r="K231" s="137">
        <v>0</v>
      </c>
      <c r="L231" s="26">
        <f>M231-K231</f>
        <v>0</v>
      </c>
      <c r="M231" s="137">
        <v>0</v>
      </c>
      <c r="N231" s="137">
        <v>677.6</v>
      </c>
    </row>
    <row r="232" spans="1:14" s="138" customFormat="1" ht="36" x14ac:dyDescent="0.35">
      <c r="A232" s="133"/>
      <c r="B232" s="187" t="s">
        <v>363</v>
      </c>
      <c r="C232" s="134" t="s">
        <v>403</v>
      </c>
      <c r="D232" s="135" t="s">
        <v>32</v>
      </c>
      <c r="E232" s="135" t="s">
        <v>66</v>
      </c>
      <c r="F232" s="144" t="s">
        <v>221</v>
      </c>
      <c r="G232" s="96" t="s">
        <v>84</v>
      </c>
      <c r="H232" s="96" t="s">
        <v>58</v>
      </c>
      <c r="I232" s="97" t="s">
        <v>39</v>
      </c>
      <c r="J232" s="99"/>
      <c r="K232" s="137">
        <f t="shared" ref="K232:N233" si="36">K233</f>
        <v>14.8</v>
      </c>
      <c r="L232" s="137">
        <f t="shared" si="36"/>
        <v>0</v>
      </c>
      <c r="M232" s="137">
        <v>14.8</v>
      </c>
      <c r="N232" s="137">
        <v>14.8</v>
      </c>
    </row>
    <row r="233" spans="1:14" s="138" customFormat="1" ht="36" x14ac:dyDescent="0.35">
      <c r="A233" s="133"/>
      <c r="B233" s="187" t="s">
        <v>326</v>
      </c>
      <c r="C233" s="134" t="s">
        <v>403</v>
      </c>
      <c r="D233" s="135" t="s">
        <v>32</v>
      </c>
      <c r="E233" s="135" t="s">
        <v>66</v>
      </c>
      <c r="F233" s="100" t="s">
        <v>221</v>
      </c>
      <c r="G233" s="101" t="s">
        <v>84</v>
      </c>
      <c r="H233" s="101" t="s">
        <v>58</v>
      </c>
      <c r="I233" s="185" t="s">
        <v>325</v>
      </c>
      <c r="J233" s="99"/>
      <c r="K233" s="137">
        <f t="shared" si="36"/>
        <v>14.8</v>
      </c>
      <c r="L233" s="137">
        <f t="shared" si="36"/>
        <v>0</v>
      </c>
      <c r="M233" s="137">
        <v>14.8</v>
      </c>
      <c r="N233" s="137">
        <v>14.8</v>
      </c>
    </row>
    <row r="234" spans="1:14" s="138" customFormat="1" ht="18" x14ac:dyDescent="0.35">
      <c r="A234" s="133"/>
      <c r="B234" s="107" t="s">
        <v>52</v>
      </c>
      <c r="C234" s="189" t="s">
        <v>403</v>
      </c>
      <c r="D234" s="135" t="s">
        <v>32</v>
      </c>
      <c r="E234" s="135" t="s">
        <v>66</v>
      </c>
      <c r="F234" s="95" t="s">
        <v>221</v>
      </c>
      <c r="G234" s="96" t="s">
        <v>84</v>
      </c>
      <c r="H234" s="96" t="s">
        <v>58</v>
      </c>
      <c r="I234" s="97" t="s">
        <v>325</v>
      </c>
      <c r="J234" s="99" t="s">
        <v>53</v>
      </c>
      <c r="K234" s="137">
        <v>14.8</v>
      </c>
      <c r="L234" s="26">
        <f>M234-K234</f>
        <v>0</v>
      </c>
      <c r="M234" s="137">
        <v>14.8</v>
      </c>
      <c r="N234" s="137">
        <v>14.8</v>
      </c>
    </row>
    <row r="235" spans="1:14" s="138" customFormat="1" ht="56.25" customHeight="1" x14ac:dyDescent="0.35">
      <c r="A235" s="133"/>
      <c r="B235" s="143" t="s">
        <v>35</v>
      </c>
      <c r="C235" s="134" t="s">
        <v>403</v>
      </c>
      <c r="D235" s="135" t="s">
        <v>32</v>
      </c>
      <c r="E235" s="135" t="s">
        <v>66</v>
      </c>
      <c r="F235" s="144" t="s">
        <v>36</v>
      </c>
      <c r="G235" s="83" t="s">
        <v>37</v>
      </c>
      <c r="H235" s="83" t="s">
        <v>38</v>
      </c>
      <c r="I235" s="84" t="s">
        <v>39</v>
      </c>
      <c r="J235" s="85"/>
      <c r="K235" s="137">
        <f t="shared" ref="K235:N237" si="37">K236</f>
        <v>5209.5</v>
      </c>
      <c r="L235" s="137">
        <f t="shared" si="37"/>
        <v>0</v>
      </c>
      <c r="M235" s="137">
        <v>5209.5</v>
      </c>
      <c r="N235" s="137">
        <v>5213.1000000000004</v>
      </c>
    </row>
    <row r="236" spans="1:14" s="138" customFormat="1" ht="36" x14ac:dyDescent="0.35">
      <c r="A236" s="133"/>
      <c r="B236" s="102" t="s">
        <v>328</v>
      </c>
      <c r="C236" s="134" t="s">
        <v>403</v>
      </c>
      <c r="D236" s="135" t="s">
        <v>32</v>
      </c>
      <c r="E236" s="135" t="s">
        <v>66</v>
      </c>
      <c r="F236" s="95" t="s">
        <v>36</v>
      </c>
      <c r="G236" s="83" t="s">
        <v>40</v>
      </c>
      <c r="H236" s="83" t="s">
        <v>38</v>
      </c>
      <c r="I236" s="84" t="s">
        <v>39</v>
      </c>
      <c r="J236" s="85"/>
      <c r="K236" s="137">
        <f t="shared" si="37"/>
        <v>5209.5</v>
      </c>
      <c r="L236" s="137">
        <f t="shared" si="37"/>
        <v>0</v>
      </c>
      <c r="M236" s="137">
        <v>5209.5</v>
      </c>
      <c r="N236" s="137">
        <v>5213.1000000000004</v>
      </c>
    </row>
    <row r="237" spans="1:14" s="138" customFormat="1" ht="72" x14ac:dyDescent="0.35">
      <c r="A237" s="133"/>
      <c r="B237" s="107" t="s">
        <v>288</v>
      </c>
      <c r="C237" s="134" t="s">
        <v>403</v>
      </c>
      <c r="D237" s="135" t="s">
        <v>32</v>
      </c>
      <c r="E237" s="135" t="s">
        <v>66</v>
      </c>
      <c r="F237" s="95" t="s">
        <v>36</v>
      </c>
      <c r="G237" s="83" t="s">
        <v>40</v>
      </c>
      <c r="H237" s="83" t="s">
        <v>76</v>
      </c>
      <c r="I237" s="84" t="s">
        <v>39</v>
      </c>
      <c r="J237" s="85"/>
      <c r="K237" s="137">
        <f t="shared" si="37"/>
        <v>5209.5</v>
      </c>
      <c r="L237" s="137">
        <f t="shared" si="37"/>
        <v>0</v>
      </c>
      <c r="M237" s="137">
        <v>5209.5</v>
      </c>
      <c r="N237" s="137">
        <v>5213.1000000000004</v>
      </c>
    </row>
    <row r="238" spans="1:14" s="138" customFormat="1" ht="42.75" customHeight="1" x14ac:dyDescent="0.35">
      <c r="A238" s="133"/>
      <c r="B238" s="79" t="s">
        <v>437</v>
      </c>
      <c r="C238" s="134" t="s">
        <v>403</v>
      </c>
      <c r="D238" s="135" t="s">
        <v>32</v>
      </c>
      <c r="E238" s="135" t="s">
        <v>66</v>
      </c>
      <c r="F238" s="95" t="s">
        <v>36</v>
      </c>
      <c r="G238" s="83" t="s">
        <v>40</v>
      </c>
      <c r="H238" s="83" t="s">
        <v>76</v>
      </c>
      <c r="I238" s="84" t="s">
        <v>86</v>
      </c>
      <c r="J238" s="85"/>
      <c r="K238" s="137">
        <f>K239+K240</f>
        <v>5209.5</v>
      </c>
      <c r="L238" s="137">
        <f>L239+L240</f>
        <v>0</v>
      </c>
      <c r="M238" s="137">
        <v>5209.5</v>
      </c>
      <c r="N238" s="137">
        <v>5213.1000000000004</v>
      </c>
    </row>
    <row r="239" spans="1:14" s="138" customFormat="1" ht="108" x14ac:dyDescent="0.35">
      <c r="A239" s="133"/>
      <c r="B239" s="24" t="s">
        <v>44</v>
      </c>
      <c r="C239" s="134" t="s">
        <v>403</v>
      </c>
      <c r="D239" s="135" t="s">
        <v>32</v>
      </c>
      <c r="E239" s="135" t="s">
        <v>66</v>
      </c>
      <c r="F239" s="95" t="s">
        <v>36</v>
      </c>
      <c r="G239" s="83" t="s">
        <v>40</v>
      </c>
      <c r="H239" s="83" t="s">
        <v>76</v>
      </c>
      <c r="I239" s="84" t="s">
        <v>86</v>
      </c>
      <c r="J239" s="85" t="s">
        <v>45</v>
      </c>
      <c r="K239" s="137">
        <v>4729.8</v>
      </c>
      <c r="L239" s="26">
        <f>M239-K239</f>
        <v>0</v>
      </c>
      <c r="M239" s="137">
        <v>4729.8</v>
      </c>
      <c r="N239" s="137">
        <v>4729.8</v>
      </c>
    </row>
    <row r="240" spans="1:14" s="138" customFormat="1" ht="54" x14ac:dyDescent="0.35">
      <c r="A240" s="133"/>
      <c r="B240" s="102" t="s">
        <v>50</v>
      </c>
      <c r="C240" s="134" t="s">
        <v>403</v>
      </c>
      <c r="D240" s="135" t="s">
        <v>32</v>
      </c>
      <c r="E240" s="135" t="s">
        <v>66</v>
      </c>
      <c r="F240" s="95" t="s">
        <v>36</v>
      </c>
      <c r="G240" s="83" t="s">
        <v>40</v>
      </c>
      <c r="H240" s="83" t="s">
        <v>76</v>
      </c>
      <c r="I240" s="84" t="s">
        <v>86</v>
      </c>
      <c r="J240" s="85" t="s">
        <v>51</v>
      </c>
      <c r="K240" s="137">
        <v>479.7</v>
      </c>
      <c r="L240" s="26">
        <f>M240-K240</f>
        <v>0</v>
      </c>
      <c r="M240" s="137">
        <v>479.7</v>
      </c>
      <c r="N240" s="137">
        <v>483.3</v>
      </c>
    </row>
    <row r="241" spans="1:14" s="138" customFormat="1" ht="18" x14ac:dyDescent="0.35">
      <c r="A241" s="133"/>
      <c r="B241" s="81" t="s">
        <v>174</v>
      </c>
      <c r="C241" s="134" t="s">
        <v>403</v>
      </c>
      <c r="D241" s="135" t="s">
        <v>219</v>
      </c>
      <c r="E241" s="135"/>
      <c r="F241" s="82"/>
      <c r="G241" s="83"/>
      <c r="H241" s="83"/>
      <c r="I241" s="108"/>
      <c r="J241" s="85"/>
      <c r="K241" s="26">
        <f>K242+K248</f>
        <v>1594.6000000000001</v>
      </c>
      <c r="L241" s="26">
        <f>L242+L248</f>
        <v>1011.8</v>
      </c>
      <c r="M241" s="26">
        <v>2606.4</v>
      </c>
      <c r="N241" s="26">
        <v>0</v>
      </c>
    </row>
    <row r="242" spans="1:14" s="138" customFormat="1" ht="18" x14ac:dyDescent="0.35">
      <c r="A242" s="133"/>
      <c r="B242" s="81" t="s">
        <v>176</v>
      </c>
      <c r="C242" s="134" t="s">
        <v>403</v>
      </c>
      <c r="D242" s="135" t="s">
        <v>219</v>
      </c>
      <c r="E242" s="135" t="s">
        <v>32</v>
      </c>
      <c r="F242" s="82"/>
      <c r="G242" s="83"/>
      <c r="H242" s="83"/>
      <c r="I242" s="84"/>
      <c r="J242" s="85"/>
      <c r="K242" s="303">
        <f t="shared" ref="K242:N244" si="38">K243</f>
        <v>461.7</v>
      </c>
      <c r="L242" s="303">
        <f t="shared" si="38"/>
        <v>1011.8</v>
      </c>
      <c r="M242" s="303">
        <v>1473.5</v>
      </c>
      <c r="N242" s="137">
        <v>0</v>
      </c>
    </row>
    <row r="243" spans="1:14" s="138" customFormat="1" ht="54" x14ac:dyDescent="0.35">
      <c r="A243" s="133"/>
      <c r="B243" s="81" t="s">
        <v>415</v>
      </c>
      <c r="C243" s="134" t="s">
        <v>403</v>
      </c>
      <c r="D243" s="135" t="s">
        <v>219</v>
      </c>
      <c r="E243" s="135" t="s">
        <v>32</v>
      </c>
      <c r="F243" s="82" t="s">
        <v>34</v>
      </c>
      <c r="G243" s="83" t="s">
        <v>37</v>
      </c>
      <c r="H243" s="83" t="s">
        <v>38</v>
      </c>
      <c r="I243" s="84" t="s">
        <v>39</v>
      </c>
      <c r="J243" s="85"/>
      <c r="K243" s="303">
        <f t="shared" si="38"/>
        <v>461.7</v>
      </c>
      <c r="L243" s="303">
        <f t="shared" si="38"/>
        <v>1011.8</v>
      </c>
      <c r="M243" s="303">
        <v>1473.5</v>
      </c>
      <c r="N243" s="137">
        <v>0</v>
      </c>
    </row>
    <row r="244" spans="1:14" s="138" customFormat="1" ht="36" x14ac:dyDescent="0.35">
      <c r="A244" s="133"/>
      <c r="B244" s="81" t="s">
        <v>201</v>
      </c>
      <c r="C244" s="134" t="s">
        <v>403</v>
      </c>
      <c r="D244" s="135" t="s">
        <v>219</v>
      </c>
      <c r="E244" s="135" t="s">
        <v>32</v>
      </c>
      <c r="F244" s="82" t="s">
        <v>34</v>
      </c>
      <c r="G244" s="83" t="s">
        <v>40</v>
      </c>
      <c r="H244" s="83" t="s">
        <v>38</v>
      </c>
      <c r="I244" s="84" t="s">
        <v>39</v>
      </c>
      <c r="J244" s="85"/>
      <c r="K244" s="303">
        <f t="shared" si="38"/>
        <v>461.7</v>
      </c>
      <c r="L244" s="303">
        <f t="shared" si="38"/>
        <v>1011.8</v>
      </c>
      <c r="M244" s="303">
        <v>1473.5</v>
      </c>
      <c r="N244" s="137">
        <v>0</v>
      </c>
    </row>
    <row r="245" spans="1:14" s="138" customFormat="1" ht="36" x14ac:dyDescent="0.35">
      <c r="A245" s="133"/>
      <c r="B245" s="81" t="s">
        <v>255</v>
      </c>
      <c r="C245" s="134" t="s">
        <v>403</v>
      </c>
      <c r="D245" s="135" t="s">
        <v>219</v>
      </c>
      <c r="E245" s="135" t="s">
        <v>32</v>
      </c>
      <c r="F245" s="82" t="s">
        <v>34</v>
      </c>
      <c r="G245" s="83" t="s">
        <v>40</v>
      </c>
      <c r="H245" s="83" t="s">
        <v>32</v>
      </c>
      <c r="I245" s="108" t="s">
        <v>39</v>
      </c>
      <c r="J245" s="85"/>
      <c r="K245" s="303">
        <f t="shared" ref="K245:N246" si="39">K246</f>
        <v>461.7</v>
      </c>
      <c r="L245" s="303">
        <f t="shared" si="39"/>
        <v>1011.8</v>
      </c>
      <c r="M245" s="303">
        <v>1473.5</v>
      </c>
      <c r="N245" s="303">
        <v>0</v>
      </c>
    </row>
    <row r="246" spans="1:14" s="138" customFormat="1" ht="36" x14ac:dyDescent="0.35">
      <c r="A246" s="133"/>
      <c r="B246" s="24" t="s">
        <v>203</v>
      </c>
      <c r="C246" s="134" t="s">
        <v>403</v>
      </c>
      <c r="D246" s="135" t="s">
        <v>219</v>
      </c>
      <c r="E246" s="135" t="s">
        <v>32</v>
      </c>
      <c r="F246" s="82" t="s">
        <v>34</v>
      </c>
      <c r="G246" s="83" t="s">
        <v>40</v>
      </c>
      <c r="H246" s="83" t="s">
        <v>32</v>
      </c>
      <c r="I246" s="108" t="s">
        <v>262</v>
      </c>
      <c r="J246" s="85"/>
      <c r="K246" s="303">
        <f t="shared" si="39"/>
        <v>461.7</v>
      </c>
      <c r="L246" s="303">
        <f t="shared" si="39"/>
        <v>1011.8</v>
      </c>
      <c r="M246" s="303">
        <v>1473.5</v>
      </c>
      <c r="N246" s="303">
        <v>0</v>
      </c>
    </row>
    <row r="247" spans="1:14" s="138" customFormat="1" ht="54" x14ac:dyDescent="0.35">
      <c r="A247" s="133"/>
      <c r="B247" s="81" t="s">
        <v>198</v>
      </c>
      <c r="C247" s="134" t="s">
        <v>403</v>
      </c>
      <c r="D247" s="135" t="s">
        <v>219</v>
      </c>
      <c r="E247" s="135" t="s">
        <v>32</v>
      </c>
      <c r="F247" s="82" t="s">
        <v>34</v>
      </c>
      <c r="G247" s="83" t="s">
        <v>40</v>
      </c>
      <c r="H247" s="83" t="s">
        <v>32</v>
      </c>
      <c r="I247" s="108" t="s">
        <v>262</v>
      </c>
      <c r="J247" s="85" t="s">
        <v>199</v>
      </c>
      <c r="K247" s="303">
        <f>194+267.7</f>
        <v>461.7</v>
      </c>
      <c r="L247" s="26">
        <f>M247-K247</f>
        <v>1011.8</v>
      </c>
      <c r="M247" s="303">
        <v>1473.5</v>
      </c>
      <c r="N247" s="137">
        <v>0</v>
      </c>
    </row>
    <row r="248" spans="1:14" s="138" customFormat="1" ht="18" x14ac:dyDescent="0.35">
      <c r="A248" s="133"/>
      <c r="B248" s="81" t="s">
        <v>178</v>
      </c>
      <c r="C248" s="134" t="s">
        <v>403</v>
      </c>
      <c r="D248" s="135" t="s">
        <v>219</v>
      </c>
      <c r="E248" s="135" t="s">
        <v>34</v>
      </c>
      <c r="F248" s="82"/>
      <c r="G248" s="83"/>
      <c r="H248" s="83"/>
      <c r="I248" s="108"/>
      <c r="J248" s="85"/>
      <c r="K248" s="303">
        <f t="shared" ref="K248:M252" si="40">K249</f>
        <v>1132.9000000000001</v>
      </c>
      <c r="L248" s="303">
        <f t="shared" si="40"/>
        <v>0</v>
      </c>
      <c r="M248" s="303">
        <v>1132.9000000000001</v>
      </c>
      <c r="N248" s="137">
        <v>0</v>
      </c>
    </row>
    <row r="249" spans="1:14" s="138" customFormat="1" ht="54" x14ac:dyDescent="0.35">
      <c r="A249" s="133"/>
      <c r="B249" s="81" t="s">
        <v>200</v>
      </c>
      <c r="C249" s="134" t="s">
        <v>403</v>
      </c>
      <c r="D249" s="135" t="s">
        <v>219</v>
      </c>
      <c r="E249" s="135" t="s">
        <v>34</v>
      </c>
      <c r="F249" s="82" t="s">
        <v>34</v>
      </c>
      <c r="G249" s="83" t="s">
        <v>37</v>
      </c>
      <c r="H249" s="83" t="s">
        <v>38</v>
      </c>
      <c r="I249" s="84" t="s">
        <v>39</v>
      </c>
      <c r="J249" s="85"/>
      <c r="K249" s="303">
        <f t="shared" si="40"/>
        <v>1132.9000000000001</v>
      </c>
      <c r="L249" s="303">
        <f t="shared" si="40"/>
        <v>0</v>
      </c>
      <c r="M249" s="303">
        <v>1132.9000000000001</v>
      </c>
      <c r="N249" s="137">
        <v>0</v>
      </c>
    </row>
    <row r="250" spans="1:14" s="138" customFormat="1" ht="36" x14ac:dyDescent="0.35">
      <c r="A250" s="133"/>
      <c r="B250" s="81" t="s">
        <v>201</v>
      </c>
      <c r="C250" s="134" t="s">
        <v>403</v>
      </c>
      <c r="D250" s="135" t="s">
        <v>219</v>
      </c>
      <c r="E250" s="135" t="s">
        <v>34</v>
      </c>
      <c r="F250" s="82" t="s">
        <v>34</v>
      </c>
      <c r="G250" s="83" t="s">
        <v>40</v>
      </c>
      <c r="H250" s="83" t="s">
        <v>38</v>
      </c>
      <c r="I250" s="84" t="s">
        <v>39</v>
      </c>
      <c r="J250" s="85"/>
      <c r="K250" s="303">
        <f t="shared" si="40"/>
        <v>1132.9000000000001</v>
      </c>
      <c r="L250" s="303">
        <f t="shared" si="40"/>
        <v>0</v>
      </c>
      <c r="M250" s="303">
        <v>1132.9000000000001</v>
      </c>
      <c r="N250" s="137">
        <v>0</v>
      </c>
    </row>
    <row r="251" spans="1:14" s="138" customFormat="1" ht="18" x14ac:dyDescent="0.35">
      <c r="A251" s="133"/>
      <c r="B251" s="81" t="s">
        <v>260</v>
      </c>
      <c r="C251" s="134" t="s">
        <v>403</v>
      </c>
      <c r="D251" s="135" t="s">
        <v>219</v>
      </c>
      <c r="E251" s="135" t="s">
        <v>34</v>
      </c>
      <c r="F251" s="82" t="s">
        <v>34</v>
      </c>
      <c r="G251" s="83" t="s">
        <v>40</v>
      </c>
      <c r="H251" s="83" t="s">
        <v>34</v>
      </c>
      <c r="I251" s="84" t="s">
        <v>39</v>
      </c>
      <c r="J251" s="85"/>
      <c r="K251" s="303">
        <f t="shared" si="40"/>
        <v>1132.9000000000001</v>
      </c>
      <c r="L251" s="303">
        <f t="shared" si="40"/>
        <v>0</v>
      </c>
      <c r="M251" s="303">
        <v>1132.9000000000001</v>
      </c>
      <c r="N251" s="137">
        <v>0</v>
      </c>
    </row>
    <row r="252" spans="1:14" s="138" customFormat="1" ht="36" x14ac:dyDescent="0.35">
      <c r="A252" s="133"/>
      <c r="B252" s="81" t="s">
        <v>203</v>
      </c>
      <c r="C252" s="134" t="s">
        <v>403</v>
      </c>
      <c r="D252" s="135" t="s">
        <v>219</v>
      </c>
      <c r="E252" s="135" t="s">
        <v>34</v>
      </c>
      <c r="F252" s="82" t="s">
        <v>34</v>
      </c>
      <c r="G252" s="83" t="s">
        <v>40</v>
      </c>
      <c r="H252" s="83" t="s">
        <v>34</v>
      </c>
      <c r="I252" s="84" t="s">
        <v>262</v>
      </c>
      <c r="J252" s="85"/>
      <c r="K252" s="303">
        <f t="shared" si="40"/>
        <v>1132.9000000000001</v>
      </c>
      <c r="L252" s="303">
        <f t="shared" si="40"/>
        <v>0</v>
      </c>
      <c r="M252" s="303">
        <v>1132.9000000000001</v>
      </c>
      <c r="N252" s="137">
        <v>0</v>
      </c>
    </row>
    <row r="253" spans="1:14" s="138" customFormat="1" ht="54" x14ac:dyDescent="0.35">
      <c r="A253" s="133"/>
      <c r="B253" s="81" t="s">
        <v>198</v>
      </c>
      <c r="C253" s="134" t="s">
        <v>403</v>
      </c>
      <c r="D253" s="135" t="s">
        <v>219</v>
      </c>
      <c r="E253" s="135" t="s">
        <v>34</v>
      </c>
      <c r="F253" s="82" t="s">
        <v>34</v>
      </c>
      <c r="G253" s="83" t="s">
        <v>40</v>
      </c>
      <c r="H253" s="83" t="s">
        <v>34</v>
      </c>
      <c r="I253" s="84" t="s">
        <v>262</v>
      </c>
      <c r="J253" s="85" t="s">
        <v>199</v>
      </c>
      <c r="K253" s="303">
        <f>190.9+124.1+296+252.1+269.8</f>
        <v>1132.9000000000001</v>
      </c>
      <c r="L253" s="26">
        <f>M253-K253</f>
        <v>0</v>
      </c>
      <c r="M253" s="303">
        <v>1132.9000000000001</v>
      </c>
      <c r="N253" s="137">
        <v>0</v>
      </c>
    </row>
    <row r="254" spans="1:14" s="149" customFormat="1" ht="18" x14ac:dyDescent="0.35">
      <c r="A254" s="146"/>
      <c r="B254" s="147" t="s">
        <v>114</v>
      </c>
      <c r="C254" s="148" t="s">
        <v>403</v>
      </c>
      <c r="D254" s="106" t="s">
        <v>99</v>
      </c>
      <c r="E254" s="106"/>
      <c r="F254" s="103"/>
      <c r="G254" s="104"/>
      <c r="H254" s="104"/>
      <c r="I254" s="105"/>
      <c r="J254" s="106"/>
      <c r="K254" s="137">
        <f>K255+K405</f>
        <v>47267.9</v>
      </c>
      <c r="L254" s="137">
        <f>L255+L405</f>
        <v>0</v>
      </c>
      <c r="M254" s="137">
        <v>47267.9</v>
      </c>
      <c r="N254" s="137">
        <v>47267.9</v>
      </c>
    </row>
    <row r="255" spans="1:14" s="149" customFormat="1" ht="18" x14ac:dyDescent="0.35">
      <c r="A255" s="146"/>
      <c r="B255" s="102" t="s">
        <v>188</v>
      </c>
      <c r="C255" s="148" t="s">
        <v>403</v>
      </c>
      <c r="D255" s="106" t="s">
        <v>99</v>
      </c>
      <c r="E255" s="106" t="s">
        <v>47</v>
      </c>
      <c r="F255" s="103"/>
      <c r="G255" s="104"/>
      <c r="H255" s="104"/>
      <c r="I255" s="105"/>
      <c r="J255" s="106"/>
      <c r="K255" s="137">
        <f t="shared" ref="K255:N257" si="41">K256</f>
        <v>47267.9</v>
      </c>
      <c r="L255" s="137">
        <f t="shared" si="41"/>
        <v>0</v>
      </c>
      <c r="M255" s="137">
        <v>47267.9</v>
      </c>
      <c r="N255" s="137">
        <v>47267.9</v>
      </c>
    </row>
    <row r="256" spans="1:14" s="149" customFormat="1" ht="54" x14ac:dyDescent="0.35">
      <c r="A256" s="146"/>
      <c r="B256" s="150" t="s">
        <v>225</v>
      </c>
      <c r="C256" s="148" t="s">
        <v>403</v>
      </c>
      <c r="D256" s="106" t="s">
        <v>99</v>
      </c>
      <c r="E256" s="106" t="s">
        <v>47</v>
      </c>
      <c r="F256" s="103" t="s">
        <v>74</v>
      </c>
      <c r="G256" s="104" t="s">
        <v>37</v>
      </c>
      <c r="H256" s="104" t="s">
        <v>38</v>
      </c>
      <c r="I256" s="105" t="s">
        <v>39</v>
      </c>
      <c r="J256" s="106"/>
      <c r="K256" s="137">
        <f t="shared" si="41"/>
        <v>47267.9</v>
      </c>
      <c r="L256" s="137">
        <f t="shared" si="41"/>
        <v>0</v>
      </c>
      <c r="M256" s="137">
        <v>47267.9</v>
      </c>
      <c r="N256" s="137">
        <v>47267.9</v>
      </c>
    </row>
    <row r="257" spans="1:15" s="149" customFormat="1" ht="36" x14ac:dyDescent="0.35">
      <c r="A257" s="146"/>
      <c r="B257" s="102" t="s">
        <v>328</v>
      </c>
      <c r="C257" s="148" t="s">
        <v>403</v>
      </c>
      <c r="D257" s="106" t="s">
        <v>99</v>
      </c>
      <c r="E257" s="106" t="s">
        <v>47</v>
      </c>
      <c r="F257" s="103" t="s">
        <v>74</v>
      </c>
      <c r="G257" s="104" t="s">
        <v>40</v>
      </c>
      <c r="H257" s="104" t="s">
        <v>38</v>
      </c>
      <c r="I257" s="105" t="s">
        <v>39</v>
      </c>
      <c r="J257" s="106"/>
      <c r="K257" s="137">
        <f t="shared" si="41"/>
        <v>47267.9</v>
      </c>
      <c r="L257" s="137">
        <f t="shared" si="41"/>
        <v>0</v>
      </c>
      <c r="M257" s="137">
        <v>47267.9</v>
      </c>
      <c r="N257" s="137">
        <v>47267.9</v>
      </c>
    </row>
    <row r="258" spans="1:15" s="151" customFormat="1" ht="90" x14ac:dyDescent="0.35">
      <c r="A258" s="146"/>
      <c r="B258" s="102" t="s">
        <v>289</v>
      </c>
      <c r="C258" s="148" t="s">
        <v>403</v>
      </c>
      <c r="D258" s="106" t="s">
        <v>99</v>
      </c>
      <c r="E258" s="106" t="s">
        <v>47</v>
      </c>
      <c r="F258" s="103" t="s">
        <v>74</v>
      </c>
      <c r="G258" s="104" t="s">
        <v>40</v>
      </c>
      <c r="H258" s="104" t="s">
        <v>34</v>
      </c>
      <c r="I258" s="105" t="s">
        <v>39</v>
      </c>
      <c r="J258" s="106"/>
      <c r="K258" s="137">
        <f>K259+K261</f>
        <v>47267.9</v>
      </c>
      <c r="L258" s="137">
        <f>L259+L261</f>
        <v>0</v>
      </c>
      <c r="M258" s="137">
        <v>47267.9</v>
      </c>
      <c r="N258" s="137">
        <v>47267.9</v>
      </c>
    </row>
    <row r="259" spans="1:15" s="138" customFormat="1" ht="110.25" customHeight="1" x14ac:dyDescent="0.35">
      <c r="A259" s="133"/>
      <c r="B259" s="107" t="s">
        <v>405</v>
      </c>
      <c r="C259" s="134" t="s">
        <v>403</v>
      </c>
      <c r="D259" s="135" t="s">
        <v>99</v>
      </c>
      <c r="E259" s="135" t="s">
        <v>47</v>
      </c>
      <c r="F259" s="82" t="s">
        <v>74</v>
      </c>
      <c r="G259" s="83" t="s">
        <v>40</v>
      </c>
      <c r="H259" s="83" t="s">
        <v>34</v>
      </c>
      <c r="I259" s="108" t="s">
        <v>406</v>
      </c>
      <c r="J259" s="85"/>
      <c r="K259" s="137">
        <f>K260</f>
        <v>39126.1</v>
      </c>
      <c r="L259" s="137">
        <f>L260</f>
        <v>0</v>
      </c>
      <c r="M259" s="137">
        <v>39126.1</v>
      </c>
      <c r="N259" s="137">
        <v>39126.1</v>
      </c>
    </row>
    <row r="260" spans="1:15" s="138" customFormat="1" ht="54" x14ac:dyDescent="0.35">
      <c r="A260" s="133"/>
      <c r="B260" s="107" t="s">
        <v>198</v>
      </c>
      <c r="C260" s="134" t="s">
        <v>403</v>
      </c>
      <c r="D260" s="135" t="s">
        <v>99</v>
      </c>
      <c r="E260" s="135" t="s">
        <v>47</v>
      </c>
      <c r="F260" s="82" t="s">
        <v>74</v>
      </c>
      <c r="G260" s="83" t="s">
        <v>40</v>
      </c>
      <c r="H260" s="83" t="s">
        <v>34</v>
      </c>
      <c r="I260" s="108" t="s">
        <v>406</v>
      </c>
      <c r="J260" s="85" t="s">
        <v>199</v>
      </c>
      <c r="K260" s="210">
        <f>47267.9-8141.8</f>
        <v>39126.1</v>
      </c>
      <c r="L260" s="26">
        <f>M260-K260</f>
        <v>0</v>
      </c>
      <c r="M260" s="210">
        <v>39126.1</v>
      </c>
      <c r="N260" s="210">
        <v>39126.1</v>
      </c>
    </row>
    <row r="261" spans="1:15" s="138" customFormat="1" ht="108" x14ac:dyDescent="0.35">
      <c r="A261" s="133"/>
      <c r="B261" s="107" t="s">
        <v>405</v>
      </c>
      <c r="C261" s="134" t="s">
        <v>403</v>
      </c>
      <c r="D261" s="135" t="s">
        <v>99</v>
      </c>
      <c r="E261" s="135" t="s">
        <v>47</v>
      </c>
      <c r="F261" s="82" t="s">
        <v>74</v>
      </c>
      <c r="G261" s="83" t="s">
        <v>40</v>
      </c>
      <c r="H261" s="83" t="s">
        <v>34</v>
      </c>
      <c r="I261" s="108" t="s">
        <v>544</v>
      </c>
      <c r="J261" s="136"/>
      <c r="K261" s="290">
        <f>K262</f>
        <v>8141.8</v>
      </c>
      <c r="L261" s="290">
        <f>L262</f>
        <v>0</v>
      </c>
      <c r="M261" s="290">
        <v>8141.8</v>
      </c>
      <c r="N261" s="290">
        <v>8141.8</v>
      </c>
    </row>
    <row r="262" spans="1:15" s="138" customFormat="1" ht="54" x14ac:dyDescent="0.35">
      <c r="A262" s="133"/>
      <c r="B262" s="107" t="s">
        <v>198</v>
      </c>
      <c r="C262" s="134" t="s">
        <v>403</v>
      </c>
      <c r="D262" s="135" t="s">
        <v>99</v>
      </c>
      <c r="E262" s="135" t="s">
        <v>47</v>
      </c>
      <c r="F262" s="82" t="s">
        <v>74</v>
      </c>
      <c r="G262" s="83" t="s">
        <v>40</v>
      </c>
      <c r="H262" s="83" t="s">
        <v>34</v>
      </c>
      <c r="I262" s="108" t="s">
        <v>544</v>
      </c>
      <c r="J262" s="136" t="s">
        <v>199</v>
      </c>
      <c r="K262" s="290">
        <v>8141.8</v>
      </c>
      <c r="L262" s="26">
        <f>M262-K262</f>
        <v>0</v>
      </c>
      <c r="M262" s="290">
        <v>8141.8</v>
      </c>
      <c r="N262" s="290">
        <v>8141.8</v>
      </c>
    </row>
    <row r="263" spans="1:15" s="138" customFormat="1" ht="18" x14ac:dyDescent="0.35">
      <c r="A263" s="133"/>
      <c r="B263" s="107" t="s">
        <v>309</v>
      </c>
      <c r="C263" s="134" t="s">
        <v>403</v>
      </c>
      <c r="D263" s="135" t="s">
        <v>62</v>
      </c>
      <c r="E263" s="135"/>
      <c r="F263" s="82"/>
      <c r="G263" s="83"/>
      <c r="H263" s="83"/>
      <c r="I263" s="108"/>
      <c r="J263" s="85"/>
      <c r="K263" s="555">
        <f t="shared" ref="K263:N268" si="42">K264</f>
        <v>129.69999999999999</v>
      </c>
      <c r="L263" s="555">
        <f t="shared" si="42"/>
        <v>0</v>
      </c>
      <c r="M263" s="555">
        <v>129.69999999999999</v>
      </c>
      <c r="N263" s="556">
        <v>0</v>
      </c>
    </row>
    <row r="264" spans="1:15" s="138" customFormat="1" ht="18" x14ac:dyDescent="0.35">
      <c r="A264" s="133"/>
      <c r="B264" s="107" t="s">
        <v>349</v>
      </c>
      <c r="C264" s="134" t="s">
        <v>403</v>
      </c>
      <c r="D264" s="135" t="s">
        <v>62</v>
      </c>
      <c r="E264" s="135" t="s">
        <v>32</v>
      </c>
      <c r="F264" s="82"/>
      <c r="G264" s="83"/>
      <c r="H264" s="83"/>
      <c r="I264" s="108"/>
      <c r="J264" s="85"/>
      <c r="K264" s="542">
        <f t="shared" si="42"/>
        <v>129.69999999999999</v>
      </c>
      <c r="L264" s="542">
        <f t="shared" si="42"/>
        <v>0</v>
      </c>
      <c r="M264" s="542">
        <v>129.69999999999999</v>
      </c>
      <c r="N264" s="290">
        <v>0</v>
      </c>
    </row>
    <row r="265" spans="1:15" s="138" customFormat="1" ht="54" x14ac:dyDescent="0.35">
      <c r="A265" s="133"/>
      <c r="B265" s="107" t="s">
        <v>212</v>
      </c>
      <c r="C265" s="134" t="s">
        <v>403</v>
      </c>
      <c r="D265" s="135" t="s">
        <v>62</v>
      </c>
      <c r="E265" s="135" t="s">
        <v>32</v>
      </c>
      <c r="F265" s="82" t="s">
        <v>47</v>
      </c>
      <c r="G265" s="83" t="s">
        <v>37</v>
      </c>
      <c r="H265" s="83" t="s">
        <v>38</v>
      </c>
      <c r="I265" s="108" t="s">
        <v>39</v>
      </c>
      <c r="J265" s="85"/>
      <c r="K265" s="542">
        <f t="shared" si="42"/>
        <v>129.69999999999999</v>
      </c>
      <c r="L265" s="542">
        <f t="shared" si="42"/>
        <v>0</v>
      </c>
      <c r="M265" s="542">
        <v>129.69999999999999</v>
      </c>
      <c r="N265" s="290">
        <v>0</v>
      </c>
    </row>
    <row r="266" spans="1:15" s="138" customFormat="1" ht="36" x14ac:dyDescent="0.35">
      <c r="A266" s="133"/>
      <c r="B266" s="107" t="s">
        <v>328</v>
      </c>
      <c r="C266" s="134" t="s">
        <v>403</v>
      </c>
      <c r="D266" s="135" t="s">
        <v>62</v>
      </c>
      <c r="E266" s="135" t="s">
        <v>32</v>
      </c>
      <c r="F266" s="82" t="s">
        <v>47</v>
      </c>
      <c r="G266" s="83" t="s">
        <v>26</v>
      </c>
      <c r="H266" s="83" t="s">
        <v>38</v>
      </c>
      <c r="I266" s="108" t="s">
        <v>39</v>
      </c>
      <c r="J266" s="85"/>
      <c r="K266" s="542">
        <f t="shared" si="42"/>
        <v>129.69999999999999</v>
      </c>
      <c r="L266" s="542">
        <f t="shared" si="42"/>
        <v>0</v>
      </c>
      <c r="M266" s="542">
        <v>129.69999999999999</v>
      </c>
      <c r="N266" s="290">
        <v>0</v>
      </c>
    </row>
    <row r="267" spans="1:15" s="138" customFormat="1" ht="72" x14ac:dyDescent="0.35">
      <c r="A267" s="133"/>
      <c r="B267" s="107" t="s">
        <v>399</v>
      </c>
      <c r="C267" s="134" t="s">
        <v>403</v>
      </c>
      <c r="D267" s="135" t="s">
        <v>62</v>
      </c>
      <c r="E267" s="135" t="s">
        <v>32</v>
      </c>
      <c r="F267" s="82" t="s">
        <v>47</v>
      </c>
      <c r="G267" s="83" t="s">
        <v>26</v>
      </c>
      <c r="H267" s="83" t="s">
        <v>58</v>
      </c>
      <c r="I267" s="108" t="s">
        <v>39</v>
      </c>
      <c r="J267" s="85"/>
      <c r="K267" s="542">
        <f t="shared" si="42"/>
        <v>129.69999999999999</v>
      </c>
      <c r="L267" s="542">
        <f t="shared" si="42"/>
        <v>0</v>
      </c>
      <c r="M267" s="542">
        <v>129.69999999999999</v>
      </c>
      <c r="N267" s="290">
        <v>0</v>
      </c>
    </row>
    <row r="268" spans="1:15" s="138" customFormat="1" ht="54" x14ac:dyDescent="0.35">
      <c r="A268" s="133"/>
      <c r="B268" s="107" t="s">
        <v>214</v>
      </c>
      <c r="C268" s="134" t="s">
        <v>403</v>
      </c>
      <c r="D268" s="135" t="s">
        <v>62</v>
      </c>
      <c r="E268" s="135" t="s">
        <v>32</v>
      </c>
      <c r="F268" s="82" t="s">
        <v>47</v>
      </c>
      <c r="G268" s="83" t="s">
        <v>26</v>
      </c>
      <c r="H268" s="83" t="s">
        <v>58</v>
      </c>
      <c r="I268" s="108" t="s">
        <v>281</v>
      </c>
      <c r="J268" s="85"/>
      <c r="K268" s="542">
        <f>K269</f>
        <v>129.69999999999999</v>
      </c>
      <c r="L268" s="542">
        <f>L269</f>
        <v>0</v>
      </c>
      <c r="M268" s="542">
        <v>129.69999999999999</v>
      </c>
      <c r="N268" s="290">
        <v>0</v>
      </c>
    </row>
    <row r="269" spans="1:15" s="138" customFormat="1" ht="54" x14ac:dyDescent="0.35">
      <c r="A269" s="133"/>
      <c r="B269" s="107" t="s">
        <v>198</v>
      </c>
      <c r="C269" s="134" t="s">
        <v>403</v>
      </c>
      <c r="D269" s="135" t="s">
        <v>62</v>
      </c>
      <c r="E269" s="135" t="s">
        <v>32</v>
      </c>
      <c r="F269" s="82" t="s">
        <v>47</v>
      </c>
      <c r="G269" s="83" t="s">
        <v>26</v>
      </c>
      <c r="H269" s="83" t="s">
        <v>58</v>
      </c>
      <c r="I269" s="108" t="s">
        <v>281</v>
      </c>
      <c r="J269" s="540" t="s">
        <v>199</v>
      </c>
      <c r="K269" s="542">
        <v>129.69999999999999</v>
      </c>
      <c r="L269" s="26">
        <f>M269-K269</f>
        <v>0</v>
      </c>
      <c r="M269" s="542">
        <v>129.69999999999999</v>
      </c>
      <c r="N269" s="543">
        <v>0</v>
      </c>
    </row>
    <row r="270" spans="1:15" s="123" customFormat="1" ht="18" x14ac:dyDescent="0.35">
      <c r="A270" s="11"/>
      <c r="B270" s="24"/>
      <c r="C270" s="25"/>
      <c r="D270" s="10"/>
      <c r="E270" s="10"/>
      <c r="F270" s="571"/>
      <c r="G270" s="572"/>
      <c r="H270" s="572"/>
      <c r="I270" s="573"/>
      <c r="J270" s="10"/>
      <c r="K270" s="26"/>
      <c r="L270" s="26"/>
      <c r="M270" s="26"/>
      <c r="N270" s="26"/>
    </row>
    <row r="271" spans="1:15" s="121" customFormat="1" ht="52.2" x14ac:dyDescent="0.3">
      <c r="A271" s="116">
        <v>5</v>
      </c>
      <c r="B271" s="18" t="s">
        <v>6</v>
      </c>
      <c r="C271" s="19" t="s">
        <v>407</v>
      </c>
      <c r="D271" s="20"/>
      <c r="E271" s="20"/>
      <c r="F271" s="21"/>
      <c r="G271" s="22"/>
      <c r="H271" s="22"/>
      <c r="I271" s="23"/>
      <c r="J271" s="20"/>
      <c r="K271" s="40">
        <f>K285+K397+K272</f>
        <v>1074741.9000000001</v>
      </c>
      <c r="L271" s="40">
        <f>L285+L397+L272</f>
        <v>0</v>
      </c>
      <c r="M271" s="40">
        <v>1074741.9000000001</v>
      </c>
      <c r="N271" s="40">
        <v>1098331.5999999999</v>
      </c>
      <c r="O271" s="152"/>
    </row>
    <row r="272" spans="1:15" s="121" customFormat="1" ht="18" x14ac:dyDescent="0.35">
      <c r="A272" s="116"/>
      <c r="B272" s="257" t="s">
        <v>31</v>
      </c>
      <c r="C272" s="265" t="s">
        <v>407</v>
      </c>
      <c r="D272" s="258" t="s">
        <v>32</v>
      </c>
      <c r="E272" s="78"/>
      <c r="F272" s="266"/>
      <c r="G272" s="88"/>
      <c r="H272" s="88"/>
      <c r="I272" s="89"/>
      <c r="J272" s="78"/>
      <c r="K272" s="224">
        <f t="shared" ref="K272:M273" si="43">K273</f>
        <v>257.2</v>
      </c>
      <c r="L272" s="224">
        <f t="shared" si="43"/>
        <v>0</v>
      </c>
      <c r="M272" s="224">
        <v>257.2</v>
      </c>
      <c r="N272" s="224">
        <v>257.2</v>
      </c>
      <c r="O272" s="152"/>
    </row>
    <row r="273" spans="1:15" s="121" customFormat="1" ht="18" x14ac:dyDescent="0.35">
      <c r="A273" s="116"/>
      <c r="B273" s="257" t="s">
        <v>65</v>
      </c>
      <c r="C273" s="267" t="s">
        <v>407</v>
      </c>
      <c r="D273" s="258" t="s">
        <v>32</v>
      </c>
      <c r="E273" s="258" t="s">
        <v>66</v>
      </c>
      <c r="F273" s="266"/>
      <c r="G273" s="88"/>
      <c r="H273" s="88"/>
      <c r="I273" s="89"/>
      <c r="J273" s="78"/>
      <c r="K273" s="224">
        <f t="shared" si="43"/>
        <v>257.2</v>
      </c>
      <c r="L273" s="224">
        <f t="shared" si="43"/>
        <v>0</v>
      </c>
      <c r="M273" s="224">
        <v>257.2</v>
      </c>
      <c r="N273" s="224">
        <v>257.2</v>
      </c>
      <c r="O273" s="152"/>
    </row>
    <row r="274" spans="1:15" s="121" customFormat="1" ht="54" x14ac:dyDescent="0.35">
      <c r="A274" s="116"/>
      <c r="B274" s="257" t="s">
        <v>200</v>
      </c>
      <c r="C274" s="265" t="s">
        <v>407</v>
      </c>
      <c r="D274" s="258" t="s">
        <v>32</v>
      </c>
      <c r="E274" s="258" t="s">
        <v>66</v>
      </c>
      <c r="F274" s="564" t="s">
        <v>34</v>
      </c>
      <c r="G274" s="565" t="s">
        <v>37</v>
      </c>
      <c r="H274" s="565" t="s">
        <v>38</v>
      </c>
      <c r="I274" s="566" t="s">
        <v>39</v>
      </c>
      <c r="J274" s="258"/>
      <c r="K274" s="224">
        <f>K275</f>
        <v>257.2</v>
      </c>
      <c r="L274" s="224">
        <f>L275</f>
        <v>0</v>
      </c>
      <c r="M274" s="224">
        <v>257.2</v>
      </c>
      <c r="N274" s="224">
        <v>257.2</v>
      </c>
      <c r="O274" s="152"/>
    </row>
    <row r="275" spans="1:15" s="121" customFormat="1" ht="54" x14ac:dyDescent="0.35">
      <c r="A275" s="116"/>
      <c r="B275" s="238" t="s">
        <v>207</v>
      </c>
      <c r="C275" s="265" t="s">
        <v>407</v>
      </c>
      <c r="D275" s="258" t="s">
        <v>32</v>
      </c>
      <c r="E275" s="258" t="s">
        <v>66</v>
      </c>
      <c r="F275" s="564" t="s">
        <v>34</v>
      </c>
      <c r="G275" s="565" t="s">
        <v>25</v>
      </c>
      <c r="H275" s="565" t="s">
        <v>38</v>
      </c>
      <c r="I275" s="566" t="s">
        <v>39</v>
      </c>
      <c r="J275" s="258"/>
      <c r="K275" s="224">
        <f>K276+K279+K282</f>
        <v>257.2</v>
      </c>
      <c r="L275" s="224">
        <f>L276+L279+L282</f>
        <v>0</v>
      </c>
      <c r="M275" s="224">
        <v>257.2</v>
      </c>
      <c r="N275" s="224">
        <v>257.2</v>
      </c>
      <c r="O275" s="152"/>
    </row>
    <row r="276" spans="1:15" s="121" customFormat="1" ht="36" x14ac:dyDescent="0.35">
      <c r="A276" s="116"/>
      <c r="B276" s="257" t="s">
        <v>340</v>
      </c>
      <c r="C276" s="265" t="s">
        <v>407</v>
      </c>
      <c r="D276" s="258" t="s">
        <v>32</v>
      </c>
      <c r="E276" s="258" t="s">
        <v>66</v>
      </c>
      <c r="F276" s="564" t="s">
        <v>34</v>
      </c>
      <c r="G276" s="565" t="s">
        <v>25</v>
      </c>
      <c r="H276" s="565" t="s">
        <v>58</v>
      </c>
      <c r="I276" s="566" t="s">
        <v>39</v>
      </c>
      <c r="J276" s="258"/>
      <c r="K276" s="224">
        <f t="shared" ref="K276:N277" si="44">K277</f>
        <v>127.4</v>
      </c>
      <c r="L276" s="224">
        <f t="shared" si="44"/>
        <v>0</v>
      </c>
      <c r="M276" s="224">
        <v>127.4</v>
      </c>
      <c r="N276" s="224">
        <v>127.4</v>
      </c>
      <c r="O276" s="152"/>
    </row>
    <row r="277" spans="1:15" s="121" customFormat="1" ht="57" customHeight="1" x14ac:dyDescent="0.35">
      <c r="A277" s="116"/>
      <c r="B277" s="238" t="s">
        <v>446</v>
      </c>
      <c r="C277" s="267" t="s">
        <v>407</v>
      </c>
      <c r="D277" s="258" t="s">
        <v>32</v>
      </c>
      <c r="E277" s="258" t="s">
        <v>66</v>
      </c>
      <c r="F277" s="564" t="s">
        <v>34</v>
      </c>
      <c r="G277" s="565" t="s">
        <v>25</v>
      </c>
      <c r="H277" s="565" t="s">
        <v>58</v>
      </c>
      <c r="I277" s="566" t="s">
        <v>100</v>
      </c>
      <c r="J277" s="258"/>
      <c r="K277" s="224">
        <f t="shared" si="44"/>
        <v>127.4</v>
      </c>
      <c r="L277" s="224">
        <f t="shared" si="44"/>
        <v>0</v>
      </c>
      <c r="M277" s="224">
        <v>127.4</v>
      </c>
      <c r="N277" s="224">
        <v>127.4</v>
      </c>
      <c r="O277" s="152"/>
    </row>
    <row r="278" spans="1:15" s="121" customFormat="1" ht="54" x14ac:dyDescent="0.35">
      <c r="A278" s="116"/>
      <c r="B278" s="238" t="s">
        <v>50</v>
      </c>
      <c r="C278" s="267" t="s">
        <v>407</v>
      </c>
      <c r="D278" s="258" t="s">
        <v>32</v>
      </c>
      <c r="E278" s="258" t="s">
        <v>66</v>
      </c>
      <c r="F278" s="564" t="s">
        <v>34</v>
      </c>
      <c r="G278" s="565" t="s">
        <v>25</v>
      </c>
      <c r="H278" s="565" t="s">
        <v>58</v>
      </c>
      <c r="I278" s="566" t="s">
        <v>100</v>
      </c>
      <c r="J278" s="258" t="s">
        <v>51</v>
      </c>
      <c r="K278" s="224">
        <v>127.4</v>
      </c>
      <c r="L278" s="26">
        <f>M278-K278</f>
        <v>0</v>
      </c>
      <c r="M278" s="224">
        <v>127.4</v>
      </c>
      <c r="N278" s="224">
        <v>127.4</v>
      </c>
      <c r="O278" s="152"/>
    </row>
    <row r="279" spans="1:15" s="121" customFormat="1" ht="36" x14ac:dyDescent="0.35">
      <c r="A279" s="116"/>
      <c r="B279" s="238" t="s">
        <v>441</v>
      </c>
      <c r="C279" s="265" t="s">
        <v>407</v>
      </c>
      <c r="D279" s="258" t="s">
        <v>32</v>
      </c>
      <c r="E279" s="258" t="s">
        <v>66</v>
      </c>
      <c r="F279" s="564" t="s">
        <v>34</v>
      </c>
      <c r="G279" s="565" t="s">
        <v>25</v>
      </c>
      <c r="H279" s="565" t="s">
        <v>47</v>
      </c>
      <c r="I279" s="566" t="s">
        <v>39</v>
      </c>
      <c r="J279" s="258"/>
      <c r="K279" s="224">
        <f t="shared" ref="K279:N280" si="45">K280</f>
        <v>24</v>
      </c>
      <c r="L279" s="224">
        <f t="shared" si="45"/>
        <v>0</v>
      </c>
      <c r="M279" s="224">
        <v>24</v>
      </c>
      <c r="N279" s="224">
        <v>24</v>
      </c>
      <c r="O279" s="152"/>
    </row>
    <row r="280" spans="1:15" s="121" customFormat="1" ht="18" x14ac:dyDescent="0.35">
      <c r="A280" s="116"/>
      <c r="B280" s="238" t="s">
        <v>447</v>
      </c>
      <c r="C280" s="267" t="s">
        <v>407</v>
      </c>
      <c r="D280" s="258" t="s">
        <v>32</v>
      </c>
      <c r="E280" s="258" t="s">
        <v>66</v>
      </c>
      <c r="F280" s="564" t="s">
        <v>34</v>
      </c>
      <c r="G280" s="565" t="s">
        <v>25</v>
      </c>
      <c r="H280" s="565" t="s">
        <v>47</v>
      </c>
      <c r="I280" s="566" t="s">
        <v>440</v>
      </c>
      <c r="J280" s="258"/>
      <c r="K280" s="224">
        <f t="shared" si="45"/>
        <v>24</v>
      </c>
      <c r="L280" s="224">
        <f t="shared" si="45"/>
        <v>0</v>
      </c>
      <c r="M280" s="224">
        <v>24</v>
      </c>
      <c r="N280" s="224">
        <v>24</v>
      </c>
      <c r="O280" s="152"/>
    </row>
    <row r="281" spans="1:15" s="121" customFormat="1" ht="54" x14ac:dyDescent="0.35">
      <c r="A281" s="116"/>
      <c r="B281" s="238" t="s">
        <v>50</v>
      </c>
      <c r="C281" s="267" t="s">
        <v>407</v>
      </c>
      <c r="D281" s="258" t="s">
        <v>32</v>
      </c>
      <c r="E281" s="258" t="s">
        <v>66</v>
      </c>
      <c r="F281" s="564" t="s">
        <v>34</v>
      </c>
      <c r="G281" s="565" t="s">
        <v>25</v>
      </c>
      <c r="H281" s="565" t="s">
        <v>47</v>
      </c>
      <c r="I281" s="566" t="s">
        <v>440</v>
      </c>
      <c r="J281" s="258" t="s">
        <v>51</v>
      </c>
      <c r="K281" s="224">
        <v>24</v>
      </c>
      <c r="L281" s="26">
        <f>M281-K281</f>
        <v>0</v>
      </c>
      <c r="M281" s="224">
        <v>24</v>
      </c>
      <c r="N281" s="224">
        <v>24</v>
      </c>
      <c r="O281" s="152"/>
    </row>
    <row r="282" spans="1:15" s="121" customFormat="1" ht="36" x14ac:dyDescent="0.35">
      <c r="A282" s="116"/>
      <c r="B282" s="238" t="s">
        <v>445</v>
      </c>
      <c r="C282" s="267" t="s">
        <v>407</v>
      </c>
      <c r="D282" s="258" t="s">
        <v>32</v>
      </c>
      <c r="E282" s="258" t="s">
        <v>66</v>
      </c>
      <c r="F282" s="564" t="s">
        <v>34</v>
      </c>
      <c r="G282" s="565" t="s">
        <v>25</v>
      </c>
      <c r="H282" s="565" t="s">
        <v>60</v>
      </c>
      <c r="I282" s="498" t="s">
        <v>39</v>
      </c>
      <c r="J282" s="76"/>
      <c r="K282" s="224">
        <f t="shared" ref="K282:N283" si="46">K283</f>
        <v>105.8</v>
      </c>
      <c r="L282" s="224">
        <f t="shared" si="46"/>
        <v>0</v>
      </c>
      <c r="M282" s="224">
        <v>105.8</v>
      </c>
      <c r="N282" s="224">
        <v>105.8</v>
      </c>
      <c r="O282" s="152"/>
    </row>
    <row r="283" spans="1:15" s="121" customFormat="1" ht="36" x14ac:dyDescent="0.35">
      <c r="A283" s="116"/>
      <c r="B283" s="238" t="s">
        <v>122</v>
      </c>
      <c r="C283" s="267" t="s">
        <v>407</v>
      </c>
      <c r="D283" s="258" t="s">
        <v>32</v>
      </c>
      <c r="E283" s="258" t="s">
        <v>66</v>
      </c>
      <c r="F283" s="564" t="s">
        <v>34</v>
      </c>
      <c r="G283" s="565" t="s">
        <v>25</v>
      </c>
      <c r="H283" s="565" t="s">
        <v>60</v>
      </c>
      <c r="I283" s="498" t="s">
        <v>85</v>
      </c>
      <c r="J283" s="76"/>
      <c r="K283" s="224">
        <f t="shared" si="46"/>
        <v>105.8</v>
      </c>
      <c r="L283" s="224">
        <f t="shared" si="46"/>
        <v>0</v>
      </c>
      <c r="M283" s="224">
        <v>105.8</v>
      </c>
      <c r="N283" s="224">
        <v>105.8</v>
      </c>
      <c r="O283" s="152"/>
    </row>
    <row r="284" spans="1:15" s="121" customFormat="1" ht="54" x14ac:dyDescent="0.35">
      <c r="A284" s="116"/>
      <c r="B284" s="238" t="s">
        <v>50</v>
      </c>
      <c r="C284" s="267" t="s">
        <v>407</v>
      </c>
      <c r="D284" s="258" t="s">
        <v>32</v>
      </c>
      <c r="E284" s="258" t="s">
        <v>66</v>
      </c>
      <c r="F284" s="564" t="s">
        <v>34</v>
      </c>
      <c r="G284" s="565" t="s">
        <v>25</v>
      </c>
      <c r="H284" s="565" t="s">
        <v>60</v>
      </c>
      <c r="I284" s="498" t="s">
        <v>85</v>
      </c>
      <c r="J284" s="76" t="s">
        <v>51</v>
      </c>
      <c r="K284" s="224">
        <v>105.8</v>
      </c>
      <c r="L284" s="26">
        <f>M284-K284</f>
        <v>0</v>
      </c>
      <c r="M284" s="224">
        <v>105.8</v>
      </c>
      <c r="N284" s="224">
        <v>105.8</v>
      </c>
      <c r="O284" s="152"/>
    </row>
    <row r="285" spans="1:15" s="122" customFormat="1" ht="18" x14ac:dyDescent="0.35">
      <c r="A285" s="11"/>
      <c r="B285" s="24" t="s">
        <v>174</v>
      </c>
      <c r="C285" s="25" t="s">
        <v>407</v>
      </c>
      <c r="D285" s="10" t="s">
        <v>219</v>
      </c>
      <c r="E285" s="10"/>
      <c r="F285" s="571"/>
      <c r="G285" s="572"/>
      <c r="H285" s="572"/>
      <c r="I285" s="573"/>
      <c r="J285" s="10"/>
      <c r="K285" s="26">
        <f>K286+K308+K382+K353+K374</f>
        <v>1069032.2000000002</v>
      </c>
      <c r="L285" s="26">
        <f>L286+L308+L382+L353+L374</f>
        <v>0</v>
      </c>
      <c r="M285" s="26">
        <v>1069032.2000000002</v>
      </c>
      <c r="N285" s="26">
        <v>1092621.8999999999</v>
      </c>
      <c r="O285" s="153"/>
    </row>
    <row r="286" spans="1:15" s="121" customFormat="1" ht="18" x14ac:dyDescent="0.35">
      <c r="A286" s="11"/>
      <c r="B286" s="24" t="s">
        <v>176</v>
      </c>
      <c r="C286" s="25" t="s">
        <v>407</v>
      </c>
      <c r="D286" s="10" t="s">
        <v>219</v>
      </c>
      <c r="E286" s="10" t="s">
        <v>32</v>
      </c>
      <c r="F286" s="571"/>
      <c r="G286" s="572"/>
      <c r="H286" s="572"/>
      <c r="I286" s="573"/>
      <c r="J286" s="10"/>
      <c r="K286" s="26">
        <f>K287+K298+K303</f>
        <v>330062</v>
      </c>
      <c r="L286" s="26">
        <f>L287+L298+L303</f>
        <v>0</v>
      </c>
      <c r="M286" s="26">
        <v>330062</v>
      </c>
      <c r="N286" s="26">
        <v>338318.30000000005</v>
      </c>
    </row>
    <row r="287" spans="1:15" s="121" customFormat="1" ht="54" x14ac:dyDescent="0.35">
      <c r="A287" s="11"/>
      <c r="B287" s="24" t="s">
        <v>200</v>
      </c>
      <c r="C287" s="25" t="s">
        <v>407</v>
      </c>
      <c r="D287" s="10" t="s">
        <v>219</v>
      </c>
      <c r="E287" s="10" t="s">
        <v>32</v>
      </c>
      <c r="F287" s="571" t="s">
        <v>34</v>
      </c>
      <c r="G287" s="572" t="s">
        <v>37</v>
      </c>
      <c r="H287" s="572" t="s">
        <v>38</v>
      </c>
      <c r="I287" s="573" t="s">
        <v>39</v>
      </c>
      <c r="J287" s="10"/>
      <c r="K287" s="26">
        <f t="shared" ref="K287:N288" si="47">K288</f>
        <v>329380.3</v>
      </c>
      <c r="L287" s="26">
        <f t="shared" si="47"/>
        <v>0</v>
      </c>
      <c r="M287" s="26">
        <v>329380.3</v>
      </c>
      <c r="N287" s="26">
        <v>338264.9</v>
      </c>
    </row>
    <row r="288" spans="1:15" s="121" customFormat="1" ht="36" x14ac:dyDescent="0.35">
      <c r="A288" s="11"/>
      <c r="B288" s="24" t="s">
        <v>201</v>
      </c>
      <c r="C288" s="25" t="s">
        <v>407</v>
      </c>
      <c r="D288" s="10" t="s">
        <v>219</v>
      </c>
      <c r="E288" s="10" t="s">
        <v>32</v>
      </c>
      <c r="F288" s="571" t="s">
        <v>34</v>
      </c>
      <c r="G288" s="572" t="s">
        <v>40</v>
      </c>
      <c r="H288" s="572" t="s">
        <v>38</v>
      </c>
      <c r="I288" s="573" t="s">
        <v>39</v>
      </c>
      <c r="J288" s="10"/>
      <c r="K288" s="26">
        <f>K289</f>
        <v>329380.3</v>
      </c>
      <c r="L288" s="26">
        <f>L289</f>
        <v>0</v>
      </c>
      <c r="M288" s="26">
        <v>329380.3</v>
      </c>
      <c r="N288" s="26">
        <v>338264.9</v>
      </c>
    </row>
    <row r="289" spans="1:14" s="121" customFormat="1" ht="36" x14ac:dyDescent="0.35">
      <c r="A289" s="11"/>
      <c r="B289" s="24" t="s">
        <v>255</v>
      </c>
      <c r="C289" s="25" t="s">
        <v>407</v>
      </c>
      <c r="D289" s="10" t="s">
        <v>219</v>
      </c>
      <c r="E289" s="10" t="s">
        <v>32</v>
      </c>
      <c r="F289" s="571" t="s">
        <v>34</v>
      </c>
      <c r="G289" s="572" t="s">
        <v>40</v>
      </c>
      <c r="H289" s="572" t="s">
        <v>32</v>
      </c>
      <c r="I289" s="573" t="s">
        <v>39</v>
      </c>
      <c r="J289" s="10"/>
      <c r="K289" s="26">
        <f>K294+K292+K296+K290</f>
        <v>329380.3</v>
      </c>
      <c r="L289" s="26">
        <f>L294+L292+L296+L290</f>
        <v>0</v>
      </c>
      <c r="M289" s="26">
        <v>329380.3</v>
      </c>
      <c r="N289" s="26">
        <v>338264.9</v>
      </c>
    </row>
    <row r="290" spans="1:14" s="117" customFormat="1" ht="36" x14ac:dyDescent="0.35">
      <c r="A290" s="11"/>
      <c r="B290" s="79" t="s">
        <v>437</v>
      </c>
      <c r="C290" s="25" t="s">
        <v>407</v>
      </c>
      <c r="D290" s="10" t="s">
        <v>219</v>
      </c>
      <c r="E290" s="10" t="s">
        <v>32</v>
      </c>
      <c r="F290" s="571" t="s">
        <v>34</v>
      </c>
      <c r="G290" s="572" t="s">
        <v>40</v>
      </c>
      <c r="H290" s="572" t="s">
        <v>32</v>
      </c>
      <c r="I290" s="573" t="s">
        <v>86</v>
      </c>
      <c r="J290" s="10"/>
      <c r="K290" s="26">
        <f>K291</f>
        <v>88673.2</v>
      </c>
      <c r="L290" s="26">
        <f>L291</f>
        <v>0</v>
      </c>
      <c r="M290" s="26">
        <v>88673.2</v>
      </c>
      <c r="N290" s="26">
        <v>97540.6</v>
      </c>
    </row>
    <row r="291" spans="1:14" s="117" customFormat="1" ht="54" x14ac:dyDescent="0.35">
      <c r="A291" s="11"/>
      <c r="B291" s="24" t="s">
        <v>71</v>
      </c>
      <c r="C291" s="25" t="s">
        <v>407</v>
      </c>
      <c r="D291" s="10" t="s">
        <v>219</v>
      </c>
      <c r="E291" s="10" t="s">
        <v>32</v>
      </c>
      <c r="F291" s="571" t="s">
        <v>34</v>
      </c>
      <c r="G291" s="572" t="s">
        <v>40</v>
      </c>
      <c r="H291" s="572" t="s">
        <v>32</v>
      </c>
      <c r="I291" s="573" t="s">
        <v>86</v>
      </c>
      <c r="J291" s="10" t="s">
        <v>72</v>
      </c>
      <c r="K291" s="26">
        <v>88673.2</v>
      </c>
      <c r="L291" s="26">
        <f>M291-K291</f>
        <v>0</v>
      </c>
      <c r="M291" s="26">
        <v>88673.2</v>
      </c>
      <c r="N291" s="26">
        <v>97540.6</v>
      </c>
    </row>
    <row r="292" spans="1:14" s="117" customFormat="1" ht="54" x14ac:dyDescent="0.35">
      <c r="A292" s="11"/>
      <c r="B292" s="24" t="s">
        <v>202</v>
      </c>
      <c r="C292" s="25" t="s">
        <v>407</v>
      </c>
      <c r="D292" s="10" t="s">
        <v>219</v>
      </c>
      <c r="E292" s="10" t="s">
        <v>32</v>
      </c>
      <c r="F292" s="571" t="s">
        <v>34</v>
      </c>
      <c r="G292" s="572" t="s">
        <v>40</v>
      </c>
      <c r="H292" s="572" t="s">
        <v>32</v>
      </c>
      <c r="I292" s="573" t="s">
        <v>261</v>
      </c>
      <c r="J292" s="10"/>
      <c r="K292" s="26">
        <f>K293</f>
        <v>25889.5</v>
      </c>
      <c r="L292" s="26">
        <f>L293</f>
        <v>0</v>
      </c>
      <c r="M292" s="26">
        <v>25889.5</v>
      </c>
      <c r="N292" s="26">
        <v>25889.5</v>
      </c>
    </row>
    <row r="293" spans="1:14" s="117" customFormat="1" ht="54" x14ac:dyDescent="0.35">
      <c r="A293" s="11"/>
      <c r="B293" s="24" t="s">
        <v>71</v>
      </c>
      <c r="C293" s="25" t="s">
        <v>407</v>
      </c>
      <c r="D293" s="10" t="s">
        <v>219</v>
      </c>
      <c r="E293" s="10" t="s">
        <v>32</v>
      </c>
      <c r="F293" s="571" t="s">
        <v>34</v>
      </c>
      <c r="G293" s="572" t="s">
        <v>40</v>
      </c>
      <c r="H293" s="572" t="s">
        <v>32</v>
      </c>
      <c r="I293" s="573" t="s">
        <v>261</v>
      </c>
      <c r="J293" s="10" t="s">
        <v>72</v>
      </c>
      <c r="K293" s="26">
        <f>25093.2+796.3</f>
        <v>25889.5</v>
      </c>
      <c r="L293" s="26">
        <f>M293-K293</f>
        <v>0</v>
      </c>
      <c r="M293" s="26">
        <v>25889.5</v>
      </c>
      <c r="N293" s="26">
        <v>25889.5</v>
      </c>
    </row>
    <row r="294" spans="1:14" s="121" customFormat="1" ht="180" x14ac:dyDescent="0.35">
      <c r="A294" s="11"/>
      <c r="B294" s="24" t="s">
        <v>256</v>
      </c>
      <c r="C294" s="25" t="s">
        <v>407</v>
      </c>
      <c r="D294" s="10" t="s">
        <v>219</v>
      </c>
      <c r="E294" s="10" t="s">
        <v>32</v>
      </c>
      <c r="F294" s="571" t="s">
        <v>34</v>
      </c>
      <c r="G294" s="572" t="s">
        <v>40</v>
      </c>
      <c r="H294" s="572" t="s">
        <v>32</v>
      </c>
      <c r="I294" s="573" t="s">
        <v>257</v>
      </c>
      <c r="J294" s="10"/>
      <c r="K294" s="26">
        <f>K295</f>
        <v>571.29999999999995</v>
      </c>
      <c r="L294" s="26">
        <f>L295</f>
        <v>0</v>
      </c>
      <c r="M294" s="26">
        <v>571.29999999999995</v>
      </c>
      <c r="N294" s="26">
        <v>588.5</v>
      </c>
    </row>
    <row r="295" spans="1:14" s="121" customFormat="1" ht="54" x14ac:dyDescent="0.35">
      <c r="A295" s="11"/>
      <c r="B295" s="24" t="s">
        <v>71</v>
      </c>
      <c r="C295" s="25" t="s">
        <v>407</v>
      </c>
      <c r="D295" s="10" t="s">
        <v>219</v>
      </c>
      <c r="E295" s="10" t="s">
        <v>32</v>
      </c>
      <c r="F295" s="571" t="s">
        <v>34</v>
      </c>
      <c r="G295" s="572" t="s">
        <v>40</v>
      </c>
      <c r="H295" s="572" t="s">
        <v>32</v>
      </c>
      <c r="I295" s="573" t="s">
        <v>257</v>
      </c>
      <c r="J295" s="10" t="s">
        <v>72</v>
      </c>
      <c r="K295" s="26">
        <v>571.29999999999995</v>
      </c>
      <c r="L295" s="26">
        <f>M295-K295</f>
        <v>0</v>
      </c>
      <c r="M295" s="26">
        <v>571.29999999999995</v>
      </c>
      <c r="N295" s="26">
        <v>588.5</v>
      </c>
    </row>
    <row r="296" spans="1:14" s="121" customFormat="1" ht="108" x14ac:dyDescent="0.35">
      <c r="A296" s="11"/>
      <c r="B296" s="24" t="s">
        <v>334</v>
      </c>
      <c r="C296" s="25" t="s">
        <v>407</v>
      </c>
      <c r="D296" s="10" t="s">
        <v>219</v>
      </c>
      <c r="E296" s="10" t="s">
        <v>32</v>
      </c>
      <c r="F296" s="571" t="s">
        <v>34</v>
      </c>
      <c r="G296" s="572" t="s">
        <v>40</v>
      </c>
      <c r="H296" s="572" t="s">
        <v>32</v>
      </c>
      <c r="I296" s="573" t="s">
        <v>258</v>
      </c>
      <c r="J296" s="10"/>
      <c r="K296" s="26">
        <f>K297</f>
        <v>214246.3</v>
      </c>
      <c r="L296" s="26">
        <f>L297</f>
        <v>0</v>
      </c>
      <c r="M296" s="26">
        <v>214246.3</v>
      </c>
      <c r="N296" s="26">
        <v>214246.3</v>
      </c>
    </row>
    <row r="297" spans="1:14" s="121" customFormat="1" ht="54" x14ac:dyDescent="0.35">
      <c r="A297" s="11"/>
      <c r="B297" s="24" t="s">
        <v>71</v>
      </c>
      <c r="C297" s="25" t="s">
        <v>407</v>
      </c>
      <c r="D297" s="10" t="s">
        <v>219</v>
      </c>
      <c r="E297" s="10" t="s">
        <v>32</v>
      </c>
      <c r="F297" s="571" t="s">
        <v>34</v>
      </c>
      <c r="G297" s="572" t="s">
        <v>40</v>
      </c>
      <c r="H297" s="572" t="s">
        <v>32</v>
      </c>
      <c r="I297" s="573" t="s">
        <v>258</v>
      </c>
      <c r="J297" s="10" t="s">
        <v>72</v>
      </c>
      <c r="K297" s="26">
        <v>214246.3</v>
      </c>
      <c r="L297" s="26">
        <f>M297-K297</f>
        <v>0</v>
      </c>
      <c r="M297" s="26">
        <v>214246.3</v>
      </c>
      <c r="N297" s="26">
        <v>214246.3</v>
      </c>
    </row>
    <row r="298" spans="1:14" s="121" customFormat="1" ht="60" customHeight="1" x14ac:dyDescent="0.35">
      <c r="A298" s="11"/>
      <c r="B298" s="24" t="s">
        <v>75</v>
      </c>
      <c r="C298" s="25" t="s">
        <v>407</v>
      </c>
      <c r="D298" s="10" t="s">
        <v>219</v>
      </c>
      <c r="E298" s="10" t="s">
        <v>32</v>
      </c>
      <c r="F298" s="571" t="s">
        <v>76</v>
      </c>
      <c r="G298" s="572" t="s">
        <v>37</v>
      </c>
      <c r="H298" s="572" t="s">
        <v>38</v>
      </c>
      <c r="I298" s="573" t="s">
        <v>39</v>
      </c>
      <c r="J298" s="10"/>
      <c r="K298" s="26">
        <f t="shared" ref="K298:N301" si="48">K299</f>
        <v>628.29999999999995</v>
      </c>
      <c r="L298" s="26">
        <f t="shared" si="48"/>
        <v>0</v>
      </c>
      <c r="M298" s="26">
        <v>628.29999999999995</v>
      </c>
      <c r="N298" s="26">
        <v>0</v>
      </c>
    </row>
    <row r="299" spans="1:14" s="121" customFormat="1" ht="36" x14ac:dyDescent="0.35">
      <c r="A299" s="11"/>
      <c r="B299" s="24" t="s">
        <v>120</v>
      </c>
      <c r="C299" s="25" t="s">
        <v>407</v>
      </c>
      <c r="D299" s="10" t="s">
        <v>219</v>
      </c>
      <c r="E299" s="10" t="s">
        <v>32</v>
      </c>
      <c r="F299" s="571" t="s">
        <v>76</v>
      </c>
      <c r="G299" s="572" t="s">
        <v>84</v>
      </c>
      <c r="H299" s="572" t="s">
        <v>38</v>
      </c>
      <c r="I299" s="573" t="s">
        <v>39</v>
      </c>
      <c r="J299" s="10"/>
      <c r="K299" s="26">
        <f t="shared" si="48"/>
        <v>628.29999999999995</v>
      </c>
      <c r="L299" s="26">
        <f t="shared" si="48"/>
        <v>0</v>
      </c>
      <c r="M299" s="26">
        <v>628.29999999999995</v>
      </c>
      <c r="N299" s="26">
        <v>0</v>
      </c>
    </row>
    <row r="300" spans="1:14" s="121" customFormat="1" ht="41.25" customHeight="1" x14ac:dyDescent="0.35">
      <c r="A300" s="11"/>
      <c r="B300" s="24" t="s">
        <v>259</v>
      </c>
      <c r="C300" s="25" t="s">
        <v>407</v>
      </c>
      <c r="D300" s="10" t="s">
        <v>219</v>
      </c>
      <c r="E300" s="10" t="s">
        <v>32</v>
      </c>
      <c r="F300" s="571" t="s">
        <v>76</v>
      </c>
      <c r="G300" s="572" t="s">
        <v>84</v>
      </c>
      <c r="H300" s="572" t="s">
        <v>32</v>
      </c>
      <c r="I300" s="573" t="s">
        <v>39</v>
      </c>
      <c r="J300" s="10"/>
      <c r="K300" s="26">
        <f t="shared" si="48"/>
        <v>628.29999999999995</v>
      </c>
      <c r="L300" s="26">
        <f t="shared" si="48"/>
        <v>0</v>
      </c>
      <c r="M300" s="26">
        <v>628.29999999999995</v>
      </c>
      <c r="N300" s="26">
        <v>0</v>
      </c>
    </row>
    <row r="301" spans="1:14" s="121" customFormat="1" ht="18" x14ac:dyDescent="0.35">
      <c r="A301" s="11"/>
      <c r="B301" s="24" t="s">
        <v>410</v>
      </c>
      <c r="C301" s="25" t="s">
        <v>407</v>
      </c>
      <c r="D301" s="10" t="s">
        <v>219</v>
      </c>
      <c r="E301" s="10" t="s">
        <v>32</v>
      </c>
      <c r="F301" s="571" t="s">
        <v>76</v>
      </c>
      <c r="G301" s="572" t="s">
        <v>84</v>
      </c>
      <c r="H301" s="572" t="s">
        <v>32</v>
      </c>
      <c r="I301" s="573" t="s">
        <v>411</v>
      </c>
      <c r="J301" s="10"/>
      <c r="K301" s="26">
        <f t="shared" si="48"/>
        <v>628.29999999999995</v>
      </c>
      <c r="L301" s="26">
        <f t="shared" si="48"/>
        <v>0</v>
      </c>
      <c r="M301" s="26">
        <v>628.29999999999995</v>
      </c>
      <c r="N301" s="26">
        <v>0</v>
      </c>
    </row>
    <row r="302" spans="1:14" s="121" customFormat="1" ht="54" x14ac:dyDescent="0.35">
      <c r="A302" s="11"/>
      <c r="B302" s="24" t="s">
        <v>71</v>
      </c>
      <c r="C302" s="25" t="s">
        <v>407</v>
      </c>
      <c r="D302" s="10" t="s">
        <v>219</v>
      </c>
      <c r="E302" s="10" t="s">
        <v>32</v>
      </c>
      <c r="F302" s="571" t="s">
        <v>76</v>
      </c>
      <c r="G302" s="572" t="s">
        <v>84</v>
      </c>
      <c r="H302" s="572" t="s">
        <v>32</v>
      </c>
      <c r="I302" s="573" t="s">
        <v>411</v>
      </c>
      <c r="J302" s="10" t="s">
        <v>72</v>
      </c>
      <c r="K302" s="26">
        <v>628.29999999999995</v>
      </c>
      <c r="L302" s="26">
        <f>M302-K302</f>
        <v>0</v>
      </c>
      <c r="M302" s="26">
        <v>628.29999999999995</v>
      </c>
      <c r="N302" s="26">
        <v>0</v>
      </c>
    </row>
    <row r="303" spans="1:14" s="121" customFormat="1" ht="54" x14ac:dyDescent="0.35">
      <c r="A303" s="11"/>
      <c r="B303" s="24" t="s">
        <v>228</v>
      </c>
      <c r="C303" s="25" t="s">
        <v>407</v>
      </c>
      <c r="D303" s="10" t="s">
        <v>219</v>
      </c>
      <c r="E303" s="10" t="s">
        <v>32</v>
      </c>
      <c r="F303" s="571" t="s">
        <v>229</v>
      </c>
      <c r="G303" s="572" t="s">
        <v>37</v>
      </c>
      <c r="H303" s="572" t="s">
        <v>38</v>
      </c>
      <c r="I303" s="573" t="s">
        <v>39</v>
      </c>
      <c r="J303" s="10"/>
      <c r="K303" s="26">
        <f t="shared" ref="K303:N306" si="49">K304</f>
        <v>53.4</v>
      </c>
      <c r="L303" s="26">
        <f t="shared" si="49"/>
        <v>0</v>
      </c>
      <c r="M303" s="26">
        <v>53.4</v>
      </c>
      <c r="N303" s="26">
        <v>53.4</v>
      </c>
    </row>
    <row r="304" spans="1:14" s="121" customFormat="1" ht="36" x14ac:dyDescent="0.35">
      <c r="A304" s="11"/>
      <c r="B304" s="24" t="s">
        <v>328</v>
      </c>
      <c r="C304" s="25" t="s">
        <v>407</v>
      </c>
      <c r="D304" s="10" t="s">
        <v>219</v>
      </c>
      <c r="E304" s="10" t="s">
        <v>32</v>
      </c>
      <c r="F304" s="571" t="s">
        <v>229</v>
      </c>
      <c r="G304" s="572" t="s">
        <v>40</v>
      </c>
      <c r="H304" s="572" t="s">
        <v>38</v>
      </c>
      <c r="I304" s="573" t="s">
        <v>39</v>
      </c>
      <c r="J304" s="10"/>
      <c r="K304" s="26">
        <f t="shared" si="49"/>
        <v>53.4</v>
      </c>
      <c r="L304" s="26">
        <f t="shared" si="49"/>
        <v>0</v>
      </c>
      <c r="M304" s="26">
        <v>53.4</v>
      </c>
      <c r="N304" s="26">
        <v>53.4</v>
      </c>
    </row>
    <row r="305" spans="1:14" s="121" customFormat="1" ht="72" x14ac:dyDescent="0.35">
      <c r="A305" s="11"/>
      <c r="B305" s="24" t="s">
        <v>274</v>
      </c>
      <c r="C305" s="25" t="s">
        <v>407</v>
      </c>
      <c r="D305" s="10" t="s">
        <v>219</v>
      </c>
      <c r="E305" s="10" t="s">
        <v>32</v>
      </c>
      <c r="F305" s="571" t="s">
        <v>229</v>
      </c>
      <c r="G305" s="572" t="s">
        <v>40</v>
      </c>
      <c r="H305" s="572" t="s">
        <v>32</v>
      </c>
      <c r="I305" s="573" t="s">
        <v>39</v>
      </c>
      <c r="J305" s="10"/>
      <c r="K305" s="26">
        <f>K306</f>
        <v>53.4</v>
      </c>
      <c r="L305" s="26">
        <f>L306</f>
        <v>0</v>
      </c>
      <c r="M305" s="26">
        <v>53.4</v>
      </c>
      <c r="N305" s="26">
        <v>53.4</v>
      </c>
    </row>
    <row r="306" spans="1:14" s="121" customFormat="1" ht="36" x14ac:dyDescent="0.35">
      <c r="A306" s="11"/>
      <c r="B306" s="24" t="s">
        <v>230</v>
      </c>
      <c r="C306" s="25" t="s">
        <v>407</v>
      </c>
      <c r="D306" s="10" t="s">
        <v>219</v>
      </c>
      <c r="E306" s="10" t="s">
        <v>32</v>
      </c>
      <c r="F306" s="571" t="s">
        <v>229</v>
      </c>
      <c r="G306" s="572" t="s">
        <v>40</v>
      </c>
      <c r="H306" s="572" t="s">
        <v>32</v>
      </c>
      <c r="I306" s="573" t="s">
        <v>268</v>
      </c>
      <c r="J306" s="10"/>
      <c r="K306" s="26">
        <f t="shared" si="49"/>
        <v>53.4</v>
      </c>
      <c r="L306" s="26">
        <f t="shared" si="49"/>
        <v>0</v>
      </c>
      <c r="M306" s="26">
        <v>53.4</v>
      </c>
      <c r="N306" s="26">
        <v>53.4</v>
      </c>
    </row>
    <row r="307" spans="1:14" s="121" customFormat="1" ht="54" x14ac:dyDescent="0.35">
      <c r="A307" s="11"/>
      <c r="B307" s="24" t="s">
        <v>71</v>
      </c>
      <c r="C307" s="25" t="s">
        <v>407</v>
      </c>
      <c r="D307" s="10" t="s">
        <v>219</v>
      </c>
      <c r="E307" s="10" t="s">
        <v>32</v>
      </c>
      <c r="F307" s="571" t="s">
        <v>229</v>
      </c>
      <c r="G307" s="572" t="s">
        <v>40</v>
      </c>
      <c r="H307" s="572" t="s">
        <v>32</v>
      </c>
      <c r="I307" s="573" t="s">
        <v>268</v>
      </c>
      <c r="J307" s="10" t="s">
        <v>72</v>
      </c>
      <c r="K307" s="26">
        <v>53.4</v>
      </c>
      <c r="L307" s="26">
        <f>M307-K307</f>
        <v>0</v>
      </c>
      <c r="M307" s="26">
        <v>53.4</v>
      </c>
      <c r="N307" s="26">
        <v>53.4</v>
      </c>
    </row>
    <row r="308" spans="1:14" s="121" customFormat="1" ht="18" x14ac:dyDescent="0.35">
      <c r="A308" s="11"/>
      <c r="B308" s="24" t="s">
        <v>178</v>
      </c>
      <c r="C308" s="25" t="s">
        <v>407</v>
      </c>
      <c r="D308" s="10" t="s">
        <v>219</v>
      </c>
      <c r="E308" s="10" t="s">
        <v>34</v>
      </c>
      <c r="F308" s="571"/>
      <c r="G308" s="572"/>
      <c r="H308" s="572"/>
      <c r="I308" s="573"/>
      <c r="J308" s="10"/>
      <c r="K308" s="26">
        <f>K309</f>
        <v>604135.20000000007</v>
      </c>
      <c r="L308" s="26">
        <f>L309</f>
        <v>0</v>
      </c>
      <c r="M308" s="26">
        <v>604135.20000000007</v>
      </c>
      <c r="N308" s="26">
        <v>614556.79999999993</v>
      </c>
    </row>
    <row r="309" spans="1:14" s="121" customFormat="1" ht="54" x14ac:dyDescent="0.35">
      <c r="A309" s="11"/>
      <c r="B309" s="24" t="s">
        <v>200</v>
      </c>
      <c r="C309" s="25" t="s">
        <v>407</v>
      </c>
      <c r="D309" s="10" t="s">
        <v>219</v>
      </c>
      <c r="E309" s="10" t="s">
        <v>34</v>
      </c>
      <c r="F309" s="571" t="s">
        <v>34</v>
      </c>
      <c r="G309" s="572" t="s">
        <v>37</v>
      </c>
      <c r="H309" s="572" t="s">
        <v>38</v>
      </c>
      <c r="I309" s="573" t="s">
        <v>39</v>
      </c>
      <c r="J309" s="10"/>
      <c r="K309" s="26">
        <f>K310+K349</f>
        <v>604135.20000000007</v>
      </c>
      <c r="L309" s="26">
        <f>L310+L349</f>
        <v>0</v>
      </c>
      <c r="M309" s="26">
        <v>604135.20000000007</v>
      </c>
      <c r="N309" s="26">
        <v>614556.79999999993</v>
      </c>
    </row>
    <row r="310" spans="1:14" s="121" customFormat="1" ht="36" x14ac:dyDescent="0.35">
      <c r="A310" s="11"/>
      <c r="B310" s="24" t="s">
        <v>201</v>
      </c>
      <c r="C310" s="25" t="s">
        <v>407</v>
      </c>
      <c r="D310" s="10" t="s">
        <v>219</v>
      </c>
      <c r="E310" s="10" t="s">
        <v>34</v>
      </c>
      <c r="F310" s="571" t="s">
        <v>34</v>
      </c>
      <c r="G310" s="572" t="s">
        <v>40</v>
      </c>
      <c r="H310" s="572" t="s">
        <v>38</v>
      </c>
      <c r="I310" s="573" t="s">
        <v>39</v>
      </c>
      <c r="J310" s="10"/>
      <c r="K310" s="26">
        <f>K311</f>
        <v>601840.4</v>
      </c>
      <c r="L310" s="26">
        <f>L311</f>
        <v>0</v>
      </c>
      <c r="M310" s="26">
        <v>601840.4</v>
      </c>
      <c r="N310" s="26">
        <v>612261.99999999988</v>
      </c>
    </row>
    <row r="311" spans="1:14" s="121" customFormat="1" ht="18" x14ac:dyDescent="0.35">
      <c r="A311" s="11"/>
      <c r="B311" s="24" t="s">
        <v>260</v>
      </c>
      <c r="C311" s="25" t="s">
        <v>407</v>
      </c>
      <c r="D311" s="10" t="s">
        <v>219</v>
      </c>
      <c r="E311" s="10" t="s">
        <v>34</v>
      </c>
      <c r="F311" s="571" t="s">
        <v>34</v>
      </c>
      <c r="G311" s="572" t="s">
        <v>40</v>
      </c>
      <c r="H311" s="572" t="s">
        <v>34</v>
      </c>
      <c r="I311" s="573" t="s">
        <v>39</v>
      </c>
      <c r="J311" s="10"/>
      <c r="K311" s="26">
        <f>K326+K330+K334+K312+K320+K340+K323+K317+K345+K337+K343</f>
        <v>601840.4</v>
      </c>
      <c r="L311" s="26">
        <f>L326+L330+L334+L312+L320+L340+L323+L317+L345+L337+L343</f>
        <v>0</v>
      </c>
      <c r="M311" s="26">
        <v>601840.4</v>
      </c>
      <c r="N311" s="26">
        <v>612261.99999999988</v>
      </c>
    </row>
    <row r="312" spans="1:14" s="117" customFormat="1" ht="36" x14ac:dyDescent="0.35">
      <c r="A312" s="11"/>
      <c r="B312" s="79" t="s">
        <v>437</v>
      </c>
      <c r="C312" s="25" t="s">
        <v>407</v>
      </c>
      <c r="D312" s="10" t="s">
        <v>219</v>
      </c>
      <c r="E312" s="10" t="s">
        <v>34</v>
      </c>
      <c r="F312" s="571" t="s">
        <v>34</v>
      </c>
      <c r="G312" s="572" t="s">
        <v>40</v>
      </c>
      <c r="H312" s="572" t="s">
        <v>34</v>
      </c>
      <c r="I312" s="573" t="s">
        <v>86</v>
      </c>
      <c r="J312" s="10"/>
      <c r="K312" s="26">
        <f>K315+K316+K314+K313</f>
        <v>63512.2</v>
      </c>
      <c r="L312" s="26">
        <f>L315+L316+L314+L313</f>
        <v>0</v>
      </c>
      <c r="M312" s="26">
        <v>63512.2</v>
      </c>
      <c r="N312" s="26">
        <v>69863.400000000009</v>
      </c>
    </row>
    <row r="313" spans="1:14" s="117" customFormat="1" ht="108" x14ac:dyDescent="0.35">
      <c r="A313" s="11"/>
      <c r="B313" s="24" t="s">
        <v>44</v>
      </c>
      <c r="C313" s="25" t="s">
        <v>407</v>
      </c>
      <c r="D313" s="10" t="s">
        <v>219</v>
      </c>
      <c r="E313" s="10" t="s">
        <v>34</v>
      </c>
      <c r="F313" s="571" t="s">
        <v>34</v>
      </c>
      <c r="G313" s="572" t="s">
        <v>40</v>
      </c>
      <c r="H313" s="572" t="s">
        <v>34</v>
      </c>
      <c r="I313" s="573" t="s">
        <v>86</v>
      </c>
      <c r="J313" s="10" t="s">
        <v>45</v>
      </c>
      <c r="K313" s="26">
        <v>319.10000000000002</v>
      </c>
      <c r="L313" s="26">
        <f>M313-K313</f>
        <v>0</v>
      </c>
      <c r="M313" s="26">
        <v>319.10000000000002</v>
      </c>
      <c r="N313" s="26">
        <v>319.10000000000002</v>
      </c>
    </row>
    <row r="314" spans="1:14" s="117" customFormat="1" ht="54" x14ac:dyDescent="0.35">
      <c r="A314" s="11"/>
      <c r="B314" s="24" t="s">
        <v>50</v>
      </c>
      <c r="C314" s="25" t="s">
        <v>407</v>
      </c>
      <c r="D314" s="10" t="s">
        <v>219</v>
      </c>
      <c r="E314" s="10" t="s">
        <v>34</v>
      </c>
      <c r="F314" s="571" t="s">
        <v>34</v>
      </c>
      <c r="G314" s="572" t="s">
        <v>40</v>
      </c>
      <c r="H314" s="572" t="s">
        <v>34</v>
      </c>
      <c r="I314" s="573" t="s">
        <v>86</v>
      </c>
      <c r="J314" s="10" t="s">
        <v>51</v>
      </c>
      <c r="K314" s="26">
        <v>4475.6000000000004</v>
      </c>
      <c r="L314" s="26">
        <f>M314-K314</f>
        <v>0</v>
      </c>
      <c r="M314" s="26">
        <v>4475.6000000000004</v>
      </c>
      <c r="N314" s="26">
        <v>5635.2</v>
      </c>
    </row>
    <row r="315" spans="1:14" s="117" customFormat="1" ht="54" x14ac:dyDescent="0.35">
      <c r="A315" s="11"/>
      <c r="B315" s="24" t="s">
        <v>71</v>
      </c>
      <c r="C315" s="25" t="s">
        <v>407</v>
      </c>
      <c r="D315" s="10" t="s">
        <v>219</v>
      </c>
      <c r="E315" s="10" t="s">
        <v>34</v>
      </c>
      <c r="F315" s="571" t="s">
        <v>34</v>
      </c>
      <c r="G315" s="572" t="s">
        <v>40</v>
      </c>
      <c r="H315" s="572" t="s">
        <v>34</v>
      </c>
      <c r="I315" s="573" t="s">
        <v>86</v>
      </c>
      <c r="J315" s="10" t="s">
        <v>72</v>
      </c>
      <c r="K315" s="26">
        <v>58156.5</v>
      </c>
      <c r="L315" s="26">
        <f>M315-K315</f>
        <v>0</v>
      </c>
      <c r="M315" s="26">
        <v>58156.5</v>
      </c>
      <c r="N315" s="26">
        <v>63353.5</v>
      </c>
    </row>
    <row r="316" spans="1:14" s="117" customFormat="1" ht="18" x14ac:dyDescent="0.35">
      <c r="A316" s="11"/>
      <c r="B316" s="24" t="s">
        <v>52</v>
      </c>
      <c r="C316" s="25" t="s">
        <v>407</v>
      </c>
      <c r="D316" s="10" t="s">
        <v>219</v>
      </c>
      <c r="E316" s="10" t="s">
        <v>34</v>
      </c>
      <c r="F316" s="571" t="s">
        <v>34</v>
      </c>
      <c r="G316" s="572" t="s">
        <v>40</v>
      </c>
      <c r="H316" s="572" t="s">
        <v>34</v>
      </c>
      <c r="I316" s="573" t="s">
        <v>86</v>
      </c>
      <c r="J316" s="10" t="s">
        <v>53</v>
      </c>
      <c r="K316" s="26">
        <v>561</v>
      </c>
      <c r="L316" s="26">
        <f>M316-K316</f>
        <v>0</v>
      </c>
      <c r="M316" s="26">
        <v>561</v>
      </c>
      <c r="N316" s="26">
        <v>555.6</v>
      </c>
    </row>
    <row r="317" spans="1:14" s="117" customFormat="1" ht="54" x14ac:dyDescent="0.35">
      <c r="A317" s="11"/>
      <c r="B317" s="24" t="s">
        <v>202</v>
      </c>
      <c r="C317" s="25" t="s">
        <v>407</v>
      </c>
      <c r="D317" s="10" t="s">
        <v>219</v>
      </c>
      <c r="E317" s="10" t="s">
        <v>34</v>
      </c>
      <c r="F317" s="571" t="s">
        <v>34</v>
      </c>
      <c r="G317" s="572" t="s">
        <v>40</v>
      </c>
      <c r="H317" s="572" t="s">
        <v>34</v>
      </c>
      <c r="I317" s="573" t="s">
        <v>261</v>
      </c>
      <c r="J317" s="10"/>
      <c r="K317" s="26">
        <f>K318+K319</f>
        <v>23460.699999999997</v>
      </c>
      <c r="L317" s="26">
        <f>L318+L319</f>
        <v>0</v>
      </c>
      <c r="M317" s="26">
        <v>23460.699999999997</v>
      </c>
      <c r="N317" s="26">
        <v>20406</v>
      </c>
    </row>
    <row r="318" spans="1:14" s="117" customFormat="1" ht="54" x14ac:dyDescent="0.35">
      <c r="A318" s="11"/>
      <c r="B318" s="24" t="s">
        <v>50</v>
      </c>
      <c r="C318" s="25" t="s">
        <v>407</v>
      </c>
      <c r="D318" s="10" t="s">
        <v>219</v>
      </c>
      <c r="E318" s="10" t="s">
        <v>34</v>
      </c>
      <c r="F318" s="571" t="s">
        <v>34</v>
      </c>
      <c r="G318" s="572" t="s">
        <v>40</v>
      </c>
      <c r="H318" s="572" t="s">
        <v>34</v>
      </c>
      <c r="I318" s="573" t="s">
        <v>261</v>
      </c>
      <c r="J318" s="10" t="s">
        <v>51</v>
      </c>
      <c r="K318" s="26">
        <f>3854.4</f>
        <v>3854.4</v>
      </c>
      <c r="L318" s="26">
        <f>M318-K318</f>
        <v>0</v>
      </c>
      <c r="M318" s="26">
        <v>3854.4</v>
      </c>
      <c r="N318" s="26">
        <v>3854.4</v>
      </c>
    </row>
    <row r="319" spans="1:14" s="117" customFormat="1" ht="54" x14ac:dyDescent="0.35">
      <c r="A319" s="11"/>
      <c r="B319" s="24" t="s">
        <v>71</v>
      </c>
      <c r="C319" s="25" t="s">
        <v>407</v>
      </c>
      <c r="D319" s="10" t="s">
        <v>219</v>
      </c>
      <c r="E319" s="10" t="s">
        <v>34</v>
      </c>
      <c r="F319" s="571" t="s">
        <v>34</v>
      </c>
      <c r="G319" s="572" t="s">
        <v>40</v>
      </c>
      <c r="H319" s="572" t="s">
        <v>34</v>
      </c>
      <c r="I319" s="573" t="s">
        <v>261</v>
      </c>
      <c r="J319" s="10" t="s">
        <v>72</v>
      </c>
      <c r="K319" s="26">
        <f>22162.8+244.6+956.1-3757.2</f>
        <v>19606.299999999996</v>
      </c>
      <c r="L319" s="26">
        <f>M319-K319</f>
        <v>0</v>
      </c>
      <c r="M319" s="26">
        <v>19606.299999999996</v>
      </c>
      <c r="N319" s="26">
        <v>16551.599999999999</v>
      </c>
    </row>
    <row r="320" spans="1:14" s="117" customFormat="1" ht="36" x14ac:dyDescent="0.35">
      <c r="A320" s="11"/>
      <c r="B320" s="24" t="s">
        <v>203</v>
      </c>
      <c r="C320" s="25" t="s">
        <v>407</v>
      </c>
      <c r="D320" s="10" t="s">
        <v>219</v>
      </c>
      <c r="E320" s="10" t="s">
        <v>34</v>
      </c>
      <c r="F320" s="571" t="s">
        <v>34</v>
      </c>
      <c r="G320" s="572" t="s">
        <v>40</v>
      </c>
      <c r="H320" s="572" t="s">
        <v>34</v>
      </c>
      <c r="I320" s="573" t="s">
        <v>262</v>
      </c>
      <c r="J320" s="10"/>
      <c r="K320" s="26">
        <f>K321+K322</f>
        <v>4618.1000000000004</v>
      </c>
      <c r="L320" s="26">
        <f>L321+L322</f>
        <v>0</v>
      </c>
      <c r="M320" s="26">
        <v>4618.1000000000004</v>
      </c>
      <c r="N320" s="26">
        <v>4618.1000000000004</v>
      </c>
    </row>
    <row r="321" spans="1:14" s="117" customFormat="1" ht="54" x14ac:dyDescent="0.35">
      <c r="A321" s="11"/>
      <c r="B321" s="24" t="s">
        <v>50</v>
      </c>
      <c r="C321" s="25" t="s">
        <v>407</v>
      </c>
      <c r="D321" s="10" t="s">
        <v>219</v>
      </c>
      <c r="E321" s="10" t="s">
        <v>34</v>
      </c>
      <c r="F321" s="571" t="s">
        <v>34</v>
      </c>
      <c r="G321" s="572" t="s">
        <v>40</v>
      </c>
      <c r="H321" s="572" t="s">
        <v>34</v>
      </c>
      <c r="I321" s="573" t="s">
        <v>262</v>
      </c>
      <c r="J321" s="10" t="s">
        <v>51</v>
      </c>
      <c r="K321" s="26">
        <v>142</v>
      </c>
      <c r="L321" s="26">
        <f>M321-K321</f>
        <v>0</v>
      </c>
      <c r="M321" s="26">
        <v>142</v>
      </c>
      <c r="N321" s="26">
        <v>142</v>
      </c>
    </row>
    <row r="322" spans="1:14" s="117" customFormat="1" ht="54" x14ac:dyDescent="0.35">
      <c r="A322" s="11"/>
      <c r="B322" s="24" t="s">
        <v>71</v>
      </c>
      <c r="C322" s="25" t="s">
        <v>407</v>
      </c>
      <c r="D322" s="10" t="s">
        <v>219</v>
      </c>
      <c r="E322" s="10" t="s">
        <v>34</v>
      </c>
      <c r="F322" s="571" t="s">
        <v>34</v>
      </c>
      <c r="G322" s="572" t="s">
        <v>40</v>
      </c>
      <c r="H322" s="572" t="s">
        <v>34</v>
      </c>
      <c r="I322" s="573" t="s">
        <v>262</v>
      </c>
      <c r="J322" s="10" t="s">
        <v>72</v>
      </c>
      <c r="K322" s="26">
        <v>4476.1000000000004</v>
      </c>
      <c r="L322" s="26">
        <f>M322-K322</f>
        <v>0</v>
      </c>
      <c r="M322" s="26">
        <v>4476.1000000000004</v>
      </c>
      <c r="N322" s="26">
        <v>4476.1000000000004</v>
      </c>
    </row>
    <row r="323" spans="1:14" s="117" customFormat="1" ht="180" x14ac:dyDescent="0.35">
      <c r="A323" s="11"/>
      <c r="B323" s="24" t="s">
        <v>554</v>
      </c>
      <c r="C323" s="25" t="s">
        <v>407</v>
      </c>
      <c r="D323" s="10" t="s">
        <v>219</v>
      </c>
      <c r="E323" s="10" t="s">
        <v>34</v>
      </c>
      <c r="F323" s="571" t="s">
        <v>34</v>
      </c>
      <c r="G323" s="572" t="s">
        <v>40</v>
      </c>
      <c r="H323" s="572" t="s">
        <v>34</v>
      </c>
      <c r="I323" s="573" t="s">
        <v>510</v>
      </c>
      <c r="J323" s="10"/>
      <c r="K323" s="26">
        <f>K324+K325</f>
        <v>33409.299999999996</v>
      </c>
      <c r="L323" s="26">
        <f>L324+L325</f>
        <v>0</v>
      </c>
      <c r="M323" s="26">
        <v>33409.299999999996</v>
      </c>
      <c r="N323" s="26">
        <v>35284.199999999997</v>
      </c>
    </row>
    <row r="324" spans="1:14" s="117" customFormat="1" ht="108" x14ac:dyDescent="0.35">
      <c r="A324" s="11"/>
      <c r="B324" s="24" t="s">
        <v>44</v>
      </c>
      <c r="C324" s="25" t="s">
        <v>407</v>
      </c>
      <c r="D324" s="10" t="s">
        <v>219</v>
      </c>
      <c r="E324" s="10" t="s">
        <v>34</v>
      </c>
      <c r="F324" s="571" t="s">
        <v>34</v>
      </c>
      <c r="G324" s="572" t="s">
        <v>40</v>
      </c>
      <c r="H324" s="572" t="s">
        <v>34</v>
      </c>
      <c r="I324" s="573" t="s">
        <v>510</v>
      </c>
      <c r="J324" s="10" t="s">
        <v>45</v>
      </c>
      <c r="K324" s="26">
        <v>2734.2</v>
      </c>
      <c r="L324" s="26">
        <f>M324-K324</f>
        <v>0</v>
      </c>
      <c r="M324" s="26">
        <v>2734.2</v>
      </c>
      <c r="N324" s="26">
        <v>2812.4</v>
      </c>
    </row>
    <row r="325" spans="1:14" s="117" customFormat="1" ht="54" x14ac:dyDescent="0.35">
      <c r="A325" s="11"/>
      <c r="B325" s="24" t="s">
        <v>71</v>
      </c>
      <c r="C325" s="25" t="s">
        <v>407</v>
      </c>
      <c r="D325" s="10" t="s">
        <v>219</v>
      </c>
      <c r="E325" s="10" t="s">
        <v>34</v>
      </c>
      <c r="F325" s="571" t="s">
        <v>34</v>
      </c>
      <c r="G325" s="572" t="s">
        <v>40</v>
      </c>
      <c r="H325" s="572" t="s">
        <v>34</v>
      </c>
      <c r="I325" s="573" t="s">
        <v>510</v>
      </c>
      <c r="J325" s="10" t="s">
        <v>72</v>
      </c>
      <c r="K325" s="26">
        <v>30675.1</v>
      </c>
      <c r="L325" s="26">
        <f>M325-K325</f>
        <v>0</v>
      </c>
      <c r="M325" s="26">
        <v>30675.1</v>
      </c>
      <c r="N325" s="26">
        <v>32471.8</v>
      </c>
    </row>
    <row r="326" spans="1:14" s="121" customFormat="1" ht="180" x14ac:dyDescent="0.35">
      <c r="A326" s="11"/>
      <c r="B326" s="24" t="s">
        <v>256</v>
      </c>
      <c r="C326" s="25" t="s">
        <v>407</v>
      </c>
      <c r="D326" s="10" t="s">
        <v>219</v>
      </c>
      <c r="E326" s="10" t="s">
        <v>34</v>
      </c>
      <c r="F326" s="571" t="s">
        <v>34</v>
      </c>
      <c r="G326" s="572" t="s">
        <v>40</v>
      </c>
      <c r="H326" s="572" t="s">
        <v>34</v>
      </c>
      <c r="I326" s="573" t="s">
        <v>257</v>
      </c>
      <c r="J326" s="10"/>
      <c r="K326" s="26">
        <f>SUM(K327:K329)</f>
        <v>1659.2</v>
      </c>
      <c r="L326" s="26">
        <f>SUM(L327:L329)</f>
        <v>0</v>
      </c>
      <c r="M326" s="26">
        <v>1659.2</v>
      </c>
      <c r="N326" s="26">
        <v>1709</v>
      </c>
    </row>
    <row r="327" spans="1:14" s="121" customFormat="1" ht="108" x14ac:dyDescent="0.35">
      <c r="A327" s="11"/>
      <c r="B327" s="24" t="s">
        <v>44</v>
      </c>
      <c r="C327" s="25" t="s">
        <v>407</v>
      </c>
      <c r="D327" s="10" t="s">
        <v>219</v>
      </c>
      <c r="E327" s="10" t="s">
        <v>34</v>
      </c>
      <c r="F327" s="571" t="s">
        <v>34</v>
      </c>
      <c r="G327" s="572" t="s">
        <v>40</v>
      </c>
      <c r="H327" s="572" t="s">
        <v>34</v>
      </c>
      <c r="I327" s="573" t="s">
        <v>257</v>
      </c>
      <c r="J327" s="10" t="s">
        <v>45</v>
      </c>
      <c r="K327" s="26">
        <v>99.7</v>
      </c>
      <c r="L327" s="26">
        <f>M327-K327</f>
        <v>0</v>
      </c>
      <c r="M327" s="26">
        <v>99.7</v>
      </c>
      <c r="N327" s="26">
        <v>99.7</v>
      </c>
    </row>
    <row r="328" spans="1:14" s="121" customFormat="1" ht="36" x14ac:dyDescent="0.35">
      <c r="A328" s="11"/>
      <c r="B328" s="24" t="s">
        <v>115</v>
      </c>
      <c r="C328" s="25" t="s">
        <v>407</v>
      </c>
      <c r="D328" s="10" t="s">
        <v>219</v>
      </c>
      <c r="E328" s="10" t="s">
        <v>34</v>
      </c>
      <c r="F328" s="571" t="s">
        <v>34</v>
      </c>
      <c r="G328" s="572" t="s">
        <v>40</v>
      </c>
      <c r="H328" s="572" t="s">
        <v>34</v>
      </c>
      <c r="I328" s="573" t="s">
        <v>257</v>
      </c>
      <c r="J328" s="10" t="s">
        <v>116</v>
      </c>
      <c r="K328" s="26">
        <v>6.6</v>
      </c>
      <c r="L328" s="26">
        <f>M328-K328</f>
        <v>0</v>
      </c>
      <c r="M328" s="26">
        <v>6.6</v>
      </c>
      <c r="N328" s="26">
        <v>6.6</v>
      </c>
    </row>
    <row r="329" spans="1:14" s="121" customFormat="1" ht="54" x14ac:dyDescent="0.35">
      <c r="A329" s="11"/>
      <c r="B329" s="24" t="s">
        <v>71</v>
      </c>
      <c r="C329" s="25" t="s">
        <v>407</v>
      </c>
      <c r="D329" s="10" t="s">
        <v>219</v>
      </c>
      <c r="E329" s="10" t="s">
        <v>34</v>
      </c>
      <c r="F329" s="571" t="s">
        <v>34</v>
      </c>
      <c r="G329" s="572" t="s">
        <v>40</v>
      </c>
      <c r="H329" s="572" t="s">
        <v>34</v>
      </c>
      <c r="I329" s="573" t="s">
        <v>257</v>
      </c>
      <c r="J329" s="10" t="s">
        <v>72</v>
      </c>
      <c r="K329" s="26">
        <v>1552.9</v>
      </c>
      <c r="L329" s="26">
        <f>M329-K329</f>
        <v>0</v>
      </c>
      <c r="M329" s="26">
        <v>1552.9</v>
      </c>
      <c r="N329" s="26">
        <v>1602.7</v>
      </c>
    </row>
    <row r="330" spans="1:14" s="121" customFormat="1" ht="108" x14ac:dyDescent="0.35">
      <c r="A330" s="11"/>
      <c r="B330" s="24" t="s">
        <v>334</v>
      </c>
      <c r="C330" s="25" t="s">
        <v>407</v>
      </c>
      <c r="D330" s="10" t="s">
        <v>219</v>
      </c>
      <c r="E330" s="10" t="s">
        <v>34</v>
      </c>
      <c r="F330" s="571" t="s">
        <v>34</v>
      </c>
      <c r="G330" s="572" t="s">
        <v>40</v>
      </c>
      <c r="H330" s="572" t="s">
        <v>34</v>
      </c>
      <c r="I330" s="573" t="s">
        <v>258</v>
      </c>
      <c r="J330" s="10"/>
      <c r="K330" s="26">
        <f>K331+K332+K333</f>
        <v>402579.3</v>
      </c>
      <c r="L330" s="26">
        <f>L331+L332+L333</f>
        <v>0</v>
      </c>
      <c r="M330" s="26">
        <v>402579.3</v>
      </c>
      <c r="N330" s="26">
        <v>402579.3</v>
      </c>
    </row>
    <row r="331" spans="1:14" s="121" customFormat="1" ht="108" x14ac:dyDescent="0.35">
      <c r="A331" s="11"/>
      <c r="B331" s="24" t="s">
        <v>44</v>
      </c>
      <c r="C331" s="25" t="s">
        <v>407</v>
      </c>
      <c r="D331" s="10" t="s">
        <v>219</v>
      </c>
      <c r="E331" s="10" t="s">
        <v>34</v>
      </c>
      <c r="F331" s="571" t="s">
        <v>34</v>
      </c>
      <c r="G331" s="572" t="s">
        <v>40</v>
      </c>
      <c r="H331" s="572" t="s">
        <v>34</v>
      </c>
      <c r="I331" s="573" t="s">
        <v>258</v>
      </c>
      <c r="J331" s="10" t="s">
        <v>45</v>
      </c>
      <c r="K331" s="26">
        <v>26623.599999999999</v>
      </c>
      <c r="L331" s="26">
        <f>M331-K331</f>
        <v>0</v>
      </c>
      <c r="M331" s="26">
        <v>26623.599999999999</v>
      </c>
      <c r="N331" s="26">
        <v>26623.599999999999</v>
      </c>
    </row>
    <row r="332" spans="1:14" s="121" customFormat="1" ht="54" x14ac:dyDescent="0.35">
      <c r="A332" s="11"/>
      <c r="B332" s="24" t="s">
        <v>50</v>
      </c>
      <c r="C332" s="25" t="s">
        <v>407</v>
      </c>
      <c r="D332" s="10" t="s">
        <v>219</v>
      </c>
      <c r="E332" s="10" t="s">
        <v>34</v>
      </c>
      <c r="F332" s="571" t="s">
        <v>34</v>
      </c>
      <c r="G332" s="572" t="s">
        <v>40</v>
      </c>
      <c r="H332" s="572" t="s">
        <v>34</v>
      </c>
      <c r="I332" s="573" t="s">
        <v>258</v>
      </c>
      <c r="J332" s="10" t="s">
        <v>51</v>
      </c>
      <c r="K332" s="26">
        <v>3027.7</v>
      </c>
      <c r="L332" s="26">
        <f>M332-K332</f>
        <v>0</v>
      </c>
      <c r="M332" s="26">
        <v>3027.7</v>
      </c>
      <c r="N332" s="26">
        <v>3027.7</v>
      </c>
    </row>
    <row r="333" spans="1:14" s="121" customFormat="1" ht="54" x14ac:dyDescent="0.35">
      <c r="A333" s="11"/>
      <c r="B333" s="24" t="s">
        <v>71</v>
      </c>
      <c r="C333" s="25" t="s">
        <v>407</v>
      </c>
      <c r="D333" s="10" t="s">
        <v>219</v>
      </c>
      <c r="E333" s="10" t="s">
        <v>34</v>
      </c>
      <c r="F333" s="571" t="s">
        <v>34</v>
      </c>
      <c r="G333" s="572" t="s">
        <v>40</v>
      </c>
      <c r="H333" s="572" t="s">
        <v>34</v>
      </c>
      <c r="I333" s="573" t="s">
        <v>258</v>
      </c>
      <c r="J333" s="10" t="s">
        <v>72</v>
      </c>
      <c r="K333" s="26">
        <v>372928</v>
      </c>
      <c r="L333" s="26">
        <f>M333-K333</f>
        <v>0</v>
      </c>
      <c r="M333" s="26">
        <v>372928</v>
      </c>
      <c r="N333" s="26">
        <v>372928</v>
      </c>
    </row>
    <row r="334" spans="1:14" s="117" customFormat="1" ht="90" x14ac:dyDescent="0.35">
      <c r="A334" s="11"/>
      <c r="B334" s="24" t="s">
        <v>204</v>
      </c>
      <c r="C334" s="25" t="s">
        <v>407</v>
      </c>
      <c r="D334" s="10" t="s">
        <v>219</v>
      </c>
      <c r="E334" s="10" t="s">
        <v>34</v>
      </c>
      <c r="F334" s="571" t="s">
        <v>34</v>
      </c>
      <c r="G334" s="572" t="s">
        <v>40</v>
      </c>
      <c r="H334" s="572" t="s">
        <v>34</v>
      </c>
      <c r="I334" s="573" t="s">
        <v>263</v>
      </c>
      <c r="J334" s="10"/>
      <c r="K334" s="26">
        <f t="shared" ref="K334:L334" si="50">SUM(K335:K336)</f>
        <v>2380.9</v>
      </c>
      <c r="L334" s="26">
        <f t="shared" si="50"/>
        <v>0</v>
      </c>
      <c r="M334" s="26">
        <v>2380.9</v>
      </c>
      <c r="N334" s="26">
        <v>2550.2999999999997</v>
      </c>
    </row>
    <row r="335" spans="1:14" s="117" customFormat="1" ht="54" x14ac:dyDescent="0.35">
      <c r="A335" s="11"/>
      <c r="B335" s="24" t="s">
        <v>50</v>
      </c>
      <c r="C335" s="25" t="s">
        <v>407</v>
      </c>
      <c r="D335" s="10" t="s">
        <v>219</v>
      </c>
      <c r="E335" s="10" t="s">
        <v>34</v>
      </c>
      <c r="F335" s="571" t="s">
        <v>34</v>
      </c>
      <c r="G335" s="572" t="s">
        <v>40</v>
      </c>
      <c r="H335" s="572" t="s">
        <v>34</v>
      </c>
      <c r="I335" s="573" t="s">
        <v>263</v>
      </c>
      <c r="J335" s="10" t="s">
        <v>51</v>
      </c>
      <c r="K335" s="26">
        <v>102.8</v>
      </c>
      <c r="L335" s="26">
        <f>M335-K335</f>
        <v>0</v>
      </c>
      <c r="M335" s="26">
        <v>102.8</v>
      </c>
      <c r="N335" s="26">
        <v>111.2</v>
      </c>
    </row>
    <row r="336" spans="1:14" s="117" customFormat="1" ht="54" x14ac:dyDescent="0.35">
      <c r="A336" s="11"/>
      <c r="B336" s="24" t="s">
        <v>71</v>
      </c>
      <c r="C336" s="25" t="s">
        <v>407</v>
      </c>
      <c r="D336" s="10" t="s">
        <v>219</v>
      </c>
      <c r="E336" s="10" t="s">
        <v>34</v>
      </c>
      <c r="F336" s="571" t="s">
        <v>34</v>
      </c>
      <c r="G336" s="572" t="s">
        <v>40</v>
      </c>
      <c r="H336" s="572" t="s">
        <v>34</v>
      </c>
      <c r="I336" s="573" t="s">
        <v>263</v>
      </c>
      <c r="J336" s="10" t="s">
        <v>72</v>
      </c>
      <c r="K336" s="26">
        <v>2278.1</v>
      </c>
      <c r="L336" s="26">
        <f>M336-K336</f>
        <v>0</v>
      </c>
      <c r="M336" s="26">
        <v>2278.1</v>
      </c>
      <c r="N336" s="26">
        <v>2439.1</v>
      </c>
    </row>
    <row r="337" spans="1:17" s="117" customFormat="1" ht="157.5" customHeight="1" x14ac:dyDescent="0.35">
      <c r="A337" s="11"/>
      <c r="B337" s="24" t="s">
        <v>541</v>
      </c>
      <c r="C337" s="25" t="s">
        <v>407</v>
      </c>
      <c r="D337" s="10" t="s">
        <v>219</v>
      </c>
      <c r="E337" s="10" t="s">
        <v>34</v>
      </c>
      <c r="F337" s="571" t="s">
        <v>34</v>
      </c>
      <c r="G337" s="572" t="s">
        <v>40</v>
      </c>
      <c r="H337" s="572" t="s">
        <v>34</v>
      </c>
      <c r="I337" s="573" t="s">
        <v>540</v>
      </c>
      <c r="J337" s="10"/>
      <c r="K337" s="26">
        <f>K338+K339</f>
        <v>1196.0999999999999</v>
      </c>
      <c r="L337" s="26">
        <f>L338+L339</f>
        <v>0</v>
      </c>
      <c r="M337" s="26">
        <v>1196.0999999999999</v>
      </c>
      <c r="N337" s="26">
        <v>1196.0999999999999</v>
      </c>
    </row>
    <row r="338" spans="1:17" s="117" customFormat="1" ht="54" x14ac:dyDescent="0.35">
      <c r="A338" s="11"/>
      <c r="B338" s="24" t="s">
        <v>50</v>
      </c>
      <c r="C338" s="25" t="s">
        <v>407</v>
      </c>
      <c r="D338" s="10" t="s">
        <v>219</v>
      </c>
      <c r="E338" s="10" t="s">
        <v>34</v>
      </c>
      <c r="F338" s="571" t="s">
        <v>34</v>
      </c>
      <c r="G338" s="572" t="s">
        <v>40</v>
      </c>
      <c r="H338" s="572" t="s">
        <v>34</v>
      </c>
      <c r="I338" s="573" t="s">
        <v>540</v>
      </c>
      <c r="J338" s="10" t="s">
        <v>51</v>
      </c>
      <c r="K338" s="26">
        <v>15</v>
      </c>
      <c r="L338" s="26">
        <f>M338-K338</f>
        <v>0</v>
      </c>
      <c r="M338" s="26">
        <v>15</v>
      </c>
      <c r="N338" s="26">
        <v>15</v>
      </c>
    </row>
    <row r="339" spans="1:17" s="117" customFormat="1" ht="54" x14ac:dyDescent="0.35">
      <c r="A339" s="11"/>
      <c r="B339" s="24" t="s">
        <v>71</v>
      </c>
      <c r="C339" s="25" t="s">
        <v>407</v>
      </c>
      <c r="D339" s="10" t="s">
        <v>219</v>
      </c>
      <c r="E339" s="10" t="s">
        <v>34</v>
      </c>
      <c r="F339" s="571" t="s">
        <v>34</v>
      </c>
      <c r="G339" s="572" t="s">
        <v>40</v>
      </c>
      <c r="H339" s="572" t="s">
        <v>34</v>
      </c>
      <c r="I339" s="573" t="s">
        <v>540</v>
      </c>
      <c r="J339" s="10" t="s">
        <v>72</v>
      </c>
      <c r="K339" s="26">
        <v>1181.0999999999999</v>
      </c>
      <c r="L339" s="26">
        <f>M339-K339</f>
        <v>0</v>
      </c>
      <c r="M339" s="26">
        <v>1181.0999999999999</v>
      </c>
      <c r="N339" s="26">
        <v>1181.0999999999999</v>
      </c>
    </row>
    <row r="340" spans="1:17" s="117" customFormat="1" ht="95.4" customHeight="1" x14ac:dyDescent="0.35">
      <c r="A340" s="11"/>
      <c r="B340" s="24" t="s">
        <v>431</v>
      </c>
      <c r="C340" s="25" t="s">
        <v>407</v>
      </c>
      <c r="D340" s="10" t="s">
        <v>219</v>
      </c>
      <c r="E340" s="10" t="s">
        <v>34</v>
      </c>
      <c r="F340" s="571" t="s">
        <v>34</v>
      </c>
      <c r="G340" s="572" t="s">
        <v>40</v>
      </c>
      <c r="H340" s="572" t="s">
        <v>34</v>
      </c>
      <c r="I340" s="573" t="s">
        <v>430</v>
      </c>
      <c r="J340" s="10"/>
      <c r="K340" s="26">
        <f>K341+K342</f>
        <v>56500.700000000004</v>
      </c>
      <c r="L340" s="26">
        <f>L341+L342</f>
        <v>0</v>
      </c>
      <c r="M340" s="26">
        <v>56500.700000000004</v>
      </c>
      <c r="N340" s="26">
        <v>57707.200000000004</v>
      </c>
    </row>
    <row r="341" spans="1:17" s="117" customFormat="1" ht="54" x14ac:dyDescent="0.35">
      <c r="A341" s="11"/>
      <c r="B341" s="24" t="s">
        <v>50</v>
      </c>
      <c r="C341" s="25" t="s">
        <v>407</v>
      </c>
      <c r="D341" s="10" t="s">
        <v>219</v>
      </c>
      <c r="E341" s="10" t="s">
        <v>34</v>
      </c>
      <c r="F341" s="571" t="s">
        <v>34</v>
      </c>
      <c r="G341" s="572" t="s">
        <v>40</v>
      </c>
      <c r="H341" s="572" t="s">
        <v>34</v>
      </c>
      <c r="I341" s="573" t="s">
        <v>430</v>
      </c>
      <c r="J341" s="10" t="s">
        <v>51</v>
      </c>
      <c r="K341" s="26">
        <v>1755.4</v>
      </c>
      <c r="L341" s="26">
        <f>M341-K341</f>
        <v>0</v>
      </c>
      <c r="M341" s="26">
        <v>1755.4</v>
      </c>
      <c r="N341" s="26">
        <v>1801.9</v>
      </c>
    </row>
    <row r="342" spans="1:17" s="117" customFormat="1" ht="54" x14ac:dyDescent="0.35">
      <c r="A342" s="11"/>
      <c r="B342" s="24" t="s">
        <v>71</v>
      </c>
      <c r="C342" s="25" t="s">
        <v>407</v>
      </c>
      <c r="D342" s="10" t="s">
        <v>219</v>
      </c>
      <c r="E342" s="10" t="s">
        <v>34</v>
      </c>
      <c r="F342" s="571" t="s">
        <v>34</v>
      </c>
      <c r="G342" s="572" t="s">
        <v>40</v>
      </c>
      <c r="H342" s="572" t="s">
        <v>34</v>
      </c>
      <c r="I342" s="573" t="s">
        <v>430</v>
      </c>
      <c r="J342" s="10" t="s">
        <v>72</v>
      </c>
      <c r="K342" s="26">
        <v>54745.3</v>
      </c>
      <c r="L342" s="26">
        <f>M342-K342</f>
        <v>0</v>
      </c>
      <c r="M342" s="26">
        <v>54745.3</v>
      </c>
      <c r="N342" s="26">
        <v>55905.3</v>
      </c>
      <c r="Q342" s="196"/>
    </row>
    <row r="343" spans="1:17" s="117" customFormat="1" ht="180" x14ac:dyDescent="0.35">
      <c r="A343" s="11"/>
      <c r="B343" s="24" t="s">
        <v>542</v>
      </c>
      <c r="C343" s="25" t="s">
        <v>407</v>
      </c>
      <c r="D343" s="10" t="s">
        <v>219</v>
      </c>
      <c r="E343" s="10" t="s">
        <v>34</v>
      </c>
      <c r="F343" s="571" t="s">
        <v>34</v>
      </c>
      <c r="G343" s="572" t="s">
        <v>40</v>
      </c>
      <c r="H343" s="572" t="s">
        <v>34</v>
      </c>
      <c r="I343" s="573" t="s">
        <v>543</v>
      </c>
      <c r="J343" s="10"/>
      <c r="K343" s="26">
        <f>K344</f>
        <v>0</v>
      </c>
      <c r="L343" s="26">
        <f>L344</f>
        <v>0</v>
      </c>
      <c r="M343" s="26">
        <v>0</v>
      </c>
      <c r="N343" s="26">
        <v>3900.6</v>
      </c>
      <c r="Q343" s="196"/>
    </row>
    <row r="344" spans="1:17" s="117" customFormat="1" ht="54" x14ac:dyDescent="0.35">
      <c r="A344" s="11"/>
      <c r="B344" s="24" t="s">
        <v>71</v>
      </c>
      <c r="C344" s="25" t="s">
        <v>407</v>
      </c>
      <c r="D344" s="10" t="s">
        <v>219</v>
      </c>
      <c r="E344" s="10" t="s">
        <v>34</v>
      </c>
      <c r="F344" s="571" t="s">
        <v>34</v>
      </c>
      <c r="G344" s="572" t="s">
        <v>40</v>
      </c>
      <c r="H344" s="572" t="s">
        <v>34</v>
      </c>
      <c r="I344" s="573" t="s">
        <v>543</v>
      </c>
      <c r="J344" s="10" t="s">
        <v>72</v>
      </c>
      <c r="K344" s="26">
        <v>0</v>
      </c>
      <c r="L344" s="26">
        <f>M344-K344</f>
        <v>0</v>
      </c>
      <c r="M344" s="26">
        <v>0</v>
      </c>
      <c r="N344" s="26">
        <v>3900.6</v>
      </c>
      <c r="Q344" s="196"/>
    </row>
    <row r="345" spans="1:17" s="117" customFormat="1" ht="90" x14ac:dyDescent="0.35">
      <c r="A345" s="11"/>
      <c r="B345" s="24" t="s">
        <v>539</v>
      </c>
      <c r="C345" s="25" t="s">
        <v>407</v>
      </c>
      <c r="D345" s="10" t="s">
        <v>219</v>
      </c>
      <c r="E345" s="10" t="s">
        <v>34</v>
      </c>
      <c r="F345" s="571" t="s">
        <v>34</v>
      </c>
      <c r="G345" s="572" t="s">
        <v>40</v>
      </c>
      <c r="H345" s="572" t="s">
        <v>34</v>
      </c>
      <c r="I345" s="573" t="s">
        <v>538</v>
      </c>
      <c r="J345" s="10"/>
      <c r="K345" s="26">
        <f>K346+K347+K348</f>
        <v>12523.9</v>
      </c>
      <c r="L345" s="26">
        <f>L346+L347+L348</f>
        <v>0</v>
      </c>
      <c r="M345" s="26">
        <v>12523.9</v>
      </c>
      <c r="N345" s="26">
        <v>12447.800000000001</v>
      </c>
      <c r="Q345" s="196"/>
    </row>
    <row r="346" spans="1:17" s="117" customFormat="1" ht="54" x14ac:dyDescent="0.35">
      <c r="A346" s="11"/>
      <c r="B346" s="24" t="s">
        <v>50</v>
      </c>
      <c r="C346" s="25" t="s">
        <v>407</v>
      </c>
      <c r="D346" s="10" t="s">
        <v>219</v>
      </c>
      <c r="E346" s="10" t="s">
        <v>34</v>
      </c>
      <c r="F346" s="571" t="s">
        <v>34</v>
      </c>
      <c r="G346" s="572" t="s">
        <v>40</v>
      </c>
      <c r="H346" s="572" t="s">
        <v>34</v>
      </c>
      <c r="I346" s="573" t="s">
        <v>538</v>
      </c>
      <c r="J346" s="10" t="s">
        <v>51</v>
      </c>
      <c r="K346" s="26">
        <v>80</v>
      </c>
      <c r="L346" s="26">
        <f>M346-K346</f>
        <v>0</v>
      </c>
      <c r="M346" s="26">
        <v>80</v>
      </c>
      <c r="N346" s="26">
        <v>79.5</v>
      </c>
      <c r="Q346" s="196"/>
    </row>
    <row r="347" spans="1:17" s="117" customFormat="1" ht="36" x14ac:dyDescent="0.35">
      <c r="A347" s="11"/>
      <c r="B347" s="24" t="s">
        <v>115</v>
      </c>
      <c r="C347" s="25" t="s">
        <v>407</v>
      </c>
      <c r="D347" s="10" t="s">
        <v>219</v>
      </c>
      <c r="E347" s="10" t="s">
        <v>34</v>
      </c>
      <c r="F347" s="571" t="s">
        <v>34</v>
      </c>
      <c r="G347" s="572" t="s">
        <v>40</v>
      </c>
      <c r="H347" s="572" t="s">
        <v>34</v>
      </c>
      <c r="I347" s="573" t="s">
        <v>538</v>
      </c>
      <c r="J347" s="10" t="s">
        <v>116</v>
      </c>
      <c r="K347" s="26">
        <v>64</v>
      </c>
      <c r="L347" s="26">
        <f>M347-K347</f>
        <v>0</v>
      </c>
      <c r="M347" s="26">
        <v>64</v>
      </c>
      <c r="N347" s="26">
        <v>63.6</v>
      </c>
      <c r="Q347" s="196"/>
    </row>
    <row r="348" spans="1:17" s="117" customFormat="1" ht="54" x14ac:dyDescent="0.35">
      <c r="A348" s="11"/>
      <c r="B348" s="24" t="s">
        <v>71</v>
      </c>
      <c r="C348" s="25" t="s">
        <v>407</v>
      </c>
      <c r="D348" s="10" t="s">
        <v>219</v>
      </c>
      <c r="E348" s="10" t="s">
        <v>34</v>
      </c>
      <c r="F348" s="571" t="s">
        <v>34</v>
      </c>
      <c r="G348" s="572" t="s">
        <v>40</v>
      </c>
      <c r="H348" s="572" t="s">
        <v>34</v>
      </c>
      <c r="I348" s="573" t="s">
        <v>538</v>
      </c>
      <c r="J348" s="10" t="s">
        <v>72</v>
      </c>
      <c r="K348" s="26">
        <v>12379.9</v>
      </c>
      <c r="L348" s="26">
        <f>M348-K348</f>
        <v>0</v>
      </c>
      <c r="M348" s="26">
        <v>12379.9</v>
      </c>
      <c r="N348" s="26">
        <v>12304.7</v>
      </c>
      <c r="Q348" s="196"/>
    </row>
    <row r="349" spans="1:17" s="121" customFormat="1" ht="54" x14ac:dyDescent="0.35">
      <c r="A349" s="11"/>
      <c r="B349" s="24" t="s">
        <v>207</v>
      </c>
      <c r="C349" s="25" t="s">
        <v>407</v>
      </c>
      <c r="D349" s="10" t="s">
        <v>219</v>
      </c>
      <c r="E349" s="10" t="s">
        <v>34</v>
      </c>
      <c r="F349" s="571" t="s">
        <v>34</v>
      </c>
      <c r="G349" s="572" t="s">
        <v>25</v>
      </c>
      <c r="H349" s="572" t="s">
        <v>38</v>
      </c>
      <c r="I349" s="573" t="s">
        <v>39</v>
      </c>
      <c r="J349" s="10"/>
      <c r="K349" s="26">
        <f t="shared" ref="K349:N350" si="51">K350</f>
        <v>2294.8000000000002</v>
      </c>
      <c r="L349" s="26">
        <f t="shared" si="51"/>
        <v>0</v>
      </c>
      <c r="M349" s="26">
        <v>2294.8000000000002</v>
      </c>
      <c r="N349" s="26">
        <v>2294.8000000000002</v>
      </c>
    </row>
    <row r="350" spans="1:17" s="121" customFormat="1" ht="36" x14ac:dyDescent="0.35">
      <c r="A350" s="11"/>
      <c r="B350" s="24" t="s">
        <v>270</v>
      </c>
      <c r="C350" s="25" t="s">
        <v>407</v>
      </c>
      <c r="D350" s="10" t="s">
        <v>219</v>
      </c>
      <c r="E350" s="10" t="s">
        <v>34</v>
      </c>
      <c r="F350" s="571" t="s">
        <v>34</v>
      </c>
      <c r="G350" s="572" t="s">
        <v>25</v>
      </c>
      <c r="H350" s="572" t="s">
        <v>32</v>
      </c>
      <c r="I350" s="573" t="s">
        <v>39</v>
      </c>
      <c r="J350" s="10"/>
      <c r="K350" s="26">
        <f t="shared" si="51"/>
        <v>2294.8000000000002</v>
      </c>
      <c r="L350" s="26">
        <f t="shared" si="51"/>
        <v>0</v>
      </c>
      <c r="M350" s="26">
        <v>2294.8000000000002</v>
      </c>
      <c r="N350" s="26">
        <v>2294.8000000000002</v>
      </c>
    </row>
    <row r="351" spans="1:17" s="121" customFormat="1" ht="213" customHeight="1" x14ac:dyDescent="0.35">
      <c r="A351" s="11"/>
      <c r="B351" s="24" t="s">
        <v>413</v>
      </c>
      <c r="C351" s="25" t="s">
        <v>407</v>
      </c>
      <c r="D351" s="10" t="s">
        <v>219</v>
      </c>
      <c r="E351" s="10" t="s">
        <v>34</v>
      </c>
      <c r="F351" s="571" t="s">
        <v>34</v>
      </c>
      <c r="G351" s="572" t="s">
        <v>25</v>
      </c>
      <c r="H351" s="572" t="s">
        <v>32</v>
      </c>
      <c r="I351" s="573" t="s">
        <v>335</v>
      </c>
      <c r="J351" s="10"/>
      <c r="K351" s="26">
        <f>K352</f>
        <v>2294.8000000000002</v>
      </c>
      <c r="L351" s="26">
        <f>L352</f>
        <v>0</v>
      </c>
      <c r="M351" s="26">
        <v>2294.8000000000002</v>
      </c>
      <c r="N351" s="26">
        <v>2294.8000000000002</v>
      </c>
    </row>
    <row r="352" spans="1:17" s="121" customFormat="1" ht="54" x14ac:dyDescent="0.35">
      <c r="A352" s="11"/>
      <c r="B352" s="24" t="s">
        <v>71</v>
      </c>
      <c r="C352" s="25" t="s">
        <v>407</v>
      </c>
      <c r="D352" s="10" t="s">
        <v>219</v>
      </c>
      <c r="E352" s="10" t="s">
        <v>34</v>
      </c>
      <c r="F352" s="571" t="s">
        <v>34</v>
      </c>
      <c r="G352" s="572" t="s">
        <v>25</v>
      </c>
      <c r="H352" s="572" t="s">
        <v>32</v>
      </c>
      <c r="I352" s="573" t="s">
        <v>335</v>
      </c>
      <c r="J352" s="10" t="s">
        <v>72</v>
      </c>
      <c r="K352" s="26">
        <v>2294.8000000000002</v>
      </c>
      <c r="L352" s="26">
        <f>M352-K352</f>
        <v>0</v>
      </c>
      <c r="M352" s="26">
        <v>2294.8000000000002</v>
      </c>
      <c r="N352" s="26">
        <v>2294.8000000000002</v>
      </c>
    </row>
    <row r="353" spans="1:14" s="121" customFormat="1" ht="18" x14ac:dyDescent="0.35">
      <c r="A353" s="11"/>
      <c r="B353" s="24" t="s">
        <v>338</v>
      </c>
      <c r="C353" s="25" t="s">
        <v>407</v>
      </c>
      <c r="D353" s="10" t="s">
        <v>219</v>
      </c>
      <c r="E353" s="10" t="s">
        <v>58</v>
      </c>
      <c r="F353" s="571"/>
      <c r="G353" s="572"/>
      <c r="H353" s="572"/>
      <c r="I353" s="573"/>
      <c r="J353" s="10"/>
      <c r="K353" s="26">
        <f>K354+K369</f>
        <v>62570.000000000007</v>
      </c>
      <c r="L353" s="26">
        <f>L354+L369</f>
        <v>0</v>
      </c>
      <c r="M353" s="26">
        <v>62570.000000000007</v>
      </c>
      <c r="N353" s="26">
        <v>67055.799999999988</v>
      </c>
    </row>
    <row r="354" spans="1:14" s="121" customFormat="1" ht="54" x14ac:dyDescent="0.35">
      <c r="A354" s="11"/>
      <c r="B354" s="86" t="s">
        <v>200</v>
      </c>
      <c r="C354" s="25" t="s">
        <v>407</v>
      </c>
      <c r="D354" s="10" t="s">
        <v>219</v>
      </c>
      <c r="E354" s="10" t="s">
        <v>58</v>
      </c>
      <c r="F354" s="571" t="s">
        <v>34</v>
      </c>
      <c r="G354" s="572" t="s">
        <v>37</v>
      </c>
      <c r="H354" s="572" t="s">
        <v>38</v>
      </c>
      <c r="I354" s="573" t="s">
        <v>39</v>
      </c>
      <c r="J354" s="10"/>
      <c r="K354" s="26">
        <f t="shared" ref="K354:N354" si="52">K355</f>
        <v>61998.400000000009</v>
      </c>
      <c r="L354" s="26">
        <f t="shared" si="52"/>
        <v>0</v>
      </c>
      <c r="M354" s="26">
        <v>61998.400000000009</v>
      </c>
      <c r="N354" s="26">
        <v>67055.799999999988</v>
      </c>
    </row>
    <row r="355" spans="1:14" s="121" customFormat="1" ht="24.75" customHeight="1" x14ac:dyDescent="0.35">
      <c r="A355" s="11"/>
      <c r="B355" s="24" t="s">
        <v>205</v>
      </c>
      <c r="C355" s="25" t="s">
        <v>407</v>
      </c>
      <c r="D355" s="10" t="s">
        <v>219</v>
      </c>
      <c r="E355" s="10" t="s">
        <v>58</v>
      </c>
      <c r="F355" s="571" t="s">
        <v>34</v>
      </c>
      <c r="G355" s="572" t="s">
        <v>84</v>
      </c>
      <c r="H355" s="572" t="s">
        <v>38</v>
      </c>
      <c r="I355" s="573" t="s">
        <v>39</v>
      </c>
      <c r="J355" s="10"/>
      <c r="K355" s="26">
        <f>K356</f>
        <v>61998.400000000009</v>
      </c>
      <c r="L355" s="26">
        <f>L356</f>
        <v>0</v>
      </c>
      <c r="M355" s="26">
        <v>61998.400000000009</v>
      </c>
      <c r="N355" s="26">
        <v>67055.799999999988</v>
      </c>
    </row>
    <row r="356" spans="1:14" s="121" customFormat="1" ht="36" x14ac:dyDescent="0.35">
      <c r="A356" s="11"/>
      <c r="B356" s="24" t="s">
        <v>264</v>
      </c>
      <c r="C356" s="25" t="s">
        <v>407</v>
      </c>
      <c r="D356" s="10" t="s">
        <v>219</v>
      </c>
      <c r="E356" s="10" t="s">
        <v>58</v>
      </c>
      <c r="F356" s="571" t="s">
        <v>34</v>
      </c>
      <c r="G356" s="572" t="s">
        <v>84</v>
      </c>
      <c r="H356" s="572" t="s">
        <v>32</v>
      </c>
      <c r="I356" s="573" t="s">
        <v>39</v>
      </c>
      <c r="J356" s="10"/>
      <c r="K356" s="26">
        <f>K357+K365+K367+K362</f>
        <v>61998.400000000009</v>
      </c>
      <c r="L356" s="26">
        <f>L357+L365+L367+L362</f>
        <v>0</v>
      </c>
      <c r="M356" s="26">
        <v>61998.400000000009</v>
      </c>
      <c r="N356" s="26">
        <v>67055.799999999988</v>
      </c>
    </row>
    <row r="357" spans="1:14" s="121" customFormat="1" ht="40.5" customHeight="1" x14ac:dyDescent="0.35">
      <c r="A357" s="11"/>
      <c r="B357" s="79" t="s">
        <v>437</v>
      </c>
      <c r="C357" s="25" t="s">
        <v>407</v>
      </c>
      <c r="D357" s="10" t="s">
        <v>219</v>
      </c>
      <c r="E357" s="10" t="s">
        <v>58</v>
      </c>
      <c r="F357" s="571" t="s">
        <v>34</v>
      </c>
      <c r="G357" s="572" t="s">
        <v>84</v>
      </c>
      <c r="H357" s="572" t="s">
        <v>32</v>
      </c>
      <c r="I357" s="573" t="s">
        <v>86</v>
      </c>
      <c r="J357" s="10"/>
      <c r="K357" s="26">
        <f>K360+K358+K359+K361</f>
        <v>50541.200000000004</v>
      </c>
      <c r="L357" s="26">
        <f>L360+L358+L359+L361</f>
        <v>0</v>
      </c>
      <c r="M357" s="26">
        <v>50541.200000000004</v>
      </c>
      <c r="N357" s="26">
        <v>55595.299999999996</v>
      </c>
    </row>
    <row r="358" spans="1:14" s="121" customFormat="1" ht="108" x14ac:dyDescent="0.35">
      <c r="A358" s="11"/>
      <c r="B358" s="24" t="s">
        <v>44</v>
      </c>
      <c r="C358" s="25" t="s">
        <v>407</v>
      </c>
      <c r="D358" s="10" t="s">
        <v>219</v>
      </c>
      <c r="E358" s="10" t="s">
        <v>58</v>
      </c>
      <c r="F358" s="571" t="s">
        <v>34</v>
      </c>
      <c r="G358" s="572" t="s">
        <v>84</v>
      </c>
      <c r="H358" s="572" t="s">
        <v>32</v>
      </c>
      <c r="I358" s="573" t="s">
        <v>86</v>
      </c>
      <c r="J358" s="10" t="s">
        <v>45</v>
      </c>
      <c r="K358" s="26">
        <v>20212.7</v>
      </c>
      <c r="L358" s="26">
        <f>M358-K358</f>
        <v>0</v>
      </c>
      <c r="M358" s="26">
        <v>20212.7</v>
      </c>
      <c r="N358" s="26">
        <v>20212.7</v>
      </c>
    </row>
    <row r="359" spans="1:14" s="121" customFormat="1" ht="54" x14ac:dyDescent="0.35">
      <c r="A359" s="11"/>
      <c r="B359" s="24" t="s">
        <v>50</v>
      </c>
      <c r="C359" s="25" t="s">
        <v>407</v>
      </c>
      <c r="D359" s="10" t="s">
        <v>219</v>
      </c>
      <c r="E359" s="10" t="s">
        <v>58</v>
      </c>
      <c r="F359" s="571" t="s">
        <v>34</v>
      </c>
      <c r="G359" s="572" t="s">
        <v>84</v>
      </c>
      <c r="H359" s="572" t="s">
        <v>32</v>
      </c>
      <c r="I359" s="573" t="s">
        <v>86</v>
      </c>
      <c r="J359" s="10" t="s">
        <v>51</v>
      </c>
      <c r="K359" s="26">
        <v>1988.9</v>
      </c>
      <c r="L359" s="26">
        <f>M359-K359</f>
        <v>0</v>
      </c>
      <c r="M359" s="26">
        <v>1988.9</v>
      </c>
      <c r="N359" s="26">
        <v>4230.6000000000004</v>
      </c>
    </row>
    <row r="360" spans="1:14" s="121" customFormat="1" ht="54" x14ac:dyDescent="0.35">
      <c r="A360" s="11"/>
      <c r="B360" s="24" t="s">
        <v>71</v>
      </c>
      <c r="C360" s="25" t="s">
        <v>407</v>
      </c>
      <c r="D360" s="10" t="s">
        <v>219</v>
      </c>
      <c r="E360" s="10" t="s">
        <v>58</v>
      </c>
      <c r="F360" s="571" t="s">
        <v>34</v>
      </c>
      <c r="G360" s="572" t="s">
        <v>84</v>
      </c>
      <c r="H360" s="572" t="s">
        <v>32</v>
      </c>
      <c r="I360" s="573" t="s">
        <v>86</v>
      </c>
      <c r="J360" s="10" t="s">
        <v>72</v>
      </c>
      <c r="K360" s="26">
        <v>28226.400000000001</v>
      </c>
      <c r="L360" s="26">
        <f>M360-K360</f>
        <v>0</v>
      </c>
      <c r="M360" s="26">
        <v>28226.400000000001</v>
      </c>
      <c r="N360" s="26">
        <v>31039</v>
      </c>
    </row>
    <row r="361" spans="1:14" s="121" customFormat="1" ht="18" x14ac:dyDescent="0.35">
      <c r="A361" s="11"/>
      <c r="B361" s="24" t="s">
        <v>52</v>
      </c>
      <c r="C361" s="25" t="s">
        <v>407</v>
      </c>
      <c r="D361" s="10" t="s">
        <v>219</v>
      </c>
      <c r="E361" s="10" t="s">
        <v>58</v>
      </c>
      <c r="F361" s="571" t="s">
        <v>34</v>
      </c>
      <c r="G361" s="572" t="s">
        <v>84</v>
      </c>
      <c r="H361" s="572" t="s">
        <v>32</v>
      </c>
      <c r="I361" s="573" t="s">
        <v>86</v>
      </c>
      <c r="J361" s="10" t="s">
        <v>53</v>
      </c>
      <c r="K361" s="26">
        <v>113.2</v>
      </c>
      <c r="L361" s="26">
        <f>M361-K361</f>
        <v>0</v>
      </c>
      <c r="M361" s="26">
        <v>113.2</v>
      </c>
      <c r="N361" s="26">
        <v>113</v>
      </c>
    </row>
    <row r="362" spans="1:14" s="121" customFormat="1" ht="54" x14ac:dyDescent="0.35">
      <c r="A362" s="11"/>
      <c r="B362" s="24" t="s">
        <v>202</v>
      </c>
      <c r="C362" s="25" t="s">
        <v>407</v>
      </c>
      <c r="D362" s="10" t="s">
        <v>219</v>
      </c>
      <c r="E362" s="10" t="s">
        <v>58</v>
      </c>
      <c r="F362" s="571" t="s">
        <v>34</v>
      </c>
      <c r="G362" s="572" t="s">
        <v>84</v>
      </c>
      <c r="H362" s="572" t="s">
        <v>32</v>
      </c>
      <c r="I362" s="573" t="s">
        <v>261</v>
      </c>
      <c r="J362" s="10"/>
      <c r="K362" s="26">
        <f>K363+K364</f>
        <v>1260</v>
      </c>
      <c r="L362" s="26">
        <f>L363+L364</f>
        <v>0</v>
      </c>
      <c r="M362" s="26">
        <v>1260</v>
      </c>
      <c r="N362" s="26">
        <v>1260</v>
      </c>
    </row>
    <row r="363" spans="1:14" s="121" customFormat="1" ht="54" x14ac:dyDescent="0.35">
      <c r="A363" s="11"/>
      <c r="B363" s="24" t="s">
        <v>50</v>
      </c>
      <c r="C363" s="25" t="s">
        <v>407</v>
      </c>
      <c r="D363" s="10" t="s">
        <v>219</v>
      </c>
      <c r="E363" s="10" t="s">
        <v>58</v>
      </c>
      <c r="F363" s="571" t="s">
        <v>34</v>
      </c>
      <c r="G363" s="572" t="s">
        <v>84</v>
      </c>
      <c r="H363" s="572" t="s">
        <v>32</v>
      </c>
      <c r="I363" s="573" t="s">
        <v>261</v>
      </c>
      <c r="J363" s="10" t="s">
        <v>51</v>
      </c>
      <c r="K363" s="26">
        <f>506.3</f>
        <v>506.3</v>
      </c>
      <c r="L363" s="26">
        <f>M363-K363</f>
        <v>0</v>
      </c>
      <c r="M363" s="26">
        <v>506.3</v>
      </c>
      <c r="N363" s="26">
        <v>506.3</v>
      </c>
    </row>
    <row r="364" spans="1:14" s="121" customFormat="1" ht="54" x14ac:dyDescent="0.35">
      <c r="A364" s="11"/>
      <c r="B364" s="86" t="s">
        <v>71</v>
      </c>
      <c r="C364" s="25" t="s">
        <v>407</v>
      </c>
      <c r="D364" s="10" t="s">
        <v>219</v>
      </c>
      <c r="E364" s="10" t="s">
        <v>58</v>
      </c>
      <c r="F364" s="571" t="s">
        <v>34</v>
      </c>
      <c r="G364" s="572" t="s">
        <v>84</v>
      </c>
      <c r="H364" s="572" t="s">
        <v>32</v>
      </c>
      <c r="I364" s="573" t="s">
        <v>261</v>
      </c>
      <c r="J364" s="10" t="s">
        <v>72</v>
      </c>
      <c r="K364" s="26">
        <f>753.7</f>
        <v>753.7</v>
      </c>
      <c r="L364" s="26">
        <f>M364-K364</f>
        <v>0</v>
      </c>
      <c r="M364" s="26">
        <v>753.7</v>
      </c>
      <c r="N364" s="26">
        <v>753.7</v>
      </c>
    </row>
    <row r="365" spans="1:14" s="121" customFormat="1" ht="183.75" customHeight="1" x14ac:dyDescent="0.35">
      <c r="A365" s="11"/>
      <c r="B365" s="24" t="s">
        <v>256</v>
      </c>
      <c r="C365" s="25" t="s">
        <v>407</v>
      </c>
      <c r="D365" s="10" t="s">
        <v>219</v>
      </c>
      <c r="E365" s="10" t="s">
        <v>58</v>
      </c>
      <c r="F365" s="571" t="s">
        <v>34</v>
      </c>
      <c r="G365" s="572" t="s">
        <v>84</v>
      </c>
      <c r="H365" s="572" t="s">
        <v>32</v>
      </c>
      <c r="I365" s="573" t="s">
        <v>257</v>
      </c>
      <c r="J365" s="10"/>
      <c r="K365" s="26">
        <f>K366</f>
        <v>110.4</v>
      </c>
      <c r="L365" s="26">
        <f>L366</f>
        <v>0</v>
      </c>
      <c r="M365" s="26">
        <v>110.4</v>
      </c>
      <c r="N365" s="26">
        <v>113.7</v>
      </c>
    </row>
    <row r="366" spans="1:14" s="121" customFormat="1" ht="54" x14ac:dyDescent="0.35">
      <c r="A366" s="11"/>
      <c r="B366" s="24" t="s">
        <v>71</v>
      </c>
      <c r="C366" s="25" t="s">
        <v>407</v>
      </c>
      <c r="D366" s="10" t="s">
        <v>219</v>
      </c>
      <c r="E366" s="10" t="s">
        <v>58</v>
      </c>
      <c r="F366" s="571" t="s">
        <v>34</v>
      </c>
      <c r="G366" s="572" t="s">
        <v>84</v>
      </c>
      <c r="H366" s="572" t="s">
        <v>32</v>
      </c>
      <c r="I366" s="573" t="s">
        <v>257</v>
      </c>
      <c r="J366" s="10" t="s">
        <v>72</v>
      </c>
      <c r="K366" s="26">
        <v>110.4</v>
      </c>
      <c r="L366" s="26">
        <f>M366-K366</f>
        <v>0</v>
      </c>
      <c r="M366" s="26">
        <v>110.4</v>
      </c>
      <c r="N366" s="26">
        <v>113.7</v>
      </c>
    </row>
    <row r="367" spans="1:14" s="121" customFormat="1" ht="115.5" customHeight="1" x14ac:dyDescent="0.35">
      <c r="A367" s="11"/>
      <c r="B367" s="24" t="s">
        <v>334</v>
      </c>
      <c r="C367" s="25" t="s">
        <v>407</v>
      </c>
      <c r="D367" s="10" t="s">
        <v>219</v>
      </c>
      <c r="E367" s="10" t="s">
        <v>58</v>
      </c>
      <c r="F367" s="571" t="s">
        <v>34</v>
      </c>
      <c r="G367" s="572" t="s">
        <v>84</v>
      </c>
      <c r="H367" s="572" t="s">
        <v>32</v>
      </c>
      <c r="I367" s="573" t="s">
        <v>258</v>
      </c>
      <c r="J367" s="10"/>
      <c r="K367" s="26">
        <f>K368</f>
        <v>10086.799999999999</v>
      </c>
      <c r="L367" s="26">
        <f>L368</f>
        <v>0</v>
      </c>
      <c r="M367" s="26">
        <v>10086.799999999999</v>
      </c>
      <c r="N367" s="26">
        <v>10086.799999999999</v>
      </c>
    </row>
    <row r="368" spans="1:14" s="121" customFormat="1" ht="54" x14ac:dyDescent="0.35">
      <c r="A368" s="11"/>
      <c r="B368" s="24" t="s">
        <v>71</v>
      </c>
      <c r="C368" s="25" t="s">
        <v>407</v>
      </c>
      <c r="D368" s="10" t="s">
        <v>219</v>
      </c>
      <c r="E368" s="10" t="s">
        <v>58</v>
      </c>
      <c r="F368" s="571" t="s">
        <v>34</v>
      </c>
      <c r="G368" s="572" t="s">
        <v>84</v>
      </c>
      <c r="H368" s="572" t="s">
        <v>32</v>
      </c>
      <c r="I368" s="573" t="s">
        <v>258</v>
      </c>
      <c r="J368" s="10" t="s">
        <v>72</v>
      </c>
      <c r="K368" s="26">
        <v>10086.799999999999</v>
      </c>
      <c r="L368" s="26">
        <f>M368-K368</f>
        <v>0</v>
      </c>
      <c r="M368" s="26">
        <v>10086.799999999999</v>
      </c>
      <c r="N368" s="26">
        <v>10086.799999999999</v>
      </c>
    </row>
    <row r="369" spans="1:14" s="121" customFormat="1" ht="55.5" customHeight="1" x14ac:dyDescent="0.35">
      <c r="A369" s="11"/>
      <c r="B369" s="24" t="s">
        <v>75</v>
      </c>
      <c r="C369" s="25" t="s">
        <v>407</v>
      </c>
      <c r="D369" s="10" t="s">
        <v>219</v>
      </c>
      <c r="E369" s="10" t="s">
        <v>58</v>
      </c>
      <c r="F369" s="571" t="s">
        <v>76</v>
      </c>
      <c r="G369" s="572" t="s">
        <v>37</v>
      </c>
      <c r="H369" s="572" t="s">
        <v>38</v>
      </c>
      <c r="I369" s="573" t="s">
        <v>39</v>
      </c>
      <c r="J369" s="10"/>
      <c r="K369" s="26">
        <f t="shared" ref="K369:M371" si="53">K370</f>
        <v>571.6</v>
      </c>
      <c r="L369" s="26">
        <f t="shared" si="53"/>
        <v>0</v>
      </c>
      <c r="M369" s="26">
        <v>571.6</v>
      </c>
      <c r="N369" s="26">
        <v>0</v>
      </c>
    </row>
    <row r="370" spans="1:14" s="121" customFormat="1" ht="36" x14ac:dyDescent="0.35">
      <c r="A370" s="11"/>
      <c r="B370" s="24" t="s">
        <v>120</v>
      </c>
      <c r="C370" s="25" t="s">
        <v>407</v>
      </c>
      <c r="D370" s="10" t="s">
        <v>219</v>
      </c>
      <c r="E370" s="10" t="s">
        <v>58</v>
      </c>
      <c r="F370" s="571" t="s">
        <v>76</v>
      </c>
      <c r="G370" s="572" t="s">
        <v>84</v>
      </c>
      <c r="H370" s="572" t="s">
        <v>38</v>
      </c>
      <c r="I370" s="573" t="s">
        <v>39</v>
      </c>
      <c r="J370" s="10"/>
      <c r="K370" s="26">
        <f t="shared" si="53"/>
        <v>571.6</v>
      </c>
      <c r="L370" s="26">
        <f t="shared" si="53"/>
        <v>0</v>
      </c>
      <c r="M370" s="26">
        <v>571.6</v>
      </c>
      <c r="N370" s="26">
        <v>0</v>
      </c>
    </row>
    <row r="371" spans="1:14" s="121" customFormat="1" ht="38.25" customHeight="1" x14ac:dyDescent="0.35">
      <c r="A371" s="11"/>
      <c r="B371" s="24" t="s">
        <v>259</v>
      </c>
      <c r="C371" s="25" t="s">
        <v>407</v>
      </c>
      <c r="D371" s="10" t="s">
        <v>219</v>
      </c>
      <c r="E371" s="10" t="s">
        <v>58</v>
      </c>
      <c r="F371" s="571" t="s">
        <v>76</v>
      </c>
      <c r="G371" s="572" t="s">
        <v>84</v>
      </c>
      <c r="H371" s="572" t="s">
        <v>32</v>
      </c>
      <c r="I371" s="573" t="s">
        <v>39</v>
      </c>
      <c r="J371" s="10"/>
      <c r="K371" s="26">
        <f t="shared" si="53"/>
        <v>571.6</v>
      </c>
      <c r="L371" s="26">
        <f t="shared" si="53"/>
        <v>0</v>
      </c>
      <c r="M371" s="26">
        <v>571.6</v>
      </c>
      <c r="N371" s="26">
        <v>0</v>
      </c>
    </row>
    <row r="372" spans="1:14" s="121" customFormat="1" ht="18" x14ac:dyDescent="0.35">
      <c r="A372" s="11"/>
      <c r="B372" s="24" t="s">
        <v>410</v>
      </c>
      <c r="C372" s="25" t="s">
        <v>407</v>
      </c>
      <c r="D372" s="10" t="s">
        <v>219</v>
      </c>
      <c r="E372" s="10" t="s">
        <v>58</v>
      </c>
      <c r="F372" s="571" t="s">
        <v>76</v>
      </c>
      <c r="G372" s="572" t="s">
        <v>84</v>
      </c>
      <c r="H372" s="572" t="s">
        <v>32</v>
      </c>
      <c r="I372" s="573" t="s">
        <v>411</v>
      </c>
      <c r="J372" s="10"/>
      <c r="K372" s="26">
        <f>K373</f>
        <v>571.6</v>
      </c>
      <c r="L372" s="26">
        <f>L373</f>
        <v>0</v>
      </c>
      <c r="M372" s="26">
        <v>571.6</v>
      </c>
      <c r="N372" s="26">
        <v>0</v>
      </c>
    </row>
    <row r="373" spans="1:14" s="121" customFormat="1" ht="54" x14ac:dyDescent="0.35">
      <c r="A373" s="11"/>
      <c r="B373" s="24" t="s">
        <v>50</v>
      </c>
      <c r="C373" s="25" t="s">
        <v>407</v>
      </c>
      <c r="D373" s="10" t="s">
        <v>219</v>
      </c>
      <c r="E373" s="10" t="s">
        <v>58</v>
      </c>
      <c r="F373" s="571" t="s">
        <v>76</v>
      </c>
      <c r="G373" s="572" t="s">
        <v>84</v>
      </c>
      <c r="H373" s="572" t="s">
        <v>32</v>
      </c>
      <c r="I373" s="573" t="s">
        <v>411</v>
      </c>
      <c r="J373" s="10" t="s">
        <v>51</v>
      </c>
      <c r="K373" s="26">
        <v>571.6</v>
      </c>
      <c r="L373" s="26">
        <f>M373-K373</f>
        <v>0</v>
      </c>
      <c r="M373" s="26">
        <v>571.6</v>
      </c>
      <c r="N373" s="26">
        <v>0</v>
      </c>
    </row>
    <row r="374" spans="1:14" s="117" customFormat="1" ht="18" x14ac:dyDescent="0.35">
      <c r="A374" s="11"/>
      <c r="B374" s="24" t="s">
        <v>339</v>
      </c>
      <c r="C374" s="25" t="s">
        <v>407</v>
      </c>
      <c r="D374" s="10" t="s">
        <v>219</v>
      </c>
      <c r="E374" s="10" t="s">
        <v>219</v>
      </c>
      <c r="F374" s="571"/>
      <c r="G374" s="572"/>
      <c r="H374" s="572"/>
      <c r="I374" s="573"/>
      <c r="J374" s="10"/>
      <c r="K374" s="26">
        <f t="shared" ref="K374:N374" si="54">K375</f>
        <v>7938.2999999999993</v>
      </c>
      <c r="L374" s="26">
        <f t="shared" si="54"/>
        <v>0</v>
      </c>
      <c r="M374" s="26">
        <v>7938.2999999999993</v>
      </c>
      <c r="N374" s="26">
        <v>7938.2999999999993</v>
      </c>
    </row>
    <row r="375" spans="1:14" s="117" customFormat="1" ht="54" x14ac:dyDescent="0.35">
      <c r="A375" s="11"/>
      <c r="B375" s="24" t="s">
        <v>200</v>
      </c>
      <c r="C375" s="25" t="s">
        <v>407</v>
      </c>
      <c r="D375" s="10" t="s">
        <v>219</v>
      </c>
      <c r="E375" s="10" t="s">
        <v>219</v>
      </c>
      <c r="F375" s="571" t="s">
        <v>34</v>
      </c>
      <c r="G375" s="572" t="s">
        <v>37</v>
      </c>
      <c r="H375" s="572" t="s">
        <v>38</v>
      </c>
      <c r="I375" s="573" t="s">
        <v>39</v>
      </c>
      <c r="J375" s="10"/>
      <c r="K375" s="26">
        <f t="shared" ref="K375:N376" si="55">K376</f>
        <v>7938.2999999999993</v>
      </c>
      <c r="L375" s="26">
        <f t="shared" si="55"/>
        <v>0</v>
      </c>
      <c r="M375" s="26">
        <v>7938.2999999999993</v>
      </c>
      <c r="N375" s="26">
        <v>7938.2999999999993</v>
      </c>
    </row>
    <row r="376" spans="1:14" s="117" customFormat="1" ht="54" x14ac:dyDescent="0.35">
      <c r="A376" s="11"/>
      <c r="B376" s="24" t="s">
        <v>207</v>
      </c>
      <c r="C376" s="25" t="s">
        <v>407</v>
      </c>
      <c r="D376" s="10" t="s">
        <v>219</v>
      </c>
      <c r="E376" s="10" t="s">
        <v>219</v>
      </c>
      <c r="F376" s="571" t="s">
        <v>34</v>
      </c>
      <c r="G376" s="572" t="s">
        <v>25</v>
      </c>
      <c r="H376" s="572" t="s">
        <v>38</v>
      </c>
      <c r="I376" s="573" t="s">
        <v>39</v>
      </c>
      <c r="J376" s="10"/>
      <c r="K376" s="26">
        <f t="shared" si="55"/>
        <v>7938.2999999999993</v>
      </c>
      <c r="L376" s="26">
        <f t="shared" si="55"/>
        <v>0</v>
      </c>
      <c r="M376" s="26">
        <v>7938.2999999999993</v>
      </c>
      <c r="N376" s="26">
        <v>7938.2999999999993</v>
      </c>
    </row>
    <row r="377" spans="1:14" s="117" customFormat="1" ht="54" x14ac:dyDescent="0.35">
      <c r="A377" s="11"/>
      <c r="B377" s="24" t="s">
        <v>269</v>
      </c>
      <c r="C377" s="25" t="s">
        <v>407</v>
      </c>
      <c r="D377" s="10" t="s">
        <v>219</v>
      </c>
      <c r="E377" s="10" t="s">
        <v>219</v>
      </c>
      <c r="F377" s="571" t="s">
        <v>34</v>
      </c>
      <c r="G377" s="572" t="s">
        <v>25</v>
      </c>
      <c r="H377" s="572" t="s">
        <v>34</v>
      </c>
      <c r="I377" s="573" t="s">
        <v>39</v>
      </c>
      <c r="J377" s="10"/>
      <c r="K377" s="26">
        <f>K378+K380</f>
        <v>7938.2999999999993</v>
      </c>
      <c r="L377" s="26">
        <f>L378+L380</f>
        <v>0</v>
      </c>
      <c r="M377" s="26">
        <v>7938.2999999999993</v>
      </c>
      <c r="N377" s="26">
        <v>7938.2999999999993</v>
      </c>
    </row>
    <row r="378" spans="1:14" s="117" customFormat="1" ht="36" x14ac:dyDescent="0.35">
      <c r="A378" s="11"/>
      <c r="B378" s="24" t="s">
        <v>444</v>
      </c>
      <c r="C378" s="25" t="s">
        <v>407</v>
      </c>
      <c r="D378" s="10" t="s">
        <v>219</v>
      </c>
      <c r="E378" s="10" t="s">
        <v>219</v>
      </c>
      <c r="F378" s="571" t="s">
        <v>34</v>
      </c>
      <c r="G378" s="572" t="s">
        <v>25</v>
      </c>
      <c r="H378" s="572" t="s">
        <v>34</v>
      </c>
      <c r="I378" s="573" t="s">
        <v>443</v>
      </c>
      <c r="J378" s="10"/>
      <c r="K378" s="26">
        <f>K379</f>
        <v>1188.3999999999999</v>
      </c>
      <c r="L378" s="26">
        <f>L379</f>
        <v>0</v>
      </c>
      <c r="M378" s="26">
        <v>1188.3999999999999</v>
      </c>
      <c r="N378" s="26">
        <v>1188.3999999999999</v>
      </c>
    </row>
    <row r="379" spans="1:14" s="117" customFormat="1" ht="54" x14ac:dyDescent="0.35">
      <c r="A379" s="11"/>
      <c r="B379" s="24" t="s">
        <v>71</v>
      </c>
      <c r="C379" s="25" t="s">
        <v>407</v>
      </c>
      <c r="D379" s="10" t="s">
        <v>219</v>
      </c>
      <c r="E379" s="10" t="s">
        <v>219</v>
      </c>
      <c r="F379" s="571" t="s">
        <v>34</v>
      </c>
      <c r="G379" s="572" t="s">
        <v>25</v>
      </c>
      <c r="H379" s="572" t="s">
        <v>34</v>
      </c>
      <c r="I379" s="573" t="s">
        <v>443</v>
      </c>
      <c r="J379" s="10" t="s">
        <v>72</v>
      </c>
      <c r="K379" s="26">
        <f>524.3+591.9+72.2</f>
        <v>1188.3999999999999</v>
      </c>
      <c r="L379" s="26">
        <f>M379-K379</f>
        <v>0</v>
      </c>
      <c r="M379" s="26">
        <v>1188.3999999999999</v>
      </c>
      <c r="N379" s="26">
        <v>1188.3999999999999</v>
      </c>
    </row>
    <row r="380" spans="1:14" s="117" customFormat="1" ht="110.25" customHeight="1" x14ac:dyDescent="0.35">
      <c r="A380" s="11"/>
      <c r="B380" s="24" t="s">
        <v>418</v>
      </c>
      <c r="C380" s="25" t="s">
        <v>407</v>
      </c>
      <c r="D380" s="10" t="s">
        <v>219</v>
      </c>
      <c r="E380" s="10" t="s">
        <v>219</v>
      </c>
      <c r="F380" s="571" t="s">
        <v>34</v>
      </c>
      <c r="G380" s="572" t="s">
        <v>25</v>
      </c>
      <c r="H380" s="572" t="s">
        <v>34</v>
      </c>
      <c r="I380" s="573" t="s">
        <v>417</v>
      </c>
      <c r="J380" s="10"/>
      <c r="K380" s="26">
        <f t="shared" ref="K380:M380" si="56">K381</f>
        <v>6749.9</v>
      </c>
      <c r="L380" s="26">
        <f t="shared" si="56"/>
        <v>0</v>
      </c>
      <c r="M380" s="26">
        <v>6749.9</v>
      </c>
      <c r="N380" s="26">
        <v>6749.9</v>
      </c>
    </row>
    <row r="381" spans="1:14" s="117" customFormat="1" ht="54" x14ac:dyDescent="0.35">
      <c r="A381" s="11"/>
      <c r="B381" s="24" t="s">
        <v>71</v>
      </c>
      <c r="C381" s="25" t="s">
        <v>407</v>
      </c>
      <c r="D381" s="10" t="s">
        <v>219</v>
      </c>
      <c r="E381" s="10" t="s">
        <v>219</v>
      </c>
      <c r="F381" s="571" t="s">
        <v>34</v>
      </c>
      <c r="G381" s="572" t="s">
        <v>25</v>
      </c>
      <c r="H381" s="572" t="s">
        <v>34</v>
      </c>
      <c r="I381" s="573" t="s">
        <v>417</v>
      </c>
      <c r="J381" s="10" t="s">
        <v>72</v>
      </c>
      <c r="K381" s="26">
        <v>6749.9</v>
      </c>
      <c r="L381" s="26">
        <f>M381-K381</f>
        <v>0</v>
      </c>
      <c r="M381" s="26">
        <v>6749.9</v>
      </c>
      <c r="N381" s="26">
        <v>6749.9</v>
      </c>
    </row>
    <row r="382" spans="1:14" s="121" customFormat="1" ht="18" x14ac:dyDescent="0.35">
      <c r="A382" s="11"/>
      <c r="B382" s="24" t="s">
        <v>181</v>
      </c>
      <c r="C382" s="25" t="s">
        <v>407</v>
      </c>
      <c r="D382" s="10" t="s">
        <v>219</v>
      </c>
      <c r="E382" s="10" t="s">
        <v>74</v>
      </c>
      <c r="F382" s="571"/>
      <c r="G382" s="572"/>
      <c r="H382" s="572"/>
      <c r="I382" s="573"/>
      <c r="J382" s="10"/>
      <c r="K382" s="26">
        <f>K383</f>
        <v>64326.7</v>
      </c>
      <c r="L382" s="26">
        <f>L383</f>
        <v>0</v>
      </c>
      <c r="M382" s="26">
        <v>64326.7</v>
      </c>
      <c r="N382" s="26">
        <v>64752.700000000004</v>
      </c>
    </row>
    <row r="383" spans="1:14" s="121" customFormat="1" ht="54" x14ac:dyDescent="0.35">
      <c r="A383" s="11"/>
      <c r="B383" s="24" t="s">
        <v>200</v>
      </c>
      <c r="C383" s="25" t="s">
        <v>407</v>
      </c>
      <c r="D383" s="10" t="s">
        <v>219</v>
      </c>
      <c r="E383" s="10" t="s">
        <v>74</v>
      </c>
      <c r="F383" s="571" t="s">
        <v>34</v>
      </c>
      <c r="G383" s="572" t="s">
        <v>37</v>
      </c>
      <c r="H383" s="572" t="s">
        <v>38</v>
      </c>
      <c r="I383" s="573" t="s">
        <v>39</v>
      </c>
      <c r="J383" s="10"/>
      <c r="K383" s="26">
        <f t="shared" ref="K383:N384" si="57">K384</f>
        <v>64326.7</v>
      </c>
      <c r="L383" s="26">
        <f t="shared" si="57"/>
        <v>0</v>
      </c>
      <c r="M383" s="26">
        <v>64326.7</v>
      </c>
      <c r="N383" s="26">
        <v>64752.700000000004</v>
      </c>
    </row>
    <row r="384" spans="1:14" s="121" customFormat="1" ht="54" x14ac:dyDescent="0.35">
      <c r="A384" s="11"/>
      <c r="B384" s="24" t="s">
        <v>207</v>
      </c>
      <c r="C384" s="25" t="s">
        <v>407</v>
      </c>
      <c r="D384" s="10" t="s">
        <v>219</v>
      </c>
      <c r="E384" s="10" t="s">
        <v>74</v>
      </c>
      <c r="F384" s="571" t="s">
        <v>34</v>
      </c>
      <c r="G384" s="572" t="s">
        <v>25</v>
      </c>
      <c r="H384" s="572" t="s">
        <v>38</v>
      </c>
      <c r="I384" s="573" t="s">
        <v>39</v>
      </c>
      <c r="J384" s="10"/>
      <c r="K384" s="26">
        <f t="shared" si="57"/>
        <v>64326.7</v>
      </c>
      <c r="L384" s="26">
        <f t="shared" si="57"/>
        <v>0</v>
      </c>
      <c r="M384" s="26">
        <v>64326.7</v>
      </c>
      <c r="N384" s="26">
        <v>64752.700000000004</v>
      </c>
    </row>
    <row r="385" spans="1:14" s="121" customFormat="1" ht="36" x14ac:dyDescent="0.35">
      <c r="A385" s="11"/>
      <c r="B385" s="24" t="s">
        <v>270</v>
      </c>
      <c r="C385" s="25" t="s">
        <v>407</v>
      </c>
      <c r="D385" s="10" t="s">
        <v>219</v>
      </c>
      <c r="E385" s="10" t="s">
        <v>74</v>
      </c>
      <c r="F385" s="571" t="s">
        <v>34</v>
      </c>
      <c r="G385" s="572" t="s">
        <v>25</v>
      </c>
      <c r="H385" s="572" t="s">
        <v>32</v>
      </c>
      <c r="I385" s="573" t="s">
        <v>39</v>
      </c>
      <c r="J385" s="10"/>
      <c r="K385" s="26">
        <f>K386+K390+K395</f>
        <v>64326.7</v>
      </c>
      <c r="L385" s="26">
        <f>L386+L390+L395</f>
        <v>0</v>
      </c>
      <c r="M385" s="26">
        <v>64326.7</v>
      </c>
      <c r="N385" s="26">
        <v>64752.700000000004</v>
      </c>
    </row>
    <row r="386" spans="1:14" s="121" customFormat="1" ht="36" x14ac:dyDescent="0.35">
      <c r="A386" s="11"/>
      <c r="B386" s="24" t="s">
        <v>42</v>
      </c>
      <c r="C386" s="25" t="s">
        <v>407</v>
      </c>
      <c r="D386" s="10" t="s">
        <v>219</v>
      </c>
      <c r="E386" s="10" t="s">
        <v>74</v>
      </c>
      <c r="F386" s="571" t="s">
        <v>34</v>
      </c>
      <c r="G386" s="572" t="s">
        <v>25</v>
      </c>
      <c r="H386" s="572" t="s">
        <v>32</v>
      </c>
      <c r="I386" s="573" t="s">
        <v>43</v>
      </c>
      <c r="J386" s="10"/>
      <c r="K386" s="26">
        <f>K387+K388+K389</f>
        <v>10576.099999999999</v>
      </c>
      <c r="L386" s="26">
        <f>L387+L388+L389</f>
        <v>0</v>
      </c>
      <c r="M386" s="26">
        <v>10576.099999999999</v>
      </c>
      <c r="N386" s="26">
        <v>10582.3</v>
      </c>
    </row>
    <row r="387" spans="1:14" s="121" customFormat="1" ht="108" x14ac:dyDescent="0.35">
      <c r="A387" s="11"/>
      <c r="B387" s="24" t="s">
        <v>44</v>
      </c>
      <c r="C387" s="25" t="s">
        <v>407</v>
      </c>
      <c r="D387" s="10" t="s">
        <v>219</v>
      </c>
      <c r="E387" s="10" t="s">
        <v>74</v>
      </c>
      <c r="F387" s="571" t="s">
        <v>34</v>
      </c>
      <c r="G387" s="572" t="s">
        <v>25</v>
      </c>
      <c r="H387" s="572" t="s">
        <v>32</v>
      </c>
      <c r="I387" s="573" t="s">
        <v>43</v>
      </c>
      <c r="J387" s="10" t="s">
        <v>45</v>
      </c>
      <c r="K387" s="26">
        <v>9648.2999999999993</v>
      </c>
      <c r="L387" s="26">
        <f>M387-K387</f>
        <v>0</v>
      </c>
      <c r="M387" s="26">
        <v>9648.2999999999993</v>
      </c>
      <c r="N387" s="26">
        <v>9648.2999999999993</v>
      </c>
    </row>
    <row r="388" spans="1:14" s="121" customFormat="1" ht="54" x14ac:dyDescent="0.35">
      <c r="A388" s="11"/>
      <c r="B388" s="24" t="s">
        <v>50</v>
      </c>
      <c r="C388" s="25" t="s">
        <v>407</v>
      </c>
      <c r="D388" s="10" t="s">
        <v>219</v>
      </c>
      <c r="E388" s="10" t="s">
        <v>74</v>
      </c>
      <c r="F388" s="571" t="s">
        <v>34</v>
      </c>
      <c r="G388" s="572" t="s">
        <v>25</v>
      </c>
      <c r="H388" s="572" t="s">
        <v>32</v>
      </c>
      <c r="I388" s="573" t="s">
        <v>43</v>
      </c>
      <c r="J388" s="10" t="s">
        <v>51</v>
      </c>
      <c r="K388" s="26">
        <v>910.9</v>
      </c>
      <c r="L388" s="26">
        <f>M388-K388</f>
        <v>0</v>
      </c>
      <c r="M388" s="26">
        <v>910.9</v>
      </c>
      <c r="N388" s="26">
        <v>917.2</v>
      </c>
    </row>
    <row r="389" spans="1:14" s="121" customFormat="1" ht="18" x14ac:dyDescent="0.35">
      <c r="A389" s="11"/>
      <c r="B389" s="24" t="s">
        <v>52</v>
      </c>
      <c r="C389" s="25" t="s">
        <v>407</v>
      </c>
      <c r="D389" s="10" t="s">
        <v>219</v>
      </c>
      <c r="E389" s="10" t="s">
        <v>74</v>
      </c>
      <c r="F389" s="571" t="s">
        <v>34</v>
      </c>
      <c r="G389" s="572" t="s">
        <v>25</v>
      </c>
      <c r="H389" s="572" t="s">
        <v>32</v>
      </c>
      <c r="I389" s="573" t="s">
        <v>43</v>
      </c>
      <c r="J389" s="10" t="s">
        <v>53</v>
      </c>
      <c r="K389" s="26">
        <v>16.899999999999999</v>
      </c>
      <c r="L389" s="26">
        <f>M389-K389</f>
        <v>0</v>
      </c>
      <c r="M389" s="26">
        <v>16.899999999999999</v>
      </c>
      <c r="N389" s="26">
        <v>16.8</v>
      </c>
    </row>
    <row r="390" spans="1:14" s="121" customFormat="1" ht="36" x14ac:dyDescent="0.35">
      <c r="A390" s="11"/>
      <c r="B390" s="79" t="s">
        <v>437</v>
      </c>
      <c r="C390" s="25" t="s">
        <v>407</v>
      </c>
      <c r="D390" s="10" t="s">
        <v>219</v>
      </c>
      <c r="E390" s="10" t="s">
        <v>74</v>
      </c>
      <c r="F390" s="571" t="s">
        <v>34</v>
      </c>
      <c r="G390" s="572" t="s">
        <v>25</v>
      </c>
      <c r="H390" s="572" t="s">
        <v>32</v>
      </c>
      <c r="I390" s="573" t="s">
        <v>86</v>
      </c>
      <c r="J390" s="10"/>
      <c r="K390" s="26">
        <f>K391+K392+K394+K393</f>
        <v>47560.7</v>
      </c>
      <c r="L390" s="26">
        <f>L391+L392+L394+L393</f>
        <v>0</v>
      </c>
      <c r="M390" s="26">
        <v>47560.7</v>
      </c>
      <c r="N390" s="26">
        <v>47980.5</v>
      </c>
    </row>
    <row r="391" spans="1:14" s="121" customFormat="1" ht="108" x14ac:dyDescent="0.35">
      <c r="A391" s="11"/>
      <c r="B391" s="24" t="s">
        <v>44</v>
      </c>
      <c r="C391" s="25" t="s">
        <v>407</v>
      </c>
      <c r="D391" s="10" t="s">
        <v>219</v>
      </c>
      <c r="E391" s="10" t="s">
        <v>74</v>
      </c>
      <c r="F391" s="571" t="s">
        <v>34</v>
      </c>
      <c r="G391" s="572" t="s">
        <v>25</v>
      </c>
      <c r="H391" s="572" t="s">
        <v>32</v>
      </c>
      <c r="I391" s="573" t="s">
        <v>86</v>
      </c>
      <c r="J391" s="10" t="s">
        <v>45</v>
      </c>
      <c r="K391" s="26">
        <v>28006.9</v>
      </c>
      <c r="L391" s="26">
        <f>M391-K391</f>
        <v>0</v>
      </c>
      <c r="M391" s="26">
        <v>28006.9</v>
      </c>
      <c r="N391" s="26">
        <v>28006.9</v>
      </c>
    </row>
    <row r="392" spans="1:14" s="121" customFormat="1" ht="54" x14ac:dyDescent="0.35">
      <c r="A392" s="11"/>
      <c r="B392" s="24" t="s">
        <v>50</v>
      </c>
      <c r="C392" s="25" t="s">
        <v>407</v>
      </c>
      <c r="D392" s="10" t="s">
        <v>219</v>
      </c>
      <c r="E392" s="10" t="s">
        <v>74</v>
      </c>
      <c r="F392" s="571" t="s">
        <v>34</v>
      </c>
      <c r="G392" s="572" t="s">
        <v>25</v>
      </c>
      <c r="H392" s="572" t="s">
        <v>32</v>
      </c>
      <c r="I392" s="573" t="s">
        <v>86</v>
      </c>
      <c r="J392" s="10" t="s">
        <v>51</v>
      </c>
      <c r="K392" s="26">
        <v>2651.3</v>
      </c>
      <c r="L392" s="26">
        <f>M392-K392</f>
        <v>0</v>
      </c>
      <c r="M392" s="26">
        <v>2651.3</v>
      </c>
      <c r="N392" s="26">
        <v>3071.4</v>
      </c>
    </row>
    <row r="393" spans="1:14" s="121" customFormat="1" ht="54" x14ac:dyDescent="0.35">
      <c r="A393" s="11"/>
      <c r="B393" s="24" t="s">
        <v>71</v>
      </c>
      <c r="C393" s="25" t="s">
        <v>407</v>
      </c>
      <c r="D393" s="10" t="s">
        <v>219</v>
      </c>
      <c r="E393" s="10" t="s">
        <v>74</v>
      </c>
      <c r="F393" s="571" t="s">
        <v>34</v>
      </c>
      <c r="G393" s="572" t="s">
        <v>25</v>
      </c>
      <c r="H393" s="572" t="s">
        <v>32</v>
      </c>
      <c r="I393" s="573" t="s">
        <v>86</v>
      </c>
      <c r="J393" s="10" t="s">
        <v>72</v>
      </c>
      <c r="K393" s="26">
        <v>16896.7</v>
      </c>
      <c r="L393" s="26">
        <f>M393-K393</f>
        <v>0</v>
      </c>
      <c r="M393" s="26">
        <v>16896.7</v>
      </c>
      <c r="N393" s="26">
        <v>16896.7</v>
      </c>
    </row>
    <row r="394" spans="1:14" s="121" customFormat="1" ht="18" x14ac:dyDescent="0.35">
      <c r="A394" s="11"/>
      <c r="B394" s="24" t="s">
        <v>52</v>
      </c>
      <c r="C394" s="25" t="s">
        <v>407</v>
      </c>
      <c r="D394" s="10" t="s">
        <v>219</v>
      </c>
      <c r="E394" s="10" t="s">
        <v>74</v>
      </c>
      <c r="F394" s="571" t="s">
        <v>34</v>
      </c>
      <c r="G394" s="572" t="s">
        <v>25</v>
      </c>
      <c r="H394" s="572" t="s">
        <v>32</v>
      </c>
      <c r="I394" s="573" t="s">
        <v>86</v>
      </c>
      <c r="J394" s="10" t="s">
        <v>53</v>
      </c>
      <c r="K394" s="26">
        <v>5.8</v>
      </c>
      <c r="L394" s="26">
        <f>M394-K394</f>
        <v>0</v>
      </c>
      <c r="M394" s="26">
        <v>5.8</v>
      </c>
      <c r="N394" s="26">
        <v>5.5</v>
      </c>
    </row>
    <row r="395" spans="1:14" s="121" customFormat="1" ht="108" x14ac:dyDescent="0.35">
      <c r="A395" s="11"/>
      <c r="B395" s="24" t="s">
        <v>334</v>
      </c>
      <c r="C395" s="25" t="s">
        <v>407</v>
      </c>
      <c r="D395" s="10" t="s">
        <v>219</v>
      </c>
      <c r="E395" s="10" t="s">
        <v>74</v>
      </c>
      <c r="F395" s="571" t="s">
        <v>34</v>
      </c>
      <c r="G395" s="572" t="s">
        <v>25</v>
      </c>
      <c r="H395" s="572" t="s">
        <v>32</v>
      </c>
      <c r="I395" s="573" t="s">
        <v>258</v>
      </c>
      <c r="J395" s="10"/>
      <c r="K395" s="26">
        <f>K396</f>
        <v>6189.9</v>
      </c>
      <c r="L395" s="26">
        <f>L396</f>
        <v>0</v>
      </c>
      <c r="M395" s="26">
        <v>6189.9</v>
      </c>
      <c r="N395" s="26">
        <v>6189.9</v>
      </c>
    </row>
    <row r="396" spans="1:14" s="121" customFormat="1" ht="108" x14ac:dyDescent="0.35">
      <c r="A396" s="11"/>
      <c r="B396" s="24" t="s">
        <v>44</v>
      </c>
      <c r="C396" s="25" t="s">
        <v>407</v>
      </c>
      <c r="D396" s="10" t="s">
        <v>219</v>
      </c>
      <c r="E396" s="10" t="s">
        <v>74</v>
      </c>
      <c r="F396" s="571" t="s">
        <v>34</v>
      </c>
      <c r="G396" s="572" t="s">
        <v>25</v>
      </c>
      <c r="H396" s="572" t="s">
        <v>32</v>
      </c>
      <c r="I396" s="573" t="s">
        <v>258</v>
      </c>
      <c r="J396" s="10" t="s">
        <v>45</v>
      </c>
      <c r="K396" s="26">
        <v>6189.9</v>
      </c>
      <c r="L396" s="26">
        <f>M396-K396</f>
        <v>0</v>
      </c>
      <c r="M396" s="26">
        <v>6189.9</v>
      </c>
      <c r="N396" s="26">
        <v>6189.9</v>
      </c>
    </row>
    <row r="397" spans="1:14" s="121" customFormat="1" ht="18" x14ac:dyDescent="0.35">
      <c r="A397" s="11"/>
      <c r="B397" s="29" t="s">
        <v>114</v>
      </c>
      <c r="C397" s="25" t="s">
        <v>407</v>
      </c>
      <c r="D397" s="10" t="s">
        <v>99</v>
      </c>
      <c r="E397" s="10"/>
      <c r="F397" s="571"/>
      <c r="G397" s="572"/>
      <c r="H397" s="572"/>
      <c r="I397" s="573"/>
      <c r="J397" s="10"/>
      <c r="K397" s="26">
        <f t="shared" ref="K397:N398" si="58">K398</f>
        <v>5452.5</v>
      </c>
      <c r="L397" s="26">
        <f t="shared" si="58"/>
        <v>0</v>
      </c>
      <c r="M397" s="26">
        <v>5452.5</v>
      </c>
      <c r="N397" s="26">
        <v>5452.5</v>
      </c>
    </row>
    <row r="398" spans="1:14" s="121" customFormat="1" ht="18" x14ac:dyDescent="0.35">
      <c r="A398" s="11"/>
      <c r="B398" s="29" t="s">
        <v>188</v>
      </c>
      <c r="C398" s="25" t="s">
        <v>407</v>
      </c>
      <c r="D398" s="10" t="s">
        <v>99</v>
      </c>
      <c r="E398" s="10" t="s">
        <v>47</v>
      </c>
      <c r="F398" s="571"/>
      <c r="G398" s="572"/>
      <c r="H398" s="572"/>
      <c r="I398" s="573"/>
      <c r="J398" s="10"/>
      <c r="K398" s="26">
        <f t="shared" si="58"/>
        <v>5452.5</v>
      </c>
      <c r="L398" s="26">
        <f t="shared" si="58"/>
        <v>0</v>
      </c>
      <c r="M398" s="26">
        <v>5452.5</v>
      </c>
      <c r="N398" s="26">
        <v>5452.5</v>
      </c>
    </row>
    <row r="399" spans="1:14" s="121" customFormat="1" ht="54" x14ac:dyDescent="0.35">
      <c r="A399" s="11"/>
      <c r="B399" s="24" t="s">
        <v>200</v>
      </c>
      <c r="C399" s="25" t="s">
        <v>407</v>
      </c>
      <c r="D399" s="10" t="s">
        <v>99</v>
      </c>
      <c r="E399" s="10" t="s">
        <v>47</v>
      </c>
      <c r="F399" s="571" t="s">
        <v>34</v>
      </c>
      <c r="G399" s="572" t="s">
        <v>37</v>
      </c>
      <c r="H399" s="572" t="s">
        <v>38</v>
      </c>
      <c r="I399" s="573" t="s">
        <v>39</v>
      </c>
      <c r="J399" s="10"/>
      <c r="K399" s="26">
        <f t="shared" ref="K399:N401" si="59">K400</f>
        <v>5452.5</v>
      </c>
      <c r="L399" s="26">
        <f t="shared" si="59"/>
        <v>0</v>
      </c>
      <c r="M399" s="26">
        <v>5452.5</v>
      </c>
      <c r="N399" s="26">
        <v>5452.5</v>
      </c>
    </row>
    <row r="400" spans="1:14" s="121" customFormat="1" ht="36" x14ac:dyDescent="0.35">
      <c r="A400" s="11"/>
      <c r="B400" s="24" t="s">
        <v>201</v>
      </c>
      <c r="C400" s="25" t="s">
        <v>407</v>
      </c>
      <c r="D400" s="10" t="s">
        <v>99</v>
      </c>
      <c r="E400" s="10" t="s">
        <v>47</v>
      </c>
      <c r="F400" s="571" t="s">
        <v>34</v>
      </c>
      <c r="G400" s="572" t="s">
        <v>40</v>
      </c>
      <c r="H400" s="572" t="s">
        <v>38</v>
      </c>
      <c r="I400" s="573" t="s">
        <v>39</v>
      </c>
      <c r="J400" s="10"/>
      <c r="K400" s="26">
        <f t="shared" si="59"/>
        <v>5452.5</v>
      </c>
      <c r="L400" s="26">
        <f t="shared" si="59"/>
        <v>0</v>
      </c>
      <c r="M400" s="26">
        <v>5452.5</v>
      </c>
      <c r="N400" s="26">
        <v>5452.5</v>
      </c>
    </row>
    <row r="401" spans="1:14" s="121" customFormat="1" ht="36" x14ac:dyDescent="0.35">
      <c r="A401" s="11"/>
      <c r="B401" s="24" t="s">
        <v>255</v>
      </c>
      <c r="C401" s="25" t="s">
        <v>407</v>
      </c>
      <c r="D401" s="10" t="s">
        <v>99</v>
      </c>
      <c r="E401" s="10" t="s">
        <v>47</v>
      </c>
      <c r="F401" s="571" t="s">
        <v>34</v>
      </c>
      <c r="G401" s="572" t="s">
        <v>40</v>
      </c>
      <c r="H401" s="572" t="s">
        <v>32</v>
      </c>
      <c r="I401" s="573" t="s">
        <v>39</v>
      </c>
      <c r="J401" s="10"/>
      <c r="K401" s="26">
        <f t="shared" si="59"/>
        <v>5452.5</v>
      </c>
      <c r="L401" s="26">
        <f t="shared" si="59"/>
        <v>0</v>
      </c>
      <c r="M401" s="26">
        <v>5452.5</v>
      </c>
      <c r="N401" s="26">
        <v>5452.5</v>
      </c>
    </row>
    <row r="402" spans="1:14" s="121" customFormat="1" ht="133.5" customHeight="1" x14ac:dyDescent="0.35">
      <c r="A402" s="11"/>
      <c r="B402" s="24" t="s">
        <v>271</v>
      </c>
      <c r="C402" s="25" t="s">
        <v>407</v>
      </c>
      <c r="D402" s="10" t="s">
        <v>99</v>
      </c>
      <c r="E402" s="10" t="s">
        <v>47</v>
      </c>
      <c r="F402" s="571" t="s">
        <v>34</v>
      </c>
      <c r="G402" s="572" t="s">
        <v>40</v>
      </c>
      <c r="H402" s="572" t="s">
        <v>32</v>
      </c>
      <c r="I402" s="573" t="s">
        <v>272</v>
      </c>
      <c r="J402" s="10"/>
      <c r="K402" s="26">
        <f>K403+K404</f>
        <v>5452.5</v>
      </c>
      <c r="L402" s="26">
        <f>L403+L404</f>
        <v>0</v>
      </c>
      <c r="M402" s="26">
        <v>5452.5</v>
      </c>
      <c r="N402" s="26">
        <v>5452.5</v>
      </c>
    </row>
    <row r="403" spans="1:14" s="121" customFormat="1" ht="54" x14ac:dyDescent="0.35">
      <c r="A403" s="11"/>
      <c r="B403" s="24" t="s">
        <v>50</v>
      </c>
      <c r="C403" s="25" t="s">
        <v>407</v>
      </c>
      <c r="D403" s="10" t="s">
        <v>99</v>
      </c>
      <c r="E403" s="10" t="s">
        <v>47</v>
      </c>
      <c r="F403" s="571" t="s">
        <v>34</v>
      </c>
      <c r="G403" s="572" t="s">
        <v>40</v>
      </c>
      <c r="H403" s="572" t="s">
        <v>32</v>
      </c>
      <c r="I403" s="573" t="s">
        <v>272</v>
      </c>
      <c r="J403" s="10" t="s">
        <v>51</v>
      </c>
      <c r="K403" s="26">
        <v>80.5</v>
      </c>
      <c r="L403" s="26">
        <f>M403-K403</f>
        <v>0</v>
      </c>
      <c r="M403" s="26">
        <v>80.5</v>
      </c>
      <c r="N403" s="26">
        <v>80.5</v>
      </c>
    </row>
    <row r="404" spans="1:14" s="121" customFormat="1" ht="36" x14ac:dyDescent="0.35">
      <c r="A404" s="11"/>
      <c r="B404" s="28" t="s">
        <v>115</v>
      </c>
      <c r="C404" s="25" t="s">
        <v>407</v>
      </c>
      <c r="D404" s="10" t="s">
        <v>99</v>
      </c>
      <c r="E404" s="10" t="s">
        <v>47</v>
      </c>
      <c r="F404" s="571" t="s">
        <v>34</v>
      </c>
      <c r="G404" s="572" t="s">
        <v>40</v>
      </c>
      <c r="H404" s="572" t="s">
        <v>32</v>
      </c>
      <c r="I404" s="573" t="s">
        <v>272</v>
      </c>
      <c r="J404" s="10" t="s">
        <v>116</v>
      </c>
      <c r="K404" s="26">
        <v>5372</v>
      </c>
      <c r="L404" s="26">
        <f>M404-K404</f>
        <v>0</v>
      </c>
      <c r="M404" s="26">
        <v>5372</v>
      </c>
      <c r="N404" s="26">
        <v>5372</v>
      </c>
    </row>
    <row r="405" spans="1:14" s="123" customFormat="1" ht="18" x14ac:dyDescent="0.35">
      <c r="A405" s="11"/>
      <c r="B405" s="24"/>
      <c r="C405" s="25"/>
      <c r="D405" s="10"/>
      <c r="E405" s="10"/>
      <c r="F405" s="571"/>
      <c r="G405" s="572"/>
      <c r="H405" s="572"/>
      <c r="I405" s="573"/>
      <c r="J405" s="10"/>
      <c r="K405" s="26"/>
      <c r="L405" s="26"/>
      <c r="M405" s="26"/>
      <c r="N405" s="26"/>
    </row>
    <row r="406" spans="1:14" s="117" customFormat="1" ht="52.2" x14ac:dyDescent="0.3">
      <c r="A406" s="116">
        <v>6</v>
      </c>
      <c r="B406" s="154" t="s">
        <v>7</v>
      </c>
      <c r="C406" s="19" t="s">
        <v>301</v>
      </c>
      <c r="D406" s="20"/>
      <c r="E406" s="20"/>
      <c r="F406" s="21"/>
      <c r="G406" s="22"/>
      <c r="H406" s="22"/>
      <c r="I406" s="23"/>
      <c r="J406" s="20"/>
      <c r="K406" s="40">
        <f>K414+K435+K407</f>
        <v>93411.000000000015</v>
      </c>
      <c r="L406" s="40">
        <f>L414+L435+L407</f>
        <v>0</v>
      </c>
      <c r="M406" s="40">
        <v>93411.000000000015</v>
      </c>
      <c r="N406" s="40">
        <v>102079.3</v>
      </c>
    </row>
    <row r="407" spans="1:14" s="117" customFormat="1" ht="18" x14ac:dyDescent="0.35">
      <c r="A407" s="116"/>
      <c r="B407" s="24" t="s">
        <v>31</v>
      </c>
      <c r="C407" s="25" t="s">
        <v>301</v>
      </c>
      <c r="D407" s="35" t="s">
        <v>32</v>
      </c>
      <c r="E407" s="20"/>
      <c r="F407" s="21"/>
      <c r="G407" s="22"/>
      <c r="H407" s="22"/>
      <c r="I407" s="23"/>
      <c r="J407" s="20"/>
      <c r="K407" s="224">
        <f t="shared" ref="K407:M411" si="60">K408</f>
        <v>53.3</v>
      </c>
      <c r="L407" s="224">
        <f t="shared" si="60"/>
        <v>0</v>
      </c>
      <c r="M407" s="224">
        <v>53.3</v>
      </c>
      <c r="N407" s="224">
        <v>53.3</v>
      </c>
    </row>
    <row r="408" spans="1:14" s="117" customFormat="1" ht="18" x14ac:dyDescent="0.35">
      <c r="A408" s="116"/>
      <c r="B408" s="24" t="s">
        <v>65</v>
      </c>
      <c r="C408" s="25" t="s">
        <v>301</v>
      </c>
      <c r="D408" s="35" t="s">
        <v>32</v>
      </c>
      <c r="E408" s="35" t="s">
        <v>66</v>
      </c>
      <c r="F408" s="21"/>
      <c r="G408" s="22"/>
      <c r="H408" s="22"/>
      <c r="I408" s="23"/>
      <c r="J408" s="20"/>
      <c r="K408" s="224">
        <f t="shared" ref="K408:N409" si="61">K409</f>
        <v>53.3</v>
      </c>
      <c r="L408" s="224">
        <f t="shared" si="61"/>
        <v>0</v>
      </c>
      <c r="M408" s="224">
        <v>53.3</v>
      </c>
      <c r="N408" s="224">
        <v>53.3</v>
      </c>
    </row>
    <row r="409" spans="1:14" s="117" customFormat="1" ht="54" x14ac:dyDescent="0.35">
      <c r="A409" s="116"/>
      <c r="B409" s="30" t="s">
        <v>208</v>
      </c>
      <c r="C409" s="25" t="s">
        <v>301</v>
      </c>
      <c r="D409" s="35" t="s">
        <v>32</v>
      </c>
      <c r="E409" s="35" t="s">
        <v>66</v>
      </c>
      <c r="F409" s="221" t="s">
        <v>58</v>
      </c>
      <c r="G409" s="222" t="s">
        <v>37</v>
      </c>
      <c r="H409" s="222" t="s">
        <v>38</v>
      </c>
      <c r="I409" s="223" t="s">
        <v>39</v>
      </c>
      <c r="J409" s="20"/>
      <c r="K409" s="224">
        <f t="shared" si="61"/>
        <v>53.3</v>
      </c>
      <c r="L409" s="224">
        <f t="shared" si="61"/>
        <v>0</v>
      </c>
      <c r="M409" s="224">
        <v>53.3</v>
      </c>
      <c r="N409" s="224">
        <v>53.3</v>
      </c>
    </row>
    <row r="410" spans="1:14" s="117" customFormat="1" ht="54" x14ac:dyDescent="0.35">
      <c r="A410" s="116"/>
      <c r="B410" s="24" t="s">
        <v>211</v>
      </c>
      <c r="C410" s="25" t="s">
        <v>301</v>
      </c>
      <c r="D410" s="35" t="s">
        <v>32</v>
      </c>
      <c r="E410" s="35" t="s">
        <v>66</v>
      </c>
      <c r="F410" s="221" t="s">
        <v>58</v>
      </c>
      <c r="G410" s="222" t="s">
        <v>25</v>
      </c>
      <c r="H410" s="222" t="s">
        <v>38</v>
      </c>
      <c r="I410" s="223" t="s">
        <v>39</v>
      </c>
      <c r="J410" s="20"/>
      <c r="K410" s="224">
        <f t="shared" si="60"/>
        <v>53.3</v>
      </c>
      <c r="L410" s="224">
        <f t="shared" si="60"/>
        <v>0</v>
      </c>
      <c r="M410" s="224">
        <v>53.3</v>
      </c>
      <c r="N410" s="224">
        <v>53.3</v>
      </c>
    </row>
    <row r="411" spans="1:14" s="117" customFormat="1" ht="36" x14ac:dyDescent="0.35">
      <c r="A411" s="116"/>
      <c r="B411" s="24" t="s">
        <v>340</v>
      </c>
      <c r="C411" s="25" t="s">
        <v>301</v>
      </c>
      <c r="D411" s="35" t="s">
        <v>32</v>
      </c>
      <c r="E411" s="35" t="s">
        <v>66</v>
      </c>
      <c r="F411" s="221" t="s">
        <v>58</v>
      </c>
      <c r="G411" s="222" t="s">
        <v>25</v>
      </c>
      <c r="H411" s="222" t="s">
        <v>34</v>
      </c>
      <c r="I411" s="223" t="s">
        <v>39</v>
      </c>
      <c r="J411" s="20"/>
      <c r="K411" s="224">
        <f t="shared" si="60"/>
        <v>53.3</v>
      </c>
      <c r="L411" s="224">
        <f t="shared" si="60"/>
        <v>0</v>
      </c>
      <c r="M411" s="224">
        <v>53.3</v>
      </c>
      <c r="N411" s="224">
        <v>53.3</v>
      </c>
    </row>
    <row r="412" spans="1:14" s="117" customFormat="1" ht="54" x14ac:dyDescent="0.35">
      <c r="A412" s="116"/>
      <c r="B412" s="24" t="s">
        <v>341</v>
      </c>
      <c r="C412" s="25" t="s">
        <v>301</v>
      </c>
      <c r="D412" s="35" t="s">
        <v>32</v>
      </c>
      <c r="E412" s="35" t="s">
        <v>66</v>
      </c>
      <c r="F412" s="221" t="s">
        <v>58</v>
      </c>
      <c r="G412" s="222" t="s">
        <v>25</v>
      </c>
      <c r="H412" s="222" t="s">
        <v>34</v>
      </c>
      <c r="I412" s="223" t="s">
        <v>100</v>
      </c>
      <c r="J412" s="20"/>
      <c r="K412" s="224">
        <f>K413</f>
        <v>53.3</v>
      </c>
      <c r="L412" s="224">
        <f>L413</f>
        <v>0</v>
      </c>
      <c r="M412" s="224">
        <v>53.3</v>
      </c>
      <c r="N412" s="224">
        <v>53.3</v>
      </c>
    </row>
    <row r="413" spans="1:14" s="117" customFormat="1" ht="54" x14ac:dyDescent="0.35">
      <c r="A413" s="116"/>
      <c r="B413" s="24" t="s">
        <v>50</v>
      </c>
      <c r="C413" s="25" t="s">
        <v>301</v>
      </c>
      <c r="D413" s="35" t="s">
        <v>32</v>
      </c>
      <c r="E413" s="35" t="s">
        <v>66</v>
      </c>
      <c r="F413" s="221" t="s">
        <v>58</v>
      </c>
      <c r="G413" s="222" t="s">
        <v>25</v>
      </c>
      <c r="H413" s="222" t="s">
        <v>34</v>
      </c>
      <c r="I413" s="223" t="s">
        <v>100</v>
      </c>
      <c r="J413" s="35" t="s">
        <v>51</v>
      </c>
      <c r="K413" s="224">
        <v>53.3</v>
      </c>
      <c r="L413" s="26">
        <f>M413-K413</f>
        <v>0</v>
      </c>
      <c r="M413" s="224">
        <v>53.3</v>
      </c>
      <c r="N413" s="224">
        <v>53.3</v>
      </c>
    </row>
    <row r="414" spans="1:14" s="7" customFormat="1" ht="18" x14ac:dyDescent="0.35">
      <c r="A414" s="11"/>
      <c r="B414" s="30" t="s">
        <v>174</v>
      </c>
      <c r="C414" s="25" t="s">
        <v>301</v>
      </c>
      <c r="D414" s="10" t="s">
        <v>219</v>
      </c>
      <c r="E414" s="10"/>
      <c r="F414" s="571"/>
      <c r="G414" s="572"/>
      <c r="H414" s="572"/>
      <c r="I414" s="573"/>
      <c r="J414" s="10"/>
      <c r="K414" s="26">
        <f>K415+K423+K429</f>
        <v>59487.3</v>
      </c>
      <c r="L414" s="26">
        <f>L415+L423+L429</f>
        <v>0</v>
      </c>
      <c r="M414" s="26">
        <v>59487.3</v>
      </c>
      <c r="N414" s="26">
        <v>65127.9</v>
      </c>
    </row>
    <row r="415" spans="1:14" s="117" customFormat="1" ht="18" x14ac:dyDescent="0.35">
      <c r="A415" s="11"/>
      <c r="B415" s="30" t="s">
        <v>338</v>
      </c>
      <c r="C415" s="25" t="s">
        <v>301</v>
      </c>
      <c r="D415" s="10" t="s">
        <v>219</v>
      </c>
      <c r="E415" s="10" t="s">
        <v>58</v>
      </c>
      <c r="F415" s="571"/>
      <c r="G415" s="572"/>
      <c r="H415" s="572"/>
      <c r="I415" s="573"/>
      <c r="J415" s="10"/>
      <c r="K415" s="26">
        <f t="shared" ref="K415:M416" si="62">K416</f>
        <v>58973.3</v>
      </c>
      <c r="L415" s="26">
        <f t="shared" si="62"/>
        <v>0</v>
      </c>
      <c r="M415" s="26">
        <v>58973.3</v>
      </c>
      <c r="N415" s="26">
        <v>64613.9</v>
      </c>
    </row>
    <row r="416" spans="1:14" s="117" customFormat="1" ht="54" x14ac:dyDescent="0.35">
      <c r="A416" s="11"/>
      <c r="B416" s="30" t="s">
        <v>208</v>
      </c>
      <c r="C416" s="25" t="s">
        <v>301</v>
      </c>
      <c r="D416" s="10" t="s">
        <v>219</v>
      </c>
      <c r="E416" s="10" t="s">
        <v>58</v>
      </c>
      <c r="F416" s="571" t="s">
        <v>58</v>
      </c>
      <c r="G416" s="572" t="s">
        <v>37</v>
      </c>
      <c r="H416" s="572" t="s">
        <v>38</v>
      </c>
      <c r="I416" s="573" t="s">
        <v>39</v>
      </c>
      <c r="J416" s="10"/>
      <c r="K416" s="26">
        <f t="shared" si="62"/>
        <v>58973.3</v>
      </c>
      <c r="L416" s="26">
        <f t="shared" si="62"/>
        <v>0</v>
      </c>
      <c r="M416" s="26">
        <v>58973.3</v>
      </c>
      <c r="N416" s="26">
        <v>64613.9</v>
      </c>
    </row>
    <row r="417" spans="1:14" s="117" customFormat="1" ht="72" x14ac:dyDescent="0.35">
      <c r="A417" s="11"/>
      <c r="B417" s="30" t="s">
        <v>209</v>
      </c>
      <c r="C417" s="25" t="s">
        <v>301</v>
      </c>
      <c r="D417" s="10" t="s">
        <v>219</v>
      </c>
      <c r="E417" s="10" t="s">
        <v>58</v>
      </c>
      <c r="F417" s="571" t="s">
        <v>58</v>
      </c>
      <c r="G417" s="572" t="s">
        <v>40</v>
      </c>
      <c r="H417" s="572" t="s">
        <v>38</v>
      </c>
      <c r="I417" s="573" t="s">
        <v>39</v>
      </c>
      <c r="J417" s="10"/>
      <c r="K417" s="26">
        <f t="shared" ref="K417:N419" si="63">K418</f>
        <v>58973.3</v>
      </c>
      <c r="L417" s="26">
        <f t="shared" si="63"/>
        <v>0</v>
      </c>
      <c r="M417" s="26">
        <v>58973.3</v>
      </c>
      <c r="N417" s="26">
        <v>64613.9</v>
      </c>
    </row>
    <row r="418" spans="1:14" s="117" customFormat="1" ht="36" x14ac:dyDescent="0.35">
      <c r="A418" s="11"/>
      <c r="B418" s="30" t="s">
        <v>264</v>
      </c>
      <c r="C418" s="25" t="s">
        <v>301</v>
      </c>
      <c r="D418" s="10" t="s">
        <v>219</v>
      </c>
      <c r="E418" s="10" t="s">
        <v>58</v>
      </c>
      <c r="F418" s="571" t="s">
        <v>58</v>
      </c>
      <c r="G418" s="572" t="s">
        <v>40</v>
      </c>
      <c r="H418" s="572" t="s">
        <v>32</v>
      </c>
      <c r="I418" s="573" t="s">
        <v>39</v>
      </c>
      <c r="J418" s="10"/>
      <c r="K418" s="26">
        <f>K419+K421</f>
        <v>58973.3</v>
      </c>
      <c r="L418" s="26">
        <f>L419+L421</f>
        <v>0</v>
      </c>
      <c r="M418" s="26">
        <v>58973.3</v>
      </c>
      <c r="N418" s="26">
        <v>64613.9</v>
      </c>
    </row>
    <row r="419" spans="1:14" s="117" customFormat="1" ht="36" x14ac:dyDescent="0.35">
      <c r="A419" s="11"/>
      <c r="B419" s="79" t="s">
        <v>437</v>
      </c>
      <c r="C419" s="25" t="s">
        <v>301</v>
      </c>
      <c r="D419" s="10" t="s">
        <v>219</v>
      </c>
      <c r="E419" s="10" t="s">
        <v>58</v>
      </c>
      <c r="F419" s="571" t="s">
        <v>58</v>
      </c>
      <c r="G419" s="572" t="s">
        <v>40</v>
      </c>
      <c r="H419" s="572" t="s">
        <v>32</v>
      </c>
      <c r="I419" s="573" t="s">
        <v>86</v>
      </c>
      <c r="J419" s="10"/>
      <c r="K419" s="26">
        <f t="shared" si="63"/>
        <v>56990</v>
      </c>
      <c r="L419" s="26">
        <f t="shared" si="63"/>
        <v>0</v>
      </c>
      <c r="M419" s="26">
        <v>56990</v>
      </c>
      <c r="N419" s="26">
        <v>62630.6</v>
      </c>
    </row>
    <row r="420" spans="1:14" s="7" customFormat="1" ht="54" x14ac:dyDescent="0.35">
      <c r="A420" s="11"/>
      <c r="B420" s="28" t="s">
        <v>71</v>
      </c>
      <c r="C420" s="25" t="s">
        <v>301</v>
      </c>
      <c r="D420" s="10" t="s">
        <v>219</v>
      </c>
      <c r="E420" s="10" t="s">
        <v>58</v>
      </c>
      <c r="F420" s="571" t="s">
        <v>58</v>
      </c>
      <c r="G420" s="572" t="s">
        <v>40</v>
      </c>
      <c r="H420" s="572" t="s">
        <v>32</v>
      </c>
      <c r="I420" s="573" t="s">
        <v>86</v>
      </c>
      <c r="J420" s="10" t="s">
        <v>72</v>
      </c>
      <c r="K420" s="26">
        <v>56990</v>
      </c>
      <c r="L420" s="26">
        <f>M420-K420</f>
        <v>0</v>
      </c>
      <c r="M420" s="26">
        <v>56990</v>
      </c>
      <c r="N420" s="26">
        <v>62630.6</v>
      </c>
    </row>
    <row r="421" spans="1:14" s="7" customFormat="1" ht="36" x14ac:dyDescent="0.35">
      <c r="A421" s="11"/>
      <c r="B421" s="28" t="s">
        <v>302</v>
      </c>
      <c r="C421" s="25" t="s">
        <v>301</v>
      </c>
      <c r="D421" s="10" t="s">
        <v>219</v>
      </c>
      <c r="E421" s="10" t="s">
        <v>58</v>
      </c>
      <c r="F421" s="571" t="s">
        <v>58</v>
      </c>
      <c r="G421" s="572" t="s">
        <v>40</v>
      </c>
      <c r="H421" s="572" t="s">
        <v>32</v>
      </c>
      <c r="I421" s="573" t="s">
        <v>303</v>
      </c>
      <c r="J421" s="10"/>
      <c r="K421" s="26">
        <f>K422</f>
        <v>1983.3</v>
      </c>
      <c r="L421" s="26">
        <f>L422</f>
        <v>0</v>
      </c>
      <c r="M421" s="26">
        <v>1983.3</v>
      </c>
      <c r="N421" s="26">
        <v>1983.3</v>
      </c>
    </row>
    <row r="422" spans="1:14" s="7" customFormat="1" ht="54" x14ac:dyDescent="0.35">
      <c r="A422" s="11"/>
      <c r="B422" s="28" t="s">
        <v>71</v>
      </c>
      <c r="C422" s="25" t="s">
        <v>301</v>
      </c>
      <c r="D422" s="10" t="s">
        <v>219</v>
      </c>
      <c r="E422" s="10" t="s">
        <v>58</v>
      </c>
      <c r="F422" s="571" t="s">
        <v>58</v>
      </c>
      <c r="G422" s="572" t="s">
        <v>40</v>
      </c>
      <c r="H422" s="572" t="s">
        <v>32</v>
      </c>
      <c r="I422" s="573" t="s">
        <v>303</v>
      </c>
      <c r="J422" s="10" t="s">
        <v>72</v>
      </c>
      <c r="K422" s="26">
        <v>1983.3</v>
      </c>
      <c r="L422" s="26">
        <f>M422-K422</f>
        <v>0</v>
      </c>
      <c r="M422" s="26">
        <v>1983.3</v>
      </c>
      <c r="N422" s="26">
        <v>1983.3</v>
      </c>
    </row>
    <row r="423" spans="1:14" s="7" customFormat="1" ht="18" x14ac:dyDescent="0.35">
      <c r="A423" s="11"/>
      <c r="B423" s="28" t="s">
        <v>442</v>
      </c>
      <c r="C423" s="25" t="s">
        <v>301</v>
      </c>
      <c r="D423" s="10" t="s">
        <v>219</v>
      </c>
      <c r="E423" s="10" t="s">
        <v>219</v>
      </c>
      <c r="F423" s="571"/>
      <c r="G423" s="572"/>
      <c r="H423" s="572"/>
      <c r="I423" s="573"/>
      <c r="J423" s="10"/>
      <c r="K423" s="26">
        <f t="shared" ref="K423:M427" si="64">K424</f>
        <v>289</v>
      </c>
      <c r="L423" s="26">
        <f t="shared" si="64"/>
        <v>0</v>
      </c>
      <c r="M423" s="26">
        <v>289</v>
      </c>
      <c r="N423" s="26">
        <v>289</v>
      </c>
    </row>
    <row r="424" spans="1:14" s="7" customFormat="1" ht="54" x14ac:dyDescent="0.35">
      <c r="A424" s="11"/>
      <c r="B424" s="30" t="s">
        <v>208</v>
      </c>
      <c r="C424" s="25" t="s">
        <v>301</v>
      </c>
      <c r="D424" s="10" t="s">
        <v>219</v>
      </c>
      <c r="E424" s="10" t="s">
        <v>219</v>
      </c>
      <c r="F424" s="571" t="s">
        <v>58</v>
      </c>
      <c r="G424" s="572" t="s">
        <v>37</v>
      </c>
      <c r="H424" s="572" t="s">
        <v>38</v>
      </c>
      <c r="I424" s="573" t="s">
        <v>39</v>
      </c>
      <c r="J424" s="10"/>
      <c r="K424" s="26">
        <f t="shared" si="64"/>
        <v>289</v>
      </c>
      <c r="L424" s="26">
        <f t="shared" si="64"/>
        <v>0</v>
      </c>
      <c r="M424" s="26">
        <v>289</v>
      </c>
      <c r="N424" s="26">
        <v>289</v>
      </c>
    </row>
    <row r="425" spans="1:14" s="7" customFormat="1" ht="72" x14ac:dyDescent="0.35">
      <c r="A425" s="11"/>
      <c r="B425" s="30" t="s">
        <v>209</v>
      </c>
      <c r="C425" s="25" t="s">
        <v>301</v>
      </c>
      <c r="D425" s="10" t="s">
        <v>219</v>
      </c>
      <c r="E425" s="10" t="s">
        <v>219</v>
      </c>
      <c r="F425" s="571" t="s">
        <v>58</v>
      </c>
      <c r="G425" s="572" t="s">
        <v>40</v>
      </c>
      <c r="H425" s="572" t="s">
        <v>38</v>
      </c>
      <c r="I425" s="573" t="s">
        <v>39</v>
      </c>
      <c r="J425" s="10"/>
      <c r="K425" s="26">
        <f t="shared" si="64"/>
        <v>289</v>
      </c>
      <c r="L425" s="26">
        <f t="shared" si="64"/>
        <v>0</v>
      </c>
      <c r="M425" s="26">
        <v>289</v>
      </c>
      <c r="N425" s="26">
        <v>289</v>
      </c>
    </row>
    <row r="426" spans="1:14" s="7" customFormat="1" ht="58.5" customHeight="1" x14ac:dyDescent="0.35">
      <c r="A426" s="11"/>
      <c r="B426" s="28" t="s">
        <v>269</v>
      </c>
      <c r="C426" s="25" t="s">
        <v>301</v>
      </c>
      <c r="D426" s="10" t="s">
        <v>219</v>
      </c>
      <c r="E426" s="10" t="s">
        <v>219</v>
      </c>
      <c r="F426" s="571" t="s">
        <v>58</v>
      </c>
      <c r="G426" s="572" t="s">
        <v>40</v>
      </c>
      <c r="H426" s="572" t="s">
        <v>60</v>
      </c>
      <c r="I426" s="573" t="s">
        <v>39</v>
      </c>
      <c r="J426" s="10"/>
      <c r="K426" s="26">
        <f t="shared" si="64"/>
        <v>289</v>
      </c>
      <c r="L426" s="26">
        <f t="shared" si="64"/>
        <v>0</v>
      </c>
      <c r="M426" s="26">
        <v>289</v>
      </c>
      <c r="N426" s="26">
        <v>289</v>
      </c>
    </row>
    <row r="427" spans="1:14" s="7" customFormat="1" ht="36" x14ac:dyDescent="0.35">
      <c r="A427" s="11"/>
      <c r="B427" s="28" t="s">
        <v>444</v>
      </c>
      <c r="C427" s="25" t="s">
        <v>301</v>
      </c>
      <c r="D427" s="10" t="s">
        <v>219</v>
      </c>
      <c r="E427" s="10" t="s">
        <v>219</v>
      </c>
      <c r="F427" s="571" t="s">
        <v>58</v>
      </c>
      <c r="G427" s="572" t="s">
        <v>40</v>
      </c>
      <c r="H427" s="572" t="s">
        <v>60</v>
      </c>
      <c r="I427" s="573" t="s">
        <v>443</v>
      </c>
      <c r="J427" s="10"/>
      <c r="K427" s="26">
        <f t="shared" si="64"/>
        <v>289</v>
      </c>
      <c r="L427" s="26">
        <f t="shared" si="64"/>
        <v>0</v>
      </c>
      <c r="M427" s="26">
        <v>289</v>
      </c>
      <c r="N427" s="26">
        <v>289</v>
      </c>
    </row>
    <row r="428" spans="1:14" s="7" customFormat="1" ht="54" x14ac:dyDescent="0.35">
      <c r="A428" s="11"/>
      <c r="B428" s="28" t="s">
        <v>71</v>
      </c>
      <c r="C428" s="25" t="s">
        <v>301</v>
      </c>
      <c r="D428" s="10" t="s">
        <v>219</v>
      </c>
      <c r="E428" s="10" t="s">
        <v>219</v>
      </c>
      <c r="F428" s="571" t="s">
        <v>58</v>
      </c>
      <c r="G428" s="572" t="s">
        <v>40</v>
      </c>
      <c r="H428" s="572" t="s">
        <v>60</v>
      </c>
      <c r="I428" s="573" t="s">
        <v>443</v>
      </c>
      <c r="J428" s="10" t="s">
        <v>72</v>
      </c>
      <c r="K428" s="26">
        <v>289</v>
      </c>
      <c r="L428" s="26">
        <f>M428-K428</f>
        <v>0</v>
      </c>
      <c r="M428" s="26">
        <v>289</v>
      </c>
      <c r="N428" s="26">
        <v>289</v>
      </c>
    </row>
    <row r="429" spans="1:14" s="7" customFormat="1" ht="18" x14ac:dyDescent="0.35">
      <c r="A429" s="11"/>
      <c r="B429" s="24" t="s">
        <v>181</v>
      </c>
      <c r="C429" s="25" t="s">
        <v>301</v>
      </c>
      <c r="D429" s="10" t="s">
        <v>219</v>
      </c>
      <c r="E429" s="10" t="s">
        <v>74</v>
      </c>
      <c r="F429" s="571"/>
      <c r="G429" s="572"/>
      <c r="H429" s="572"/>
      <c r="I429" s="573"/>
      <c r="J429" s="10"/>
      <c r="K429" s="26">
        <f t="shared" ref="K429:N433" si="65">K430</f>
        <v>225</v>
      </c>
      <c r="L429" s="26">
        <f t="shared" si="65"/>
        <v>0</v>
      </c>
      <c r="M429" s="26">
        <v>225</v>
      </c>
      <c r="N429" s="26">
        <v>225</v>
      </c>
    </row>
    <row r="430" spans="1:14" s="7" customFormat="1" ht="54" x14ac:dyDescent="0.35">
      <c r="A430" s="11"/>
      <c r="B430" s="30" t="s">
        <v>208</v>
      </c>
      <c r="C430" s="25" t="s">
        <v>301</v>
      </c>
      <c r="D430" s="10" t="s">
        <v>219</v>
      </c>
      <c r="E430" s="10" t="s">
        <v>74</v>
      </c>
      <c r="F430" s="571" t="s">
        <v>58</v>
      </c>
      <c r="G430" s="572" t="s">
        <v>37</v>
      </c>
      <c r="H430" s="572" t="s">
        <v>38</v>
      </c>
      <c r="I430" s="573" t="s">
        <v>39</v>
      </c>
      <c r="J430" s="10"/>
      <c r="K430" s="26">
        <f t="shared" si="65"/>
        <v>225</v>
      </c>
      <c r="L430" s="26">
        <f t="shared" si="65"/>
        <v>0</v>
      </c>
      <c r="M430" s="26">
        <v>225</v>
      </c>
      <c r="N430" s="26">
        <v>225</v>
      </c>
    </row>
    <row r="431" spans="1:14" s="7" customFormat="1" ht="72" x14ac:dyDescent="0.35">
      <c r="A431" s="11"/>
      <c r="B431" s="30" t="s">
        <v>209</v>
      </c>
      <c r="C431" s="25" t="s">
        <v>301</v>
      </c>
      <c r="D431" s="10" t="s">
        <v>219</v>
      </c>
      <c r="E431" s="10" t="s">
        <v>74</v>
      </c>
      <c r="F431" s="571" t="s">
        <v>58</v>
      </c>
      <c r="G431" s="572" t="s">
        <v>40</v>
      </c>
      <c r="H431" s="572" t="s">
        <v>38</v>
      </c>
      <c r="I431" s="573" t="s">
        <v>39</v>
      </c>
      <c r="J431" s="10"/>
      <c r="K431" s="26">
        <f t="shared" si="65"/>
        <v>225</v>
      </c>
      <c r="L431" s="26">
        <f t="shared" si="65"/>
        <v>0</v>
      </c>
      <c r="M431" s="26">
        <v>225</v>
      </c>
      <c r="N431" s="26">
        <v>225</v>
      </c>
    </row>
    <row r="432" spans="1:14" s="7" customFormat="1" ht="18" x14ac:dyDescent="0.35">
      <c r="A432" s="11"/>
      <c r="B432" s="28" t="s">
        <v>265</v>
      </c>
      <c r="C432" s="25" t="s">
        <v>301</v>
      </c>
      <c r="D432" s="10" t="s">
        <v>219</v>
      </c>
      <c r="E432" s="10" t="s">
        <v>74</v>
      </c>
      <c r="F432" s="571" t="s">
        <v>58</v>
      </c>
      <c r="G432" s="572" t="s">
        <v>40</v>
      </c>
      <c r="H432" s="572" t="s">
        <v>34</v>
      </c>
      <c r="I432" s="573" t="s">
        <v>39</v>
      </c>
      <c r="J432" s="10"/>
      <c r="K432" s="26">
        <f t="shared" si="65"/>
        <v>225</v>
      </c>
      <c r="L432" s="26">
        <f t="shared" si="65"/>
        <v>0</v>
      </c>
      <c r="M432" s="26">
        <v>225</v>
      </c>
      <c r="N432" s="26">
        <v>225</v>
      </c>
    </row>
    <row r="433" spans="1:14" s="7" customFormat="1" ht="36" x14ac:dyDescent="0.35">
      <c r="A433" s="11"/>
      <c r="B433" s="28" t="s">
        <v>206</v>
      </c>
      <c r="C433" s="25" t="s">
        <v>301</v>
      </c>
      <c r="D433" s="10" t="s">
        <v>219</v>
      </c>
      <c r="E433" s="10" t="s">
        <v>74</v>
      </c>
      <c r="F433" s="571" t="s">
        <v>58</v>
      </c>
      <c r="G433" s="572" t="s">
        <v>40</v>
      </c>
      <c r="H433" s="572" t="s">
        <v>34</v>
      </c>
      <c r="I433" s="573" t="s">
        <v>267</v>
      </c>
      <c r="J433" s="10"/>
      <c r="K433" s="26">
        <f t="shared" si="65"/>
        <v>225</v>
      </c>
      <c r="L433" s="26">
        <f t="shared" si="65"/>
        <v>0</v>
      </c>
      <c r="M433" s="26">
        <v>225</v>
      </c>
      <c r="N433" s="26">
        <v>225</v>
      </c>
    </row>
    <row r="434" spans="1:14" s="7" customFormat="1" ht="36" x14ac:dyDescent="0.35">
      <c r="A434" s="11"/>
      <c r="B434" s="28" t="s">
        <v>115</v>
      </c>
      <c r="C434" s="25" t="s">
        <v>301</v>
      </c>
      <c r="D434" s="10" t="s">
        <v>219</v>
      </c>
      <c r="E434" s="10" t="s">
        <v>74</v>
      </c>
      <c r="F434" s="571" t="s">
        <v>58</v>
      </c>
      <c r="G434" s="572" t="s">
        <v>40</v>
      </c>
      <c r="H434" s="572" t="s">
        <v>34</v>
      </c>
      <c r="I434" s="573" t="s">
        <v>267</v>
      </c>
      <c r="J434" s="10" t="s">
        <v>116</v>
      </c>
      <c r="K434" s="26">
        <v>225</v>
      </c>
      <c r="L434" s="26">
        <f>M434-K434</f>
        <v>0</v>
      </c>
      <c r="M434" s="26">
        <v>225</v>
      </c>
      <c r="N434" s="26">
        <v>225</v>
      </c>
    </row>
    <row r="435" spans="1:14" s="7" customFormat="1" ht="18" x14ac:dyDescent="0.35">
      <c r="A435" s="11"/>
      <c r="B435" s="24" t="s">
        <v>183</v>
      </c>
      <c r="C435" s="25" t="s">
        <v>301</v>
      </c>
      <c r="D435" s="10" t="s">
        <v>221</v>
      </c>
      <c r="E435" s="10"/>
      <c r="F435" s="571"/>
      <c r="G435" s="572"/>
      <c r="H435" s="572"/>
      <c r="I435" s="573"/>
      <c r="J435" s="10"/>
      <c r="K435" s="26">
        <f>K436+K454</f>
        <v>33870.400000000001</v>
      </c>
      <c r="L435" s="26">
        <f>L436+L454</f>
        <v>0</v>
      </c>
      <c r="M435" s="26">
        <v>33870.400000000001</v>
      </c>
      <c r="N435" s="26">
        <v>36898.1</v>
      </c>
    </row>
    <row r="436" spans="1:14" s="7" customFormat="1" ht="18" x14ac:dyDescent="0.35">
      <c r="A436" s="11"/>
      <c r="B436" s="24" t="s">
        <v>185</v>
      </c>
      <c r="C436" s="25" t="s">
        <v>301</v>
      </c>
      <c r="D436" s="10" t="s">
        <v>221</v>
      </c>
      <c r="E436" s="10" t="s">
        <v>32</v>
      </c>
      <c r="F436" s="571"/>
      <c r="G436" s="572"/>
      <c r="H436" s="572"/>
      <c r="I436" s="573"/>
      <c r="J436" s="10"/>
      <c r="K436" s="26">
        <f t="shared" ref="K436:N436" si="66">K437</f>
        <v>24617.300000000003</v>
      </c>
      <c r="L436" s="26">
        <f t="shared" si="66"/>
        <v>0</v>
      </c>
      <c r="M436" s="26">
        <v>24617.300000000003</v>
      </c>
      <c r="N436" s="26">
        <v>26988.1</v>
      </c>
    </row>
    <row r="437" spans="1:14" s="7" customFormat="1" ht="54" x14ac:dyDescent="0.35">
      <c r="A437" s="11"/>
      <c r="B437" s="30" t="s">
        <v>208</v>
      </c>
      <c r="C437" s="25" t="s">
        <v>301</v>
      </c>
      <c r="D437" s="10" t="s">
        <v>221</v>
      </c>
      <c r="E437" s="10" t="s">
        <v>32</v>
      </c>
      <c r="F437" s="571" t="s">
        <v>58</v>
      </c>
      <c r="G437" s="572" t="s">
        <v>37</v>
      </c>
      <c r="H437" s="572" t="s">
        <v>38</v>
      </c>
      <c r="I437" s="573" t="s">
        <v>39</v>
      </c>
      <c r="J437" s="10"/>
      <c r="K437" s="26">
        <f>K438+K447</f>
        <v>24617.300000000003</v>
      </c>
      <c r="L437" s="26">
        <f>L438+L447</f>
        <v>0</v>
      </c>
      <c r="M437" s="26">
        <v>24617.300000000003</v>
      </c>
      <c r="N437" s="26">
        <v>26988.1</v>
      </c>
    </row>
    <row r="438" spans="1:14" s="7" customFormat="1" ht="72" x14ac:dyDescent="0.35">
      <c r="A438" s="11"/>
      <c r="B438" s="30" t="s">
        <v>209</v>
      </c>
      <c r="C438" s="25" t="s">
        <v>301</v>
      </c>
      <c r="D438" s="10" t="s">
        <v>221</v>
      </c>
      <c r="E438" s="10" t="s">
        <v>32</v>
      </c>
      <c r="F438" s="34" t="s">
        <v>58</v>
      </c>
      <c r="G438" s="91" t="s">
        <v>40</v>
      </c>
      <c r="H438" s="91" t="s">
        <v>38</v>
      </c>
      <c r="I438" s="92" t="s">
        <v>39</v>
      </c>
      <c r="J438" s="93"/>
      <c r="K438" s="26">
        <f>K439+K442</f>
        <v>24267.800000000003</v>
      </c>
      <c r="L438" s="26">
        <f>L439+L442</f>
        <v>0</v>
      </c>
      <c r="M438" s="26">
        <v>24267.800000000003</v>
      </c>
      <c r="N438" s="26">
        <v>26638.6</v>
      </c>
    </row>
    <row r="439" spans="1:14" s="7" customFormat="1" ht="18" x14ac:dyDescent="0.35">
      <c r="A439" s="11"/>
      <c r="B439" s="24" t="s">
        <v>304</v>
      </c>
      <c r="C439" s="25" t="s">
        <v>301</v>
      </c>
      <c r="D439" s="10" t="s">
        <v>221</v>
      </c>
      <c r="E439" s="10" t="s">
        <v>32</v>
      </c>
      <c r="F439" s="34" t="s">
        <v>58</v>
      </c>
      <c r="G439" s="91" t="s">
        <v>40</v>
      </c>
      <c r="H439" s="91" t="s">
        <v>58</v>
      </c>
      <c r="I439" s="92" t="s">
        <v>39</v>
      </c>
      <c r="J439" s="93"/>
      <c r="K439" s="26">
        <f t="shared" ref="K439:N440" si="67">K440</f>
        <v>11243.5</v>
      </c>
      <c r="L439" s="26">
        <f t="shared" si="67"/>
        <v>0</v>
      </c>
      <c r="M439" s="26">
        <v>11243.5</v>
      </c>
      <c r="N439" s="26">
        <v>12367.9</v>
      </c>
    </row>
    <row r="440" spans="1:14" s="7" customFormat="1" ht="41.25" customHeight="1" x14ac:dyDescent="0.35">
      <c r="A440" s="11"/>
      <c r="B440" s="79" t="s">
        <v>437</v>
      </c>
      <c r="C440" s="25" t="s">
        <v>301</v>
      </c>
      <c r="D440" s="10" t="s">
        <v>221</v>
      </c>
      <c r="E440" s="10" t="s">
        <v>32</v>
      </c>
      <c r="F440" s="34" t="s">
        <v>58</v>
      </c>
      <c r="G440" s="91" t="s">
        <v>40</v>
      </c>
      <c r="H440" s="91" t="s">
        <v>58</v>
      </c>
      <c r="I440" s="92" t="s">
        <v>86</v>
      </c>
      <c r="J440" s="93"/>
      <c r="K440" s="26">
        <f t="shared" si="67"/>
        <v>11243.5</v>
      </c>
      <c r="L440" s="26">
        <f t="shared" si="67"/>
        <v>0</v>
      </c>
      <c r="M440" s="26">
        <v>11243.5</v>
      </c>
      <c r="N440" s="26">
        <v>12367.9</v>
      </c>
    </row>
    <row r="441" spans="1:14" s="7" customFormat="1" ht="54" x14ac:dyDescent="0.35">
      <c r="A441" s="11"/>
      <c r="B441" s="28" t="s">
        <v>71</v>
      </c>
      <c r="C441" s="25" t="s">
        <v>301</v>
      </c>
      <c r="D441" s="10" t="s">
        <v>221</v>
      </c>
      <c r="E441" s="10" t="s">
        <v>32</v>
      </c>
      <c r="F441" s="571" t="s">
        <v>58</v>
      </c>
      <c r="G441" s="572" t="s">
        <v>40</v>
      </c>
      <c r="H441" s="572" t="s">
        <v>58</v>
      </c>
      <c r="I441" s="573" t="s">
        <v>86</v>
      </c>
      <c r="J441" s="10" t="s">
        <v>72</v>
      </c>
      <c r="K441" s="26">
        <v>11243.5</v>
      </c>
      <c r="L441" s="26">
        <f>M441-K441</f>
        <v>0</v>
      </c>
      <c r="M441" s="26">
        <v>11243.5</v>
      </c>
      <c r="N441" s="26">
        <v>12367.9</v>
      </c>
    </row>
    <row r="442" spans="1:14" s="7" customFormat="1" ht="36" x14ac:dyDescent="0.35">
      <c r="A442" s="11"/>
      <c r="B442" s="28" t="s">
        <v>306</v>
      </c>
      <c r="C442" s="25" t="s">
        <v>301</v>
      </c>
      <c r="D442" s="10" t="s">
        <v>221</v>
      </c>
      <c r="E442" s="10" t="s">
        <v>32</v>
      </c>
      <c r="F442" s="34" t="s">
        <v>58</v>
      </c>
      <c r="G442" s="91" t="s">
        <v>40</v>
      </c>
      <c r="H442" s="91" t="s">
        <v>47</v>
      </c>
      <c r="I442" s="573" t="s">
        <v>39</v>
      </c>
      <c r="J442" s="10"/>
      <c r="K442" s="26">
        <f>K443</f>
        <v>13024.300000000001</v>
      </c>
      <c r="L442" s="26">
        <f>L443</f>
        <v>0</v>
      </c>
      <c r="M442" s="26">
        <v>13024.300000000001</v>
      </c>
      <c r="N442" s="26">
        <v>14270.7</v>
      </c>
    </row>
    <row r="443" spans="1:14" s="7" customFormat="1" ht="37.5" customHeight="1" x14ac:dyDescent="0.35">
      <c r="A443" s="11"/>
      <c r="B443" s="79" t="s">
        <v>437</v>
      </c>
      <c r="C443" s="25" t="s">
        <v>301</v>
      </c>
      <c r="D443" s="10" t="s">
        <v>221</v>
      </c>
      <c r="E443" s="10" t="s">
        <v>32</v>
      </c>
      <c r="F443" s="34" t="s">
        <v>58</v>
      </c>
      <c r="G443" s="91" t="s">
        <v>40</v>
      </c>
      <c r="H443" s="91" t="s">
        <v>47</v>
      </c>
      <c r="I443" s="92" t="s">
        <v>86</v>
      </c>
      <c r="J443" s="93"/>
      <c r="K443" s="26">
        <f>K444+K445+K446</f>
        <v>13024.300000000001</v>
      </c>
      <c r="L443" s="26">
        <f>L444+L445+L446</f>
        <v>0</v>
      </c>
      <c r="M443" s="26">
        <v>13024.300000000001</v>
      </c>
      <c r="N443" s="26">
        <v>14270.7</v>
      </c>
    </row>
    <row r="444" spans="1:14" s="7" customFormat="1" ht="108" x14ac:dyDescent="0.35">
      <c r="A444" s="11"/>
      <c r="B444" s="24" t="s">
        <v>44</v>
      </c>
      <c r="C444" s="25" t="s">
        <v>301</v>
      </c>
      <c r="D444" s="10" t="s">
        <v>221</v>
      </c>
      <c r="E444" s="10" t="s">
        <v>32</v>
      </c>
      <c r="F444" s="571" t="s">
        <v>58</v>
      </c>
      <c r="G444" s="572" t="s">
        <v>40</v>
      </c>
      <c r="H444" s="572" t="s">
        <v>47</v>
      </c>
      <c r="I444" s="573" t="s">
        <v>86</v>
      </c>
      <c r="J444" s="10" t="s">
        <v>45</v>
      </c>
      <c r="K444" s="26">
        <v>11895.6</v>
      </c>
      <c r="L444" s="26">
        <f>M444-K444</f>
        <v>0</v>
      </c>
      <c r="M444" s="26">
        <v>11895.6</v>
      </c>
      <c r="N444" s="26">
        <v>11895.6</v>
      </c>
    </row>
    <row r="445" spans="1:14" s="7" customFormat="1" ht="54" x14ac:dyDescent="0.35">
      <c r="A445" s="11"/>
      <c r="B445" s="24" t="s">
        <v>50</v>
      </c>
      <c r="C445" s="25" t="s">
        <v>301</v>
      </c>
      <c r="D445" s="10" t="s">
        <v>221</v>
      </c>
      <c r="E445" s="10" t="s">
        <v>32</v>
      </c>
      <c r="F445" s="571" t="s">
        <v>58</v>
      </c>
      <c r="G445" s="572" t="s">
        <v>40</v>
      </c>
      <c r="H445" s="572" t="s">
        <v>47</v>
      </c>
      <c r="I445" s="573" t="s">
        <v>86</v>
      </c>
      <c r="J445" s="10" t="s">
        <v>51</v>
      </c>
      <c r="K445" s="26">
        <v>1081.7</v>
      </c>
      <c r="L445" s="26">
        <f>M445-K445</f>
        <v>0</v>
      </c>
      <c r="M445" s="26">
        <v>1081.7</v>
      </c>
      <c r="N445" s="26">
        <v>2328.1</v>
      </c>
    </row>
    <row r="446" spans="1:14" s="7" customFormat="1" ht="18" x14ac:dyDescent="0.35">
      <c r="A446" s="11"/>
      <c r="B446" s="24" t="s">
        <v>52</v>
      </c>
      <c r="C446" s="25" t="s">
        <v>301</v>
      </c>
      <c r="D446" s="10" t="s">
        <v>221</v>
      </c>
      <c r="E446" s="10" t="s">
        <v>32</v>
      </c>
      <c r="F446" s="571" t="s">
        <v>58</v>
      </c>
      <c r="G446" s="572" t="s">
        <v>40</v>
      </c>
      <c r="H446" s="572" t="s">
        <v>47</v>
      </c>
      <c r="I446" s="573" t="s">
        <v>86</v>
      </c>
      <c r="J446" s="10" t="s">
        <v>53</v>
      </c>
      <c r="K446" s="26">
        <v>47</v>
      </c>
      <c r="L446" s="26">
        <f>M446-K446</f>
        <v>0</v>
      </c>
      <c r="M446" s="26">
        <v>47</v>
      </c>
      <c r="N446" s="26">
        <v>47</v>
      </c>
    </row>
    <row r="447" spans="1:14" s="7" customFormat="1" ht="54" x14ac:dyDescent="0.35">
      <c r="A447" s="11"/>
      <c r="B447" s="24" t="s">
        <v>315</v>
      </c>
      <c r="C447" s="25" t="s">
        <v>301</v>
      </c>
      <c r="D447" s="10" t="s">
        <v>221</v>
      </c>
      <c r="E447" s="10" t="s">
        <v>32</v>
      </c>
      <c r="F447" s="34" t="s">
        <v>58</v>
      </c>
      <c r="G447" s="91" t="s">
        <v>84</v>
      </c>
      <c r="H447" s="91" t="s">
        <v>38</v>
      </c>
      <c r="I447" s="573" t="s">
        <v>39</v>
      </c>
      <c r="J447" s="10"/>
      <c r="K447" s="26">
        <f t="shared" ref="K447:M452" si="68">K448</f>
        <v>349.5</v>
      </c>
      <c r="L447" s="26">
        <f t="shared" si="68"/>
        <v>0</v>
      </c>
      <c r="M447" s="26">
        <v>349.5</v>
      </c>
      <c r="N447" s="26">
        <v>349.5</v>
      </c>
    </row>
    <row r="448" spans="1:14" s="7" customFormat="1" ht="96.75" customHeight="1" x14ac:dyDescent="0.35">
      <c r="A448" s="11"/>
      <c r="B448" s="28" t="s">
        <v>307</v>
      </c>
      <c r="C448" s="25" t="s">
        <v>301</v>
      </c>
      <c r="D448" s="10" t="s">
        <v>221</v>
      </c>
      <c r="E448" s="10" t="s">
        <v>32</v>
      </c>
      <c r="F448" s="34" t="s">
        <v>58</v>
      </c>
      <c r="G448" s="91" t="s">
        <v>84</v>
      </c>
      <c r="H448" s="91" t="s">
        <v>58</v>
      </c>
      <c r="I448" s="573" t="s">
        <v>39</v>
      </c>
      <c r="J448" s="10"/>
      <c r="K448" s="26">
        <f>K452+K449</f>
        <v>349.5</v>
      </c>
      <c r="L448" s="26">
        <f>L452+L449</f>
        <v>0</v>
      </c>
      <c r="M448" s="26">
        <v>349.5</v>
      </c>
      <c r="N448" s="26">
        <v>349.5</v>
      </c>
    </row>
    <row r="449" spans="1:14" s="7" customFormat="1" ht="40.5" customHeight="1" x14ac:dyDescent="0.35">
      <c r="A449" s="11"/>
      <c r="B449" s="28" t="s">
        <v>302</v>
      </c>
      <c r="C449" s="25" t="s">
        <v>301</v>
      </c>
      <c r="D449" s="10" t="s">
        <v>221</v>
      </c>
      <c r="E449" s="10" t="s">
        <v>32</v>
      </c>
      <c r="F449" s="34" t="s">
        <v>58</v>
      </c>
      <c r="G449" s="91" t="s">
        <v>84</v>
      </c>
      <c r="H449" s="91" t="s">
        <v>58</v>
      </c>
      <c r="I449" s="573" t="s">
        <v>303</v>
      </c>
      <c r="J449" s="10"/>
      <c r="K449" s="26">
        <f>K450+K451</f>
        <v>307.39999999999998</v>
      </c>
      <c r="L449" s="26">
        <f>L450+L451</f>
        <v>0</v>
      </c>
      <c r="M449" s="26">
        <v>307.39999999999998</v>
      </c>
      <c r="N449" s="26">
        <v>307.39999999999998</v>
      </c>
    </row>
    <row r="450" spans="1:14" s="7" customFormat="1" ht="54" x14ac:dyDescent="0.35">
      <c r="A450" s="11"/>
      <c r="B450" s="24" t="s">
        <v>50</v>
      </c>
      <c r="C450" s="25" t="s">
        <v>301</v>
      </c>
      <c r="D450" s="10" t="s">
        <v>221</v>
      </c>
      <c r="E450" s="10" t="s">
        <v>32</v>
      </c>
      <c r="F450" s="34" t="s">
        <v>58</v>
      </c>
      <c r="G450" s="91" t="s">
        <v>84</v>
      </c>
      <c r="H450" s="91" t="s">
        <v>58</v>
      </c>
      <c r="I450" s="573" t="s">
        <v>303</v>
      </c>
      <c r="J450" s="10" t="s">
        <v>51</v>
      </c>
      <c r="K450" s="26">
        <v>289.5</v>
      </c>
      <c r="L450" s="26">
        <f>M450-K450</f>
        <v>0</v>
      </c>
      <c r="M450" s="26">
        <v>289.5</v>
      </c>
      <c r="N450" s="26">
        <v>289.5</v>
      </c>
    </row>
    <row r="451" spans="1:14" s="7" customFormat="1" ht="57" customHeight="1" x14ac:dyDescent="0.35">
      <c r="A451" s="11"/>
      <c r="B451" s="28" t="s">
        <v>71</v>
      </c>
      <c r="C451" s="25" t="s">
        <v>301</v>
      </c>
      <c r="D451" s="10" t="s">
        <v>221</v>
      </c>
      <c r="E451" s="10" t="s">
        <v>32</v>
      </c>
      <c r="F451" s="34" t="s">
        <v>58</v>
      </c>
      <c r="G451" s="91" t="s">
        <v>84</v>
      </c>
      <c r="H451" s="91" t="s">
        <v>58</v>
      </c>
      <c r="I451" s="573" t="s">
        <v>303</v>
      </c>
      <c r="J451" s="10" t="s">
        <v>72</v>
      </c>
      <c r="K451" s="26">
        <v>17.899999999999999</v>
      </c>
      <c r="L451" s="26">
        <f>M451-K451</f>
        <v>0</v>
      </c>
      <c r="M451" s="26">
        <v>17.899999999999999</v>
      </c>
      <c r="N451" s="26">
        <v>17.899999999999999</v>
      </c>
    </row>
    <row r="452" spans="1:14" s="7" customFormat="1" ht="54" x14ac:dyDescent="0.35">
      <c r="A452" s="11"/>
      <c r="B452" s="28" t="s">
        <v>401</v>
      </c>
      <c r="C452" s="25" t="s">
        <v>301</v>
      </c>
      <c r="D452" s="10" t="s">
        <v>221</v>
      </c>
      <c r="E452" s="10" t="s">
        <v>32</v>
      </c>
      <c r="F452" s="571" t="s">
        <v>58</v>
      </c>
      <c r="G452" s="572" t="s">
        <v>84</v>
      </c>
      <c r="H452" s="572" t="s">
        <v>58</v>
      </c>
      <c r="I452" s="573" t="s">
        <v>402</v>
      </c>
      <c r="J452" s="10"/>
      <c r="K452" s="26">
        <f t="shared" si="68"/>
        <v>42.1</v>
      </c>
      <c r="L452" s="26">
        <f t="shared" si="68"/>
        <v>0</v>
      </c>
      <c r="M452" s="26">
        <v>42.1</v>
      </c>
      <c r="N452" s="26">
        <v>42.1</v>
      </c>
    </row>
    <row r="453" spans="1:14" s="7" customFormat="1" ht="54" x14ac:dyDescent="0.35">
      <c r="A453" s="11"/>
      <c r="B453" s="28" t="s">
        <v>71</v>
      </c>
      <c r="C453" s="25" t="s">
        <v>301</v>
      </c>
      <c r="D453" s="10" t="s">
        <v>221</v>
      </c>
      <c r="E453" s="10" t="s">
        <v>32</v>
      </c>
      <c r="F453" s="571" t="s">
        <v>58</v>
      </c>
      <c r="G453" s="572" t="s">
        <v>84</v>
      </c>
      <c r="H453" s="572" t="s">
        <v>58</v>
      </c>
      <c r="I453" s="573" t="s">
        <v>402</v>
      </c>
      <c r="J453" s="10" t="s">
        <v>72</v>
      </c>
      <c r="K453" s="26">
        <v>42.1</v>
      </c>
      <c r="L453" s="26">
        <f>M453-K453</f>
        <v>0</v>
      </c>
      <c r="M453" s="26">
        <v>42.1</v>
      </c>
      <c r="N453" s="26">
        <v>42.1</v>
      </c>
    </row>
    <row r="454" spans="1:14" s="7" customFormat="1" ht="36" x14ac:dyDescent="0.35">
      <c r="A454" s="11"/>
      <c r="B454" s="24" t="s">
        <v>308</v>
      </c>
      <c r="C454" s="25" t="s">
        <v>301</v>
      </c>
      <c r="D454" s="10" t="s">
        <v>221</v>
      </c>
      <c r="E454" s="10" t="s">
        <v>47</v>
      </c>
      <c r="F454" s="34"/>
      <c r="G454" s="91"/>
      <c r="H454" s="91"/>
      <c r="I454" s="92"/>
      <c r="J454" s="93"/>
      <c r="K454" s="26">
        <f t="shared" ref="K454:N456" si="69">K455</f>
        <v>9253.1</v>
      </c>
      <c r="L454" s="26">
        <f t="shared" si="69"/>
        <v>0</v>
      </c>
      <c r="M454" s="26">
        <v>9253.1</v>
      </c>
      <c r="N454" s="26">
        <v>9910</v>
      </c>
    </row>
    <row r="455" spans="1:14" s="7" customFormat="1" ht="54" x14ac:dyDescent="0.35">
      <c r="A455" s="11"/>
      <c r="B455" s="30" t="s">
        <v>208</v>
      </c>
      <c r="C455" s="25" t="s">
        <v>301</v>
      </c>
      <c r="D455" s="10" t="s">
        <v>221</v>
      </c>
      <c r="E455" s="10" t="s">
        <v>47</v>
      </c>
      <c r="F455" s="34" t="s">
        <v>58</v>
      </c>
      <c r="G455" s="91" t="s">
        <v>37</v>
      </c>
      <c r="H455" s="91" t="s">
        <v>38</v>
      </c>
      <c r="I455" s="92" t="s">
        <v>39</v>
      </c>
      <c r="J455" s="93"/>
      <c r="K455" s="26">
        <f t="shared" si="69"/>
        <v>9253.1</v>
      </c>
      <c r="L455" s="26">
        <f t="shared" si="69"/>
        <v>0</v>
      </c>
      <c r="M455" s="26">
        <v>9253.1</v>
      </c>
      <c r="N455" s="26">
        <v>9910</v>
      </c>
    </row>
    <row r="456" spans="1:14" s="7" customFormat="1" ht="54" x14ac:dyDescent="0.35">
      <c r="A456" s="11"/>
      <c r="B456" s="24" t="s">
        <v>211</v>
      </c>
      <c r="C456" s="25" t="s">
        <v>301</v>
      </c>
      <c r="D456" s="10" t="s">
        <v>221</v>
      </c>
      <c r="E456" s="10" t="s">
        <v>47</v>
      </c>
      <c r="F456" s="571" t="s">
        <v>58</v>
      </c>
      <c r="G456" s="572" t="s">
        <v>25</v>
      </c>
      <c r="H456" s="572" t="s">
        <v>38</v>
      </c>
      <c r="I456" s="573" t="s">
        <v>39</v>
      </c>
      <c r="J456" s="10"/>
      <c r="K456" s="26">
        <f t="shared" si="69"/>
        <v>9253.1</v>
      </c>
      <c r="L456" s="26">
        <f t="shared" si="69"/>
        <v>0</v>
      </c>
      <c r="M456" s="26">
        <v>9253.1</v>
      </c>
      <c r="N456" s="26">
        <v>9910</v>
      </c>
    </row>
    <row r="457" spans="1:14" s="7" customFormat="1" ht="36" x14ac:dyDescent="0.35">
      <c r="A457" s="11"/>
      <c r="B457" s="24" t="s">
        <v>270</v>
      </c>
      <c r="C457" s="25" t="s">
        <v>301</v>
      </c>
      <c r="D457" s="10" t="s">
        <v>221</v>
      </c>
      <c r="E457" s="10" t="s">
        <v>47</v>
      </c>
      <c r="F457" s="571" t="s">
        <v>58</v>
      </c>
      <c r="G457" s="572" t="s">
        <v>25</v>
      </c>
      <c r="H457" s="572" t="s">
        <v>32</v>
      </c>
      <c r="I457" s="573" t="s">
        <v>39</v>
      </c>
      <c r="J457" s="10"/>
      <c r="K457" s="26">
        <f>K458+K462</f>
        <v>9253.1</v>
      </c>
      <c r="L457" s="26">
        <f>L458+L462</f>
        <v>0</v>
      </c>
      <c r="M457" s="26">
        <v>9253.1</v>
      </c>
      <c r="N457" s="26">
        <v>9910</v>
      </c>
    </row>
    <row r="458" spans="1:14" s="7" customFormat="1" ht="36" x14ac:dyDescent="0.35">
      <c r="A458" s="11"/>
      <c r="B458" s="24" t="s">
        <v>42</v>
      </c>
      <c r="C458" s="25" t="s">
        <v>301</v>
      </c>
      <c r="D458" s="10" t="s">
        <v>221</v>
      </c>
      <c r="E458" s="10" t="s">
        <v>47</v>
      </c>
      <c r="F458" s="571" t="s">
        <v>58</v>
      </c>
      <c r="G458" s="572" t="s">
        <v>25</v>
      </c>
      <c r="H458" s="572" t="s">
        <v>32</v>
      </c>
      <c r="I458" s="573" t="s">
        <v>43</v>
      </c>
      <c r="J458" s="93"/>
      <c r="K458" s="26">
        <f>K459+K460+K461</f>
        <v>2982.2000000000003</v>
      </c>
      <c r="L458" s="26">
        <f>L459+L460+L461</f>
        <v>0</v>
      </c>
      <c r="M458" s="26">
        <v>2982.2000000000003</v>
      </c>
      <c r="N458" s="26">
        <v>2983.1</v>
      </c>
    </row>
    <row r="459" spans="1:14" s="7" customFormat="1" ht="108" x14ac:dyDescent="0.35">
      <c r="A459" s="11"/>
      <c r="B459" s="24" t="s">
        <v>44</v>
      </c>
      <c r="C459" s="25" t="s">
        <v>301</v>
      </c>
      <c r="D459" s="10" t="s">
        <v>221</v>
      </c>
      <c r="E459" s="10" t="s">
        <v>47</v>
      </c>
      <c r="F459" s="571" t="s">
        <v>58</v>
      </c>
      <c r="G459" s="572" t="s">
        <v>25</v>
      </c>
      <c r="H459" s="572" t="s">
        <v>32</v>
      </c>
      <c r="I459" s="573" t="s">
        <v>43</v>
      </c>
      <c r="J459" s="93" t="s">
        <v>45</v>
      </c>
      <c r="K459" s="26">
        <v>2712.1</v>
      </c>
      <c r="L459" s="26">
        <f>M459-K459</f>
        <v>0</v>
      </c>
      <c r="M459" s="26">
        <v>2712.1</v>
      </c>
      <c r="N459" s="26">
        <v>2712.1</v>
      </c>
    </row>
    <row r="460" spans="1:14" s="7" customFormat="1" ht="54" x14ac:dyDescent="0.35">
      <c r="A460" s="11"/>
      <c r="B460" s="24" t="s">
        <v>50</v>
      </c>
      <c r="C460" s="25" t="s">
        <v>301</v>
      </c>
      <c r="D460" s="10" t="s">
        <v>221</v>
      </c>
      <c r="E460" s="10" t="s">
        <v>47</v>
      </c>
      <c r="F460" s="571" t="s">
        <v>58</v>
      </c>
      <c r="G460" s="572" t="s">
        <v>25</v>
      </c>
      <c r="H460" s="572" t="s">
        <v>32</v>
      </c>
      <c r="I460" s="573" t="s">
        <v>43</v>
      </c>
      <c r="J460" s="93" t="s">
        <v>51</v>
      </c>
      <c r="K460" s="26">
        <v>265.8</v>
      </c>
      <c r="L460" s="26">
        <f>M460-K460</f>
        <v>0</v>
      </c>
      <c r="M460" s="26">
        <v>265.8</v>
      </c>
      <c r="N460" s="26">
        <v>266.7</v>
      </c>
    </row>
    <row r="461" spans="1:14" s="7" customFormat="1" ht="18" x14ac:dyDescent="0.35">
      <c r="A461" s="11"/>
      <c r="B461" s="24" t="s">
        <v>52</v>
      </c>
      <c r="C461" s="25" t="s">
        <v>301</v>
      </c>
      <c r="D461" s="10" t="s">
        <v>221</v>
      </c>
      <c r="E461" s="10" t="s">
        <v>47</v>
      </c>
      <c r="F461" s="571" t="s">
        <v>58</v>
      </c>
      <c r="G461" s="572" t="s">
        <v>25</v>
      </c>
      <c r="H461" s="572" t="s">
        <v>32</v>
      </c>
      <c r="I461" s="573" t="s">
        <v>43</v>
      </c>
      <c r="J461" s="10" t="s">
        <v>53</v>
      </c>
      <c r="K461" s="26">
        <v>4.3</v>
      </c>
      <c r="L461" s="26">
        <f>M461-K461</f>
        <v>0</v>
      </c>
      <c r="M461" s="26">
        <v>4.3</v>
      </c>
      <c r="N461" s="26">
        <v>4.3</v>
      </c>
    </row>
    <row r="462" spans="1:14" s="7" customFormat="1" ht="39" customHeight="1" x14ac:dyDescent="0.35">
      <c r="A462" s="11"/>
      <c r="B462" s="79" t="s">
        <v>437</v>
      </c>
      <c r="C462" s="25" t="s">
        <v>301</v>
      </c>
      <c r="D462" s="10" t="s">
        <v>221</v>
      </c>
      <c r="E462" s="10" t="s">
        <v>47</v>
      </c>
      <c r="F462" s="571" t="s">
        <v>58</v>
      </c>
      <c r="G462" s="572" t="s">
        <v>25</v>
      </c>
      <c r="H462" s="572" t="s">
        <v>32</v>
      </c>
      <c r="I462" s="573" t="s">
        <v>86</v>
      </c>
      <c r="J462" s="10"/>
      <c r="K462" s="26">
        <f>K463+K464+K465</f>
        <v>6270.9000000000005</v>
      </c>
      <c r="L462" s="26">
        <f>L463+L464+L465</f>
        <v>0</v>
      </c>
      <c r="M462" s="26">
        <v>6270.9000000000005</v>
      </c>
      <c r="N462" s="26">
        <v>6926.9000000000005</v>
      </c>
    </row>
    <row r="463" spans="1:14" s="7" customFormat="1" ht="108" x14ac:dyDescent="0.35">
      <c r="A463" s="11"/>
      <c r="B463" s="24" t="s">
        <v>44</v>
      </c>
      <c r="C463" s="155" t="s">
        <v>301</v>
      </c>
      <c r="D463" s="93" t="s">
        <v>221</v>
      </c>
      <c r="E463" s="93" t="s">
        <v>47</v>
      </c>
      <c r="F463" s="571" t="s">
        <v>58</v>
      </c>
      <c r="G463" s="572" t="s">
        <v>25</v>
      </c>
      <c r="H463" s="572" t="s">
        <v>32</v>
      </c>
      <c r="I463" s="573" t="s">
        <v>86</v>
      </c>
      <c r="J463" s="93" t="s">
        <v>45</v>
      </c>
      <c r="K463" s="26">
        <v>6121.1</v>
      </c>
      <c r="L463" s="26">
        <f>M463-K463</f>
        <v>0</v>
      </c>
      <c r="M463" s="26">
        <v>6121.1</v>
      </c>
      <c r="N463" s="26">
        <v>6121.1</v>
      </c>
    </row>
    <row r="464" spans="1:14" s="7" customFormat="1" ht="54" x14ac:dyDescent="0.35">
      <c r="A464" s="11"/>
      <c r="B464" s="24" t="s">
        <v>50</v>
      </c>
      <c r="C464" s="155" t="s">
        <v>301</v>
      </c>
      <c r="D464" s="93" t="s">
        <v>221</v>
      </c>
      <c r="E464" s="93" t="s">
        <v>47</v>
      </c>
      <c r="F464" s="571" t="s">
        <v>58</v>
      </c>
      <c r="G464" s="572" t="s">
        <v>25</v>
      </c>
      <c r="H464" s="572" t="s">
        <v>32</v>
      </c>
      <c r="I464" s="573" t="s">
        <v>86</v>
      </c>
      <c r="J464" s="93" t="s">
        <v>51</v>
      </c>
      <c r="K464" s="26">
        <v>148.19999999999999</v>
      </c>
      <c r="L464" s="26">
        <f>M464-K464</f>
        <v>0</v>
      </c>
      <c r="M464" s="26">
        <v>148.19999999999999</v>
      </c>
      <c r="N464" s="26">
        <v>804.2</v>
      </c>
    </row>
    <row r="465" spans="1:14" s="7" customFormat="1" ht="18" x14ac:dyDescent="0.35">
      <c r="A465" s="11"/>
      <c r="B465" s="24" t="s">
        <v>52</v>
      </c>
      <c r="C465" s="155" t="s">
        <v>301</v>
      </c>
      <c r="D465" s="93" t="s">
        <v>221</v>
      </c>
      <c r="E465" s="93" t="s">
        <v>47</v>
      </c>
      <c r="F465" s="571" t="s">
        <v>58</v>
      </c>
      <c r="G465" s="572" t="s">
        <v>25</v>
      </c>
      <c r="H465" s="572" t="s">
        <v>32</v>
      </c>
      <c r="I465" s="573" t="s">
        <v>86</v>
      </c>
      <c r="J465" s="10" t="s">
        <v>53</v>
      </c>
      <c r="K465" s="26">
        <v>1.6</v>
      </c>
      <c r="L465" s="26">
        <f>M465-K465</f>
        <v>0</v>
      </c>
      <c r="M465" s="26">
        <v>1.6</v>
      </c>
      <c r="N465" s="26">
        <v>1.6</v>
      </c>
    </row>
    <row r="466" spans="1:14" s="122" customFormat="1" ht="18" x14ac:dyDescent="0.35">
      <c r="A466" s="11"/>
      <c r="B466" s="24"/>
      <c r="C466" s="155"/>
      <c r="D466" s="93"/>
      <c r="E466" s="93"/>
      <c r="F466" s="571"/>
      <c r="G466" s="572"/>
      <c r="H466" s="572"/>
      <c r="I466" s="573"/>
      <c r="J466" s="10"/>
      <c r="K466" s="26"/>
      <c r="L466" s="26"/>
      <c r="M466" s="26"/>
      <c r="N466" s="26"/>
    </row>
    <row r="467" spans="1:14" s="117" customFormat="1" ht="52.2" x14ac:dyDescent="0.3">
      <c r="A467" s="116">
        <v>7</v>
      </c>
      <c r="B467" s="18" t="s">
        <v>8</v>
      </c>
      <c r="C467" s="19" t="s">
        <v>279</v>
      </c>
      <c r="D467" s="20"/>
      <c r="E467" s="20"/>
      <c r="F467" s="21"/>
      <c r="G467" s="22"/>
      <c r="H467" s="22"/>
      <c r="I467" s="23"/>
      <c r="J467" s="20"/>
      <c r="K467" s="40">
        <f>K468+K475</f>
        <v>34284.499999999993</v>
      </c>
      <c r="L467" s="40">
        <f>L468+L475</f>
        <v>0</v>
      </c>
      <c r="M467" s="40">
        <v>34284.499999999993</v>
      </c>
      <c r="N467" s="40">
        <v>30605.3</v>
      </c>
    </row>
    <row r="468" spans="1:14" s="117" customFormat="1" ht="18" x14ac:dyDescent="0.35">
      <c r="A468" s="116"/>
      <c r="B468" s="234" t="s">
        <v>31</v>
      </c>
      <c r="C468" s="235" t="s">
        <v>279</v>
      </c>
      <c r="D468" s="35" t="s">
        <v>32</v>
      </c>
      <c r="E468" s="35"/>
      <c r="F468" s="221"/>
      <c r="G468" s="222"/>
      <c r="H468" s="222"/>
      <c r="I468" s="223"/>
      <c r="J468" s="35"/>
      <c r="K468" s="224">
        <f t="shared" ref="K468:M472" si="70">K469</f>
        <v>35.6</v>
      </c>
      <c r="L468" s="224">
        <f t="shared" si="70"/>
        <v>0</v>
      </c>
      <c r="M468" s="224">
        <v>35.6</v>
      </c>
      <c r="N468" s="224">
        <v>35.6</v>
      </c>
    </row>
    <row r="469" spans="1:14" s="117" customFormat="1" ht="18" x14ac:dyDescent="0.35">
      <c r="A469" s="116"/>
      <c r="B469" s="234" t="s">
        <v>65</v>
      </c>
      <c r="C469" s="235" t="s">
        <v>279</v>
      </c>
      <c r="D469" s="35" t="s">
        <v>32</v>
      </c>
      <c r="E469" s="35" t="s">
        <v>66</v>
      </c>
      <c r="F469" s="221"/>
      <c r="G469" s="222"/>
      <c r="H469" s="222"/>
      <c r="I469" s="223"/>
      <c r="J469" s="35"/>
      <c r="K469" s="224">
        <f t="shared" si="70"/>
        <v>35.6</v>
      </c>
      <c r="L469" s="224">
        <f t="shared" si="70"/>
        <v>0</v>
      </c>
      <c r="M469" s="224">
        <v>35.6</v>
      </c>
      <c r="N469" s="224">
        <v>35.6</v>
      </c>
    </row>
    <row r="470" spans="1:14" s="117" customFormat="1" ht="54" x14ac:dyDescent="0.35">
      <c r="A470" s="116"/>
      <c r="B470" s="234" t="s">
        <v>212</v>
      </c>
      <c r="C470" s="235" t="s">
        <v>279</v>
      </c>
      <c r="D470" s="35" t="s">
        <v>32</v>
      </c>
      <c r="E470" s="35" t="s">
        <v>66</v>
      </c>
      <c r="F470" s="221" t="s">
        <v>47</v>
      </c>
      <c r="G470" s="222" t="s">
        <v>37</v>
      </c>
      <c r="H470" s="222" t="s">
        <v>38</v>
      </c>
      <c r="I470" s="223" t="s">
        <v>39</v>
      </c>
      <c r="J470" s="35"/>
      <c r="K470" s="224">
        <f t="shared" si="70"/>
        <v>35.6</v>
      </c>
      <c r="L470" s="224">
        <f t="shared" si="70"/>
        <v>0</v>
      </c>
      <c r="M470" s="224">
        <v>35.6</v>
      </c>
      <c r="N470" s="224">
        <v>35.6</v>
      </c>
    </row>
    <row r="471" spans="1:14" s="117" customFormat="1" ht="36" x14ac:dyDescent="0.35">
      <c r="A471" s="116"/>
      <c r="B471" s="234" t="s">
        <v>215</v>
      </c>
      <c r="C471" s="235" t="s">
        <v>279</v>
      </c>
      <c r="D471" s="35" t="s">
        <v>32</v>
      </c>
      <c r="E471" s="35" t="s">
        <v>66</v>
      </c>
      <c r="F471" s="221" t="s">
        <v>47</v>
      </c>
      <c r="G471" s="222" t="s">
        <v>84</v>
      </c>
      <c r="H471" s="222" t="s">
        <v>38</v>
      </c>
      <c r="I471" s="223" t="s">
        <v>39</v>
      </c>
      <c r="J471" s="35"/>
      <c r="K471" s="224">
        <f t="shared" si="70"/>
        <v>35.6</v>
      </c>
      <c r="L471" s="224">
        <f t="shared" si="70"/>
        <v>0</v>
      </c>
      <c r="M471" s="224">
        <v>35.6</v>
      </c>
      <c r="N471" s="224">
        <v>35.6</v>
      </c>
    </row>
    <row r="472" spans="1:14" s="117" customFormat="1" ht="36" x14ac:dyDescent="0.35">
      <c r="A472" s="116"/>
      <c r="B472" s="234" t="s">
        <v>340</v>
      </c>
      <c r="C472" s="235" t="s">
        <v>279</v>
      </c>
      <c r="D472" s="35" t="s">
        <v>32</v>
      </c>
      <c r="E472" s="35" t="s">
        <v>66</v>
      </c>
      <c r="F472" s="221" t="s">
        <v>47</v>
      </c>
      <c r="G472" s="222" t="s">
        <v>84</v>
      </c>
      <c r="H472" s="222" t="s">
        <v>58</v>
      </c>
      <c r="I472" s="223" t="s">
        <v>39</v>
      </c>
      <c r="J472" s="35"/>
      <c r="K472" s="224">
        <f t="shared" si="70"/>
        <v>35.6</v>
      </c>
      <c r="L472" s="224">
        <f t="shared" si="70"/>
        <v>0</v>
      </c>
      <c r="M472" s="224">
        <v>35.6</v>
      </c>
      <c r="N472" s="224">
        <v>35.6</v>
      </c>
    </row>
    <row r="473" spans="1:14" s="117" customFormat="1" ht="54" customHeight="1" x14ac:dyDescent="0.35">
      <c r="A473" s="116"/>
      <c r="B473" s="234" t="s">
        <v>341</v>
      </c>
      <c r="C473" s="235" t="s">
        <v>279</v>
      </c>
      <c r="D473" s="35" t="s">
        <v>32</v>
      </c>
      <c r="E473" s="35" t="s">
        <v>66</v>
      </c>
      <c r="F473" s="221" t="s">
        <v>47</v>
      </c>
      <c r="G473" s="222" t="s">
        <v>84</v>
      </c>
      <c r="H473" s="222" t="s">
        <v>58</v>
      </c>
      <c r="I473" s="223" t="s">
        <v>100</v>
      </c>
      <c r="J473" s="35"/>
      <c r="K473" s="224">
        <f>K474</f>
        <v>35.6</v>
      </c>
      <c r="L473" s="224">
        <f>L474</f>
        <v>0</v>
      </c>
      <c r="M473" s="224">
        <v>35.6</v>
      </c>
      <c r="N473" s="224">
        <v>35.6</v>
      </c>
    </row>
    <row r="474" spans="1:14" s="7" customFormat="1" ht="54" x14ac:dyDescent="0.35">
      <c r="A474" s="11"/>
      <c r="B474" s="237" t="s">
        <v>50</v>
      </c>
      <c r="C474" s="235" t="s">
        <v>279</v>
      </c>
      <c r="D474" s="35" t="s">
        <v>32</v>
      </c>
      <c r="E474" s="35" t="s">
        <v>66</v>
      </c>
      <c r="F474" s="221" t="s">
        <v>47</v>
      </c>
      <c r="G474" s="222" t="s">
        <v>84</v>
      </c>
      <c r="H474" s="222" t="s">
        <v>58</v>
      </c>
      <c r="I474" s="223" t="s">
        <v>100</v>
      </c>
      <c r="J474" s="35" t="s">
        <v>51</v>
      </c>
      <c r="K474" s="224">
        <v>35.6</v>
      </c>
      <c r="L474" s="26">
        <f>M474-K474</f>
        <v>0</v>
      </c>
      <c r="M474" s="224">
        <v>35.6</v>
      </c>
      <c r="N474" s="26">
        <v>35.6</v>
      </c>
    </row>
    <row r="475" spans="1:14" s="7" customFormat="1" ht="18" x14ac:dyDescent="0.35">
      <c r="A475" s="11"/>
      <c r="B475" s="237" t="s">
        <v>309</v>
      </c>
      <c r="C475" s="235" t="s">
        <v>279</v>
      </c>
      <c r="D475" s="35" t="s">
        <v>62</v>
      </c>
      <c r="E475" s="35"/>
      <c r="F475" s="221"/>
      <c r="G475" s="222"/>
      <c r="H475" s="222"/>
      <c r="I475" s="223"/>
      <c r="J475" s="35"/>
      <c r="K475" s="224">
        <f>K476+K504+K494</f>
        <v>34248.899999999994</v>
      </c>
      <c r="L475" s="224">
        <f>L476+L504+L494</f>
        <v>0</v>
      </c>
      <c r="M475" s="224">
        <v>34248.899999999994</v>
      </c>
      <c r="N475" s="224">
        <v>30569.7</v>
      </c>
    </row>
    <row r="476" spans="1:14" s="117" customFormat="1" ht="18" x14ac:dyDescent="0.35">
      <c r="A476" s="11"/>
      <c r="B476" s="30" t="s">
        <v>349</v>
      </c>
      <c r="C476" s="25" t="s">
        <v>279</v>
      </c>
      <c r="D476" s="10" t="s">
        <v>62</v>
      </c>
      <c r="E476" s="10" t="s">
        <v>32</v>
      </c>
      <c r="F476" s="571"/>
      <c r="G476" s="572"/>
      <c r="H476" s="572"/>
      <c r="I476" s="573"/>
      <c r="J476" s="10"/>
      <c r="K476" s="26">
        <f>K477</f>
        <v>27442.499999999996</v>
      </c>
      <c r="L476" s="26">
        <f>L477</f>
        <v>0</v>
      </c>
      <c r="M476" s="26">
        <v>27442.499999999996</v>
      </c>
      <c r="N476" s="26">
        <v>27452.1</v>
      </c>
    </row>
    <row r="477" spans="1:14" s="117" customFormat="1" ht="61.5" customHeight="1" x14ac:dyDescent="0.35">
      <c r="A477" s="11"/>
      <c r="B477" s="24" t="s">
        <v>212</v>
      </c>
      <c r="C477" s="25" t="s">
        <v>279</v>
      </c>
      <c r="D477" s="10" t="s">
        <v>62</v>
      </c>
      <c r="E477" s="10" t="s">
        <v>32</v>
      </c>
      <c r="F477" s="571" t="s">
        <v>47</v>
      </c>
      <c r="G477" s="572" t="s">
        <v>37</v>
      </c>
      <c r="H477" s="572" t="s">
        <v>38</v>
      </c>
      <c r="I477" s="573" t="s">
        <v>39</v>
      </c>
      <c r="J477" s="10"/>
      <c r="K477" s="26">
        <f>K478+K482</f>
        <v>27442.499999999996</v>
      </c>
      <c r="L477" s="26">
        <f>L478+L482</f>
        <v>0</v>
      </c>
      <c r="M477" s="26">
        <v>27442.499999999996</v>
      </c>
      <c r="N477" s="26">
        <v>27452.1</v>
      </c>
    </row>
    <row r="478" spans="1:14" s="117" customFormat="1" ht="36" x14ac:dyDescent="0.35">
      <c r="A478" s="11"/>
      <c r="B478" s="30" t="s">
        <v>213</v>
      </c>
      <c r="C478" s="25" t="s">
        <v>279</v>
      </c>
      <c r="D478" s="10" t="s">
        <v>62</v>
      </c>
      <c r="E478" s="10" t="s">
        <v>32</v>
      </c>
      <c r="F478" s="571" t="s">
        <v>47</v>
      </c>
      <c r="G478" s="572" t="s">
        <v>40</v>
      </c>
      <c r="H478" s="572" t="s">
        <v>38</v>
      </c>
      <c r="I478" s="573" t="s">
        <v>39</v>
      </c>
      <c r="J478" s="10"/>
      <c r="K478" s="26">
        <f>K479</f>
        <v>225</v>
      </c>
      <c r="L478" s="26">
        <f>L479</f>
        <v>0</v>
      </c>
      <c r="M478" s="26">
        <v>225</v>
      </c>
      <c r="N478" s="26">
        <v>225</v>
      </c>
    </row>
    <row r="479" spans="1:14" s="117" customFormat="1" ht="18" x14ac:dyDescent="0.35">
      <c r="A479" s="11"/>
      <c r="B479" s="24" t="s">
        <v>265</v>
      </c>
      <c r="C479" s="25" t="s">
        <v>279</v>
      </c>
      <c r="D479" s="10" t="s">
        <v>62</v>
      </c>
      <c r="E479" s="10" t="s">
        <v>32</v>
      </c>
      <c r="F479" s="571" t="s">
        <v>47</v>
      </c>
      <c r="G479" s="572" t="s">
        <v>40</v>
      </c>
      <c r="H479" s="572" t="s">
        <v>32</v>
      </c>
      <c r="I479" s="573" t="s">
        <v>39</v>
      </c>
      <c r="J479" s="10"/>
      <c r="K479" s="26">
        <f t="shared" ref="K479:N480" si="71">K480</f>
        <v>225</v>
      </c>
      <c r="L479" s="26">
        <f t="shared" si="71"/>
        <v>0</v>
      </c>
      <c r="M479" s="26">
        <v>225</v>
      </c>
      <c r="N479" s="26">
        <v>225</v>
      </c>
    </row>
    <row r="480" spans="1:14" s="117" customFormat="1" ht="41.25" customHeight="1" x14ac:dyDescent="0.35">
      <c r="A480" s="11"/>
      <c r="B480" s="24" t="s">
        <v>266</v>
      </c>
      <c r="C480" s="25" t="s">
        <v>279</v>
      </c>
      <c r="D480" s="10" t="s">
        <v>62</v>
      </c>
      <c r="E480" s="10" t="s">
        <v>32</v>
      </c>
      <c r="F480" s="571" t="s">
        <v>47</v>
      </c>
      <c r="G480" s="572" t="s">
        <v>40</v>
      </c>
      <c r="H480" s="572" t="s">
        <v>32</v>
      </c>
      <c r="I480" s="573" t="s">
        <v>267</v>
      </c>
      <c r="J480" s="10"/>
      <c r="K480" s="26">
        <f t="shared" si="71"/>
        <v>225</v>
      </c>
      <c r="L480" s="26">
        <f t="shared" si="71"/>
        <v>0</v>
      </c>
      <c r="M480" s="26">
        <v>225</v>
      </c>
      <c r="N480" s="26">
        <v>225</v>
      </c>
    </row>
    <row r="481" spans="1:14" s="117" customFormat="1" ht="36" x14ac:dyDescent="0.35">
      <c r="A481" s="11"/>
      <c r="B481" s="24" t="s">
        <v>115</v>
      </c>
      <c r="C481" s="25" t="s">
        <v>279</v>
      </c>
      <c r="D481" s="10" t="s">
        <v>62</v>
      </c>
      <c r="E481" s="10" t="s">
        <v>32</v>
      </c>
      <c r="F481" s="571" t="s">
        <v>47</v>
      </c>
      <c r="G481" s="572" t="s">
        <v>40</v>
      </c>
      <c r="H481" s="572" t="s">
        <v>32</v>
      </c>
      <c r="I481" s="573" t="s">
        <v>267</v>
      </c>
      <c r="J481" s="10" t="s">
        <v>116</v>
      </c>
      <c r="K481" s="26">
        <v>225</v>
      </c>
      <c r="L481" s="26">
        <f>M481-K481</f>
        <v>0</v>
      </c>
      <c r="M481" s="26">
        <v>225</v>
      </c>
      <c r="N481" s="26">
        <v>225</v>
      </c>
    </row>
    <row r="482" spans="1:14" s="7" customFormat="1" ht="36" x14ac:dyDescent="0.35">
      <c r="A482" s="11"/>
      <c r="B482" s="24" t="s">
        <v>215</v>
      </c>
      <c r="C482" s="25" t="s">
        <v>279</v>
      </c>
      <c r="D482" s="10" t="s">
        <v>62</v>
      </c>
      <c r="E482" s="10" t="s">
        <v>32</v>
      </c>
      <c r="F482" s="571" t="s">
        <v>47</v>
      </c>
      <c r="G482" s="572" t="s">
        <v>84</v>
      </c>
      <c r="H482" s="572" t="s">
        <v>38</v>
      </c>
      <c r="I482" s="573" t="s">
        <v>39</v>
      </c>
      <c r="J482" s="10"/>
      <c r="K482" s="26">
        <f t="shared" ref="K482:N482" si="72">K483</f>
        <v>27217.499999999996</v>
      </c>
      <c r="L482" s="26">
        <f t="shared" si="72"/>
        <v>0</v>
      </c>
      <c r="M482" s="26">
        <v>27217.499999999996</v>
      </c>
      <c r="N482" s="26">
        <v>27227.1</v>
      </c>
    </row>
    <row r="483" spans="1:14" s="117" customFormat="1" ht="34.200000000000003" customHeight="1" x14ac:dyDescent="0.35">
      <c r="A483" s="11"/>
      <c r="B483" s="24" t="s">
        <v>350</v>
      </c>
      <c r="C483" s="25" t="s">
        <v>279</v>
      </c>
      <c r="D483" s="10" t="s">
        <v>62</v>
      </c>
      <c r="E483" s="10" t="s">
        <v>32</v>
      </c>
      <c r="F483" s="571" t="s">
        <v>47</v>
      </c>
      <c r="G483" s="572" t="s">
        <v>84</v>
      </c>
      <c r="H483" s="572" t="s">
        <v>34</v>
      </c>
      <c r="I483" s="573" t="s">
        <v>39</v>
      </c>
      <c r="J483" s="10"/>
      <c r="K483" s="26">
        <f>K484+K488+K490+K492</f>
        <v>27217.499999999996</v>
      </c>
      <c r="L483" s="26">
        <f>L484+L488+L490+L492</f>
        <v>0</v>
      </c>
      <c r="M483" s="26">
        <v>27217.499999999996</v>
      </c>
      <c r="N483" s="26">
        <v>27227.1</v>
      </c>
    </row>
    <row r="484" spans="1:14" s="117" customFormat="1" ht="39" customHeight="1" x14ac:dyDescent="0.35">
      <c r="A484" s="11"/>
      <c r="B484" s="79" t="s">
        <v>437</v>
      </c>
      <c r="C484" s="25" t="s">
        <v>279</v>
      </c>
      <c r="D484" s="10" t="s">
        <v>62</v>
      </c>
      <c r="E484" s="10" t="s">
        <v>32</v>
      </c>
      <c r="F484" s="571" t="s">
        <v>47</v>
      </c>
      <c r="G484" s="572" t="s">
        <v>84</v>
      </c>
      <c r="H484" s="572" t="s">
        <v>34</v>
      </c>
      <c r="I484" s="573" t="s">
        <v>86</v>
      </c>
      <c r="J484" s="10"/>
      <c r="K484" s="26">
        <f>K485+K486+K487</f>
        <v>21191.899999999998</v>
      </c>
      <c r="L484" s="26">
        <f>L485+L486+L487</f>
        <v>0</v>
      </c>
      <c r="M484" s="26">
        <v>21191.899999999998</v>
      </c>
      <c r="N484" s="26">
        <v>21201.5</v>
      </c>
    </row>
    <row r="485" spans="1:14" s="117" customFormat="1" ht="108" x14ac:dyDescent="0.35">
      <c r="A485" s="11"/>
      <c r="B485" s="24" t="s">
        <v>44</v>
      </c>
      <c r="C485" s="25" t="s">
        <v>279</v>
      </c>
      <c r="D485" s="10" t="s">
        <v>62</v>
      </c>
      <c r="E485" s="10" t="s">
        <v>32</v>
      </c>
      <c r="F485" s="571" t="s">
        <v>47</v>
      </c>
      <c r="G485" s="572" t="s">
        <v>84</v>
      </c>
      <c r="H485" s="572" t="s">
        <v>34</v>
      </c>
      <c r="I485" s="573" t="s">
        <v>86</v>
      </c>
      <c r="J485" s="10" t="s">
        <v>45</v>
      </c>
      <c r="K485" s="26">
        <v>17974.3</v>
      </c>
      <c r="L485" s="26">
        <f>M485-K485</f>
        <v>0</v>
      </c>
      <c r="M485" s="26">
        <v>17974.3</v>
      </c>
      <c r="N485" s="26">
        <v>17974.3</v>
      </c>
    </row>
    <row r="486" spans="1:14" s="7" customFormat="1" ht="54" x14ac:dyDescent="0.35">
      <c r="A486" s="11"/>
      <c r="B486" s="24" t="s">
        <v>50</v>
      </c>
      <c r="C486" s="25" t="s">
        <v>279</v>
      </c>
      <c r="D486" s="10" t="s">
        <v>62</v>
      </c>
      <c r="E486" s="10" t="s">
        <v>32</v>
      </c>
      <c r="F486" s="571" t="s">
        <v>47</v>
      </c>
      <c r="G486" s="572" t="s">
        <v>84</v>
      </c>
      <c r="H486" s="572" t="s">
        <v>34</v>
      </c>
      <c r="I486" s="573" t="s">
        <v>86</v>
      </c>
      <c r="J486" s="10" t="s">
        <v>51</v>
      </c>
      <c r="K486" s="26">
        <v>3160.8</v>
      </c>
      <c r="L486" s="26">
        <f>M486-K486</f>
        <v>0</v>
      </c>
      <c r="M486" s="26">
        <v>3160.8</v>
      </c>
      <c r="N486" s="26">
        <v>3172.4</v>
      </c>
    </row>
    <row r="487" spans="1:14" s="117" customFormat="1" ht="18" x14ac:dyDescent="0.35">
      <c r="A487" s="11"/>
      <c r="B487" s="24" t="s">
        <v>52</v>
      </c>
      <c r="C487" s="25" t="s">
        <v>279</v>
      </c>
      <c r="D487" s="10" t="s">
        <v>62</v>
      </c>
      <c r="E487" s="10" t="s">
        <v>32</v>
      </c>
      <c r="F487" s="571" t="s">
        <v>47</v>
      </c>
      <c r="G487" s="572" t="s">
        <v>84</v>
      </c>
      <c r="H487" s="572" t="s">
        <v>34</v>
      </c>
      <c r="I487" s="573" t="s">
        <v>86</v>
      </c>
      <c r="J487" s="10" t="s">
        <v>53</v>
      </c>
      <c r="K487" s="26">
        <f>47.6+9.2</f>
        <v>56.8</v>
      </c>
      <c r="L487" s="26">
        <f>M487-K487</f>
        <v>0</v>
      </c>
      <c r="M487" s="26">
        <v>56.8</v>
      </c>
      <c r="N487" s="26">
        <v>54.8</v>
      </c>
    </row>
    <row r="488" spans="1:14" s="117" customFormat="1" ht="54" x14ac:dyDescent="0.35">
      <c r="A488" s="11"/>
      <c r="B488" s="24" t="s">
        <v>214</v>
      </c>
      <c r="C488" s="25" t="s">
        <v>279</v>
      </c>
      <c r="D488" s="10" t="s">
        <v>62</v>
      </c>
      <c r="E488" s="10" t="s">
        <v>32</v>
      </c>
      <c r="F488" s="571" t="s">
        <v>47</v>
      </c>
      <c r="G488" s="572" t="s">
        <v>84</v>
      </c>
      <c r="H488" s="572" t="s">
        <v>34</v>
      </c>
      <c r="I488" s="573" t="s">
        <v>281</v>
      </c>
      <c r="J488" s="10"/>
      <c r="K488" s="26">
        <f>K489</f>
        <v>4110</v>
      </c>
      <c r="L488" s="26">
        <f>L489</f>
        <v>0</v>
      </c>
      <c r="M488" s="26">
        <v>4110</v>
      </c>
      <c r="N488" s="26">
        <v>4110</v>
      </c>
    </row>
    <row r="489" spans="1:14" s="117" customFormat="1" ht="54" x14ac:dyDescent="0.35">
      <c r="A489" s="11"/>
      <c r="B489" s="24" t="s">
        <v>50</v>
      </c>
      <c r="C489" s="25" t="s">
        <v>279</v>
      </c>
      <c r="D489" s="10" t="s">
        <v>62</v>
      </c>
      <c r="E489" s="10" t="s">
        <v>32</v>
      </c>
      <c r="F489" s="571" t="s">
        <v>47</v>
      </c>
      <c r="G489" s="572" t="s">
        <v>84</v>
      </c>
      <c r="H489" s="572" t="s">
        <v>34</v>
      </c>
      <c r="I489" s="573" t="s">
        <v>281</v>
      </c>
      <c r="J489" s="10" t="s">
        <v>51</v>
      </c>
      <c r="K489" s="26">
        <v>4110</v>
      </c>
      <c r="L489" s="26">
        <f>M489-K489</f>
        <v>0</v>
      </c>
      <c r="M489" s="26">
        <v>4110</v>
      </c>
      <c r="N489" s="26">
        <v>4110</v>
      </c>
    </row>
    <row r="490" spans="1:14" s="117" customFormat="1" ht="193.5" customHeight="1" x14ac:dyDescent="0.35">
      <c r="A490" s="11"/>
      <c r="B490" s="24" t="s">
        <v>414</v>
      </c>
      <c r="C490" s="25" t="s">
        <v>279</v>
      </c>
      <c r="D490" s="10" t="s">
        <v>62</v>
      </c>
      <c r="E490" s="10" t="s">
        <v>32</v>
      </c>
      <c r="F490" s="571" t="s">
        <v>47</v>
      </c>
      <c r="G490" s="572" t="s">
        <v>84</v>
      </c>
      <c r="H490" s="572" t="s">
        <v>34</v>
      </c>
      <c r="I490" s="573" t="s">
        <v>389</v>
      </c>
      <c r="J490" s="10"/>
      <c r="K490" s="26">
        <f>K491</f>
        <v>250</v>
      </c>
      <c r="L490" s="26">
        <f>L491</f>
        <v>0</v>
      </c>
      <c r="M490" s="26">
        <v>250</v>
      </c>
      <c r="N490" s="26">
        <v>250</v>
      </c>
    </row>
    <row r="491" spans="1:14" s="117" customFormat="1" ht="108" x14ac:dyDescent="0.35">
      <c r="A491" s="11"/>
      <c r="B491" s="24" t="s">
        <v>44</v>
      </c>
      <c r="C491" s="25" t="s">
        <v>279</v>
      </c>
      <c r="D491" s="10" t="s">
        <v>62</v>
      </c>
      <c r="E491" s="10" t="s">
        <v>32</v>
      </c>
      <c r="F491" s="571" t="s">
        <v>47</v>
      </c>
      <c r="G491" s="572" t="s">
        <v>84</v>
      </c>
      <c r="H491" s="572" t="s">
        <v>34</v>
      </c>
      <c r="I491" s="573" t="s">
        <v>389</v>
      </c>
      <c r="J491" s="10" t="s">
        <v>45</v>
      </c>
      <c r="K491" s="26">
        <v>250</v>
      </c>
      <c r="L491" s="26">
        <f>M491-K491</f>
        <v>0</v>
      </c>
      <c r="M491" s="26">
        <v>250</v>
      </c>
      <c r="N491" s="284">
        <v>250</v>
      </c>
    </row>
    <row r="492" spans="1:14" s="117" customFormat="1" ht="57" customHeight="1" x14ac:dyDescent="0.35">
      <c r="A492" s="11"/>
      <c r="B492" s="24" t="s">
        <v>416</v>
      </c>
      <c r="C492" s="25" t="s">
        <v>279</v>
      </c>
      <c r="D492" s="10" t="s">
        <v>62</v>
      </c>
      <c r="E492" s="10" t="s">
        <v>32</v>
      </c>
      <c r="F492" s="571" t="s">
        <v>47</v>
      </c>
      <c r="G492" s="572" t="s">
        <v>84</v>
      </c>
      <c r="H492" s="572" t="s">
        <v>34</v>
      </c>
      <c r="I492" s="573" t="s">
        <v>398</v>
      </c>
      <c r="J492" s="10"/>
      <c r="K492" s="26">
        <f>K493</f>
        <v>1665.6</v>
      </c>
      <c r="L492" s="26">
        <f>L493</f>
        <v>0</v>
      </c>
      <c r="M492" s="26">
        <v>1665.6</v>
      </c>
      <c r="N492" s="26">
        <v>1665.6</v>
      </c>
    </row>
    <row r="493" spans="1:14" s="117" customFormat="1" ht="108" x14ac:dyDescent="0.35">
      <c r="A493" s="11"/>
      <c r="B493" s="24" t="s">
        <v>44</v>
      </c>
      <c r="C493" s="25" t="s">
        <v>279</v>
      </c>
      <c r="D493" s="10" t="s">
        <v>62</v>
      </c>
      <c r="E493" s="10" t="s">
        <v>32</v>
      </c>
      <c r="F493" s="571" t="s">
        <v>47</v>
      </c>
      <c r="G493" s="572" t="s">
        <v>84</v>
      </c>
      <c r="H493" s="572" t="s">
        <v>34</v>
      </c>
      <c r="I493" s="573" t="s">
        <v>398</v>
      </c>
      <c r="J493" s="10" t="s">
        <v>45</v>
      </c>
      <c r="K493" s="26">
        <v>1665.6</v>
      </c>
      <c r="L493" s="26">
        <f>M493-K493</f>
        <v>0</v>
      </c>
      <c r="M493" s="26">
        <v>1665.6</v>
      </c>
      <c r="N493" s="284">
        <v>1665.6</v>
      </c>
    </row>
    <row r="494" spans="1:14" s="117" customFormat="1" ht="18" x14ac:dyDescent="0.35">
      <c r="A494" s="11"/>
      <c r="B494" s="24" t="s">
        <v>192</v>
      </c>
      <c r="C494" s="25" t="s">
        <v>279</v>
      </c>
      <c r="D494" s="10" t="s">
        <v>62</v>
      </c>
      <c r="E494" s="10" t="s">
        <v>34</v>
      </c>
      <c r="F494" s="571"/>
      <c r="G494" s="572"/>
      <c r="H494" s="572"/>
      <c r="I494" s="573"/>
      <c r="J494" s="10"/>
      <c r="K494" s="26">
        <f t="shared" ref="K494:N502" si="73">K495</f>
        <v>4319.5</v>
      </c>
      <c r="L494" s="26">
        <f t="shared" si="73"/>
        <v>0</v>
      </c>
      <c r="M494" s="26">
        <v>4319.5</v>
      </c>
      <c r="N494" s="26">
        <v>629.70000000000005</v>
      </c>
    </row>
    <row r="495" spans="1:14" s="117" customFormat="1" ht="56.25" customHeight="1" x14ac:dyDescent="0.35">
      <c r="A495" s="11"/>
      <c r="B495" s="24" t="s">
        <v>212</v>
      </c>
      <c r="C495" s="25" t="s">
        <v>279</v>
      </c>
      <c r="D495" s="10" t="s">
        <v>62</v>
      </c>
      <c r="E495" s="10" t="s">
        <v>34</v>
      </c>
      <c r="F495" s="571" t="s">
        <v>47</v>
      </c>
      <c r="G495" s="572" t="s">
        <v>37</v>
      </c>
      <c r="H495" s="572" t="s">
        <v>38</v>
      </c>
      <c r="I495" s="573" t="s">
        <v>39</v>
      </c>
      <c r="J495" s="10"/>
      <c r="K495" s="26">
        <f t="shared" si="73"/>
        <v>4319.5</v>
      </c>
      <c r="L495" s="26">
        <f t="shared" si="73"/>
        <v>0</v>
      </c>
      <c r="M495" s="26">
        <v>4319.5</v>
      </c>
      <c r="N495" s="26">
        <v>629.70000000000005</v>
      </c>
    </row>
    <row r="496" spans="1:14" s="117" customFormat="1" ht="36" x14ac:dyDescent="0.35">
      <c r="A496" s="11"/>
      <c r="B496" s="30" t="s">
        <v>213</v>
      </c>
      <c r="C496" s="25" t="s">
        <v>279</v>
      </c>
      <c r="D496" s="10" t="s">
        <v>62</v>
      </c>
      <c r="E496" s="10" t="s">
        <v>34</v>
      </c>
      <c r="F496" s="571" t="s">
        <v>47</v>
      </c>
      <c r="G496" s="572" t="s">
        <v>40</v>
      </c>
      <c r="H496" s="572" t="s">
        <v>38</v>
      </c>
      <c r="I496" s="573" t="s">
        <v>39</v>
      </c>
      <c r="J496" s="10"/>
      <c r="K496" s="26">
        <f>K497+K501</f>
        <v>4319.5</v>
      </c>
      <c r="L496" s="26">
        <f>L497+L501</f>
        <v>0</v>
      </c>
      <c r="M496" s="26">
        <v>4319.5</v>
      </c>
      <c r="N496" s="26">
        <v>629.70000000000005</v>
      </c>
    </row>
    <row r="497" spans="1:14" s="117" customFormat="1" ht="54" x14ac:dyDescent="0.35">
      <c r="A497" s="11"/>
      <c r="B497" s="24" t="s">
        <v>280</v>
      </c>
      <c r="C497" s="25" t="s">
        <v>279</v>
      </c>
      <c r="D497" s="10" t="s">
        <v>62</v>
      </c>
      <c r="E497" s="10" t="s">
        <v>34</v>
      </c>
      <c r="F497" s="571" t="s">
        <v>47</v>
      </c>
      <c r="G497" s="572" t="s">
        <v>40</v>
      </c>
      <c r="H497" s="572" t="s">
        <v>34</v>
      </c>
      <c r="I497" s="573" t="s">
        <v>39</v>
      </c>
      <c r="J497" s="10"/>
      <c r="K497" s="26">
        <f>K498</f>
        <v>629.70000000000005</v>
      </c>
      <c r="L497" s="26">
        <f>L498</f>
        <v>0</v>
      </c>
      <c r="M497" s="26">
        <v>629.70000000000005</v>
      </c>
      <c r="N497" s="26">
        <v>629.70000000000005</v>
      </c>
    </row>
    <row r="498" spans="1:14" s="117" customFormat="1" ht="54" x14ac:dyDescent="0.35">
      <c r="A498" s="11"/>
      <c r="B498" s="24" t="s">
        <v>214</v>
      </c>
      <c r="C498" s="25" t="s">
        <v>279</v>
      </c>
      <c r="D498" s="10" t="s">
        <v>62</v>
      </c>
      <c r="E498" s="10" t="s">
        <v>34</v>
      </c>
      <c r="F498" s="571" t="s">
        <v>47</v>
      </c>
      <c r="G498" s="572" t="s">
        <v>40</v>
      </c>
      <c r="H498" s="572" t="s">
        <v>34</v>
      </c>
      <c r="I498" s="573" t="s">
        <v>281</v>
      </c>
      <c r="J498" s="10"/>
      <c r="K498" s="26">
        <f>K499+K500</f>
        <v>629.70000000000005</v>
      </c>
      <c r="L498" s="26">
        <f>L499+L500</f>
        <v>0</v>
      </c>
      <c r="M498" s="26">
        <v>629.70000000000005</v>
      </c>
      <c r="N498" s="26">
        <v>629.70000000000005</v>
      </c>
    </row>
    <row r="499" spans="1:14" s="117" customFormat="1" ht="108" x14ac:dyDescent="0.35">
      <c r="A499" s="11"/>
      <c r="B499" s="24" t="s">
        <v>44</v>
      </c>
      <c r="C499" s="25" t="s">
        <v>279</v>
      </c>
      <c r="D499" s="10" t="s">
        <v>62</v>
      </c>
      <c r="E499" s="10" t="s">
        <v>34</v>
      </c>
      <c r="F499" s="571" t="s">
        <v>47</v>
      </c>
      <c r="G499" s="572" t="s">
        <v>40</v>
      </c>
      <c r="H499" s="572" t="s">
        <v>34</v>
      </c>
      <c r="I499" s="573" t="s">
        <v>281</v>
      </c>
      <c r="J499" s="10" t="s">
        <v>45</v>
      </c>
      <c r="K499" s="26">
        <v>561.70000000000005</v>
      </c>
      <c r="L499" s="26">
        <f>M499-K499</f>
        <v>0</v>
      </c>
      <c r="M499" s="26">
        <v>561.70000000000005</v>
      </c>
      <c r="N499" s="381">
        <v>561.70000000000005</v>
      </c>
    </row>
    <row r="500" spans="1:14" s="117" customFormat="1" ht="54" x14ac:dyDescent="0.35">
      <c r="A500" s="11"/>
      <c r="B500" s="24" t="s">
        <v>50</v>
      </c>
      <c r="C500" s="25" t="s">
        <v>279</v>
      </c>
      <c r="D500" s="10" t="s">
        <v>62</v>
      </c>
      <c r="E500" s="10" t="s">
        <v>34</v>
      </c>
      <c r="F500" s="571" t="s">
        <v>47</v>
      </c>
      <c r="G500" s="572" t="s">
        <v>40</v>
      </c>
      <c r="H500" s="572" t="s">
        <v>34</v>
      </c>
      <c r="I500" s="573" t="s">
        <v>281</v>
      </c>
      <c r="J500" s="10" t="s">
        <v>51</v>
      </c>
      <c r="K500" s="26">
        <v>68</v>
      </c>
      <c r="L500" s="26">
        <f>M500-K500</f>
        <v>0</v>
      </c>
      <c r="M500" s="26">
        <v>68</v>
      </c>
      <c r="N500" s="382">
        <v>68</v>
      </c>
    </row>
    <row r="501" spans="1:14" s="117" customFormat="1" ht="21" customHeight="1" x14ac:dyDescent="0.35">
      <c r="A501" s="11"/>
      <c r="B501" s="24" t="s">
        <v>463</v>
      </c>
      <c r="C501" s="25" t="s">
        <v>279</v>
      </c>
      <c r="D501" s="10" t="s">
        <v>62</v>
      </c>
      <c r="E501" s="10" t="s">
        <v>34</v>
      </c>
      <c r="F501" s="571" t="s">
        <v>47</v>
      </c>
      <c r="G501" s="572" t="s">
        <v>40</v>
      </c>
      <c r="H501" s="572" t="s">
        <v>462</v>
      </c>
      <c r="I501" s="573" t="s">
        <v>39</v>
      </c>
      <c r="J501" s="10"/>
      <c r="K501" s="26">
        <f t="shared" si="73"/>
        <v>3689.8</v>
      </c>
      <c r="L501" s="26">
        <f t="shared" si="73"/>
        <v>0</v>
      </c>
      <c r="M501" s="26">
        <v>3689.8</v>
      </c>
      <c r="N501" s="26">
        <v>0</v>
      </c>
    </row>
    <row r="502" spans="1:14" s="117" customFormat="1" ht="54" x14ac:dyDescent="0.35">
      <c r="A502" s="11"/>
      <c r="B502" s="24" t="s">
        <v>464</v>
      </c>
      <c r="C502" s="25" t="s">
        <v>279</v>
      </c>
      <c r="D502" s="10" t="s">
        <v>62</v>
      </c>
      <c r="E502" s="10" t="s">
        <v>34</v>
      </c>
      <c r="F502" s="571" t="s">
        <v>47</v>
      </c>
      <c r="G502" s="572" t="s">
        <v>40</v>
      </c>
      <c r="H502" s="572" t="s">
        <v>462</v>
      </c>
      <c r="I502" s="573" t="s">
        <v>474</v>
      </c>
      <c r="J502" s="10"/>
      <c r="K502" s="26">
        <f t="shared" si="73"/>
        <v>3689.8</v>
      </c>
      <c r="L502" s="26">
        <f t="shared" si="73"/>
        <v>0</v>
      </c>
      <c r="M502" s="26">
        <v>3689.8</v>
      </c>
      <c r="N502" s="26">
        <v>0</v>
      </c>
    </row>
    <row r="503" spans="1:14" s="117" customFormat="1" ht="54" x14ac:dyDescent="0.35">
      <c r="A503" s="11"/>
      <c r="B503" s="24" t="s">
        <v>50</v>
      </c>
      <c r="C503" s="25" t="s">
        <v>279</v>
      </c>
      <c r="D503" s="10" t="s">
        <v>62</v>
      </c>
      <c r="E503" s="10" t="s">
        <v>34</v>
      </c>
      <c r="F503" s="571" t="s">
        <v>47</v>
      </c>
      <c r="G503" s="572" t="s">
        <v>40</v>
      </c>
      <c r="H503" s="572" t="s">
        <v>462</v>
      </c>
      <c r="I503" s="573" t="s">
        <v>474</v>
      </c>
      <c r="J503" s="10" t="s">
        <v>51</v>
      </c>
      <c r="K503" s="26">
        <v>3689.8</v>
      </c>
      <c r="L503" s="26">
        <f>M503-K503</f>
        <v>0</v>
      </c>
      <c r="M503" s="26">
        <v>3689.8</v>
      </c>
      <c r="N503" s="284">
        <v>0</v>
      </c>
    </row>
    <row r="504" spans="1:14" s="7" customFormat="1" ht="36" x14ac:dyDescent="0.35">
      <c r="A504" s="11"/>
      <c r="B504" s="30" t="s">
        <v>194</v>
      </c>
      <c r="C504" s="25" t="s">
        <v>279</v>
      </c>
      <c r="D504" s="10" t="s">
        <v>62</v>
      </c>
      <c r="E504" s="10" t="s">
        <v>60</v>
      </c>
      <c r="F504" s="571"/>
      <c r="G504" s="572"/>
      <c r="H504" s="572"/>
      <c r="I504" s="573"/>
      <c r="J504" s="10"/>
      <c r="K504" s="26">
        <f t="shared" ref="K504:N507" si="74">K505</f>
        <v>2486.9</v>
      </c>
      <c r="L504" s="26">
        <f t="shared" si="74"/>
        <v>0</v>
      </c>
      <c r="M504" s="26">
        <v>2486.9</v>
      </c>
      <c r="N504" s="26">
        <v>2487.9</v>
      </c>
    </row>
    <row r="505" spans="1:14" s="7" customFormat="1" ht="60" customHeight="1" x14ac:dyDescent="0.35">
      <c r="A505" s="11"/>
      <c r="B505" s="24" t="s">
        <v>212</v>
      </c>
      <c r="C505" s="25" t="s">
        <v>279</v>
      </c>
      <c r="D505" s="10" t="s">
        <v>62</v>
      </c>
      <c r="E505" s="10" t="s">
        <v>60</v>
      </c>
      <c r="F505" s="571" t="s">
        <v>47</v>
      </c>
      <c r="G505" s="572" t="s">
        <v>37</v>
      </c>
      <c r="H505" s="572" t="s">
        <v>38</v>
      </c>
      <c r="I505" s="573" t="s">
        <v>39</v>
      </c>
      <c r="J505" s="10"/>
      <c r="K505" s="26">
        <f t="shared" si="74"/>
        <v>2486.9</v>
      </c>
      <c r="L505" s="26">
        <f t="shared" si="74"/>
        <v>0</v>
      </c>
      <c r="M505" s="26">
        <v>2486.9</v>
      </c>
      <c r="N505" s="26">
        <v>2487.9</v>
      </c>
    </row>
    <row r="506" spans="1:14" s="7" customFormat="1" ht="36" x14ac:dyDescent="0.35">
      <c r="A506" s="11"/>
      <c r="B506" s="28" t="s">
        <v>215</v>
      </c>
      <c r="C506" s="25" t="s">
        <v>279</v>
      </c>
      <c r="D506" s="10" t="s">
        <v>62</v>
      </c>
      <c r="E506" s="10" t="s">
        <v>60</v>
      </c>
      <c r="F506" s="571" t="s">
        <v>47</v>
      </c>
      <c r="G506" s="572" t="s">
        <v>84</v>
      </c>
      <c r="H506" s="572" t="s">
        <v>38</v>
      </c>
      <c r="I506" s="573" t="s">
        <v>39</v>
      </c>
      <c r="J506" s="10"/>
      <c r="K506" s="26">
        <f t="shared" si="74"/>
        <v>2486.9</v>
      </c>
      <c r="L506" s="26">
        <f t="shared" si="74"/>
        <v>0</v>
      </c>
      <c r="M506" s="26">
        <v>2486.9</v>
      </c>
      <c r="N506" s="26">
        <v>2487.9</v>
      </c>
    </row>
    <row r="507" spans="1:14" s="7" customFormat="1" ht="36" x14ac:dyDescent="0.35">
      <c r="A507" s="11"/>
      <c r="B507" s="24" t="s">
        <v>270</v>
      </c>
      <c r="C507" s="25" t="s">
        <v>279</v>
      </c>
      <c r="D507" s="10" t="s">
        <v>62</v>
      </c>
      <c r="E507" s="10" t="s">
        <v>60</v>
      </c>
      <c r="F507" s="571" t="s">
        <v>47</v>
      </c>
      <c r="G507" s="572" t="s">
        <v>84</v>
      </c>
      <c r="H507" s="572" t="s">
        <v>32</v>
      </c>
      <c r="I507" s="573" t="s">
        <v>39</v>
      </c>
      <c r="J507" s="10"/>
      <c r="K507" s="26">
        <f t="shared" si="74"/>
        <v>2486.9</v>
      </c>
      <c r="L507" s="26">
        <f t="shared" si="74"/>
        <v>0</v>
      </c>
      <c r="M507" s="26">
        <v>2486.9</v>
      </c>
      <c r="N507" s="26">
        <v>2487.9</v>
      </c>
    </row>
    <row r="508" spans="1:14" s="7" customFormat="1" ht="36" x14ac:dyDescent="0.35">
      <c r="A508" s="11"/>
      <c r="B508" s="24" t="s">
        <v>42</v>
      </c>
      <c r="C508" s="25" t="s">
        <v>279</v>
      </c>
      <c r="D508" s="10" t="s">
        <v>62</v>
      </c>
      <c r="E508" s="10" t="s">
        <v>60</v>
      </c>
      <c r="F508" s="571" t="s">
        <v>47</v>
      </c>
      <c r="G508" s="572" t="s">
        <v>84</v>
      </c>
      <c r="H508" s="572" t="s">
        <v>32</v>
      </c>
      <c r="I508" s="573" t="s">
        <v>43</v>
      </c>
      <c r="J508" s="10"/>
      <c r="K508" s="26">
        <f>K509+K510+K511</f>
        <v>2486.9</v>
      </c>
      <c r="L508" s="26">
        <f>L509+L510+L511</f>
        <v>0</v>
      </c>
      <c r="M508" s="26">
        <v>2486.9</v>
      </c>
      <c r="N508" s="26">
        <v>2487.9</v>
      </c>
    </row>
    <row r="509" spans="1:14" s="7" customFormat="1" ht="108" x14ac:dyDescent="0.35">
      <c r="A509" s="11"/>
      <c r="B509" s="24" t="s">
        <v>44</v>
      </c>
      <c r="C509" s="25" t="s">
        <v>279</v>
      </c>
      <c r="D509" s="10" t="s">
        <v>62</v>
      </c>
      <c r="E509" s="10" t="s">
        <v>60</v>
      </c>
      <c r="F509" s="571" t="s">
        <v>47</v>
      </c>
      <c r="G509" s="572" t="s">
        <v>84</v>
      </c>
      <c r="H509" s="572" t="s">
        <v>32</v>
      </c>
      <c r="I509" s="573" t="s">
        <v>43</v>
      </c>
      <c r="J509" s="10" t="s">
        <v>45</v>
      </c>
      <c r="K509" s="26">
        <v>2442.4</v>
      </c>
      <c r="L509" s="26">
        <f>M509-K509</f>
        <v>0</v>
      </c>
      <c r="M509" s="26">
        <v>2442.4</v>
      </c>
      <c r="N509" s="26">
        <v>2442.4</v>
      </c>
    </row>
    <row r="510" spans="1:14" s="7" customFormat="1" ht="54" x14ac:dyDescent="0.35">
      <c r="A510" s="11"/>
      <c r="B510" s="24" t="s">
        <v>50</v>
      </c>
      <c r="C510" s="25" t="s">
        <v>279</v>
      </c>
      <c r="D510" s="10" t="s">
        <v>62</v>
      </c>
      <c r="E510" s="10" t="s">
        <v>60</v>
      </c>
      <c r="F510" s="571" t="s">
        <v>47</v>
      </c>
      <c r="G510" s="572" t="s">
        <v>84</v>
      </c>
      <c r="H510" s="572" t="s">
        <v>32</v>
      </c>
      <c r="I510" s="573" t="s">
        <v>43</v>
      </c>
      <c r="J510" s="10" t="s">
        <v>51</v>
      </c>
      <c r="K510" s="26">
        <f>42.5+0.1</f>
        <v>42.6</v>
      </c>
      <c r="L510" s="26">
        <f>M510-K510</f>
        <v>0</v>
      </c>
      <c r="M510" s="26">
        <v>42.6</v>
      </c>
      <c r="N510" s="26">
        <v>43.7</v>
      </c>
    </row>
    <row r="511" spans="1:14" s="7" customFormat="1" ht="18" x14ac:dyDescent="0.35">
      <c r="A511" s="11"/>
      <c r="B511" s="24" t="s">
        <v>52</v>
      </c>
      <c r="C511" s="25" t="s">
        <v>279</v>
      </c>
      <c r="D511" s="10" t="s">
        <v>62</v>
      </c>
      <c r="E511" s="10" t="s">
        <v>60</v>
      </c>
      <c r="F511" s="571" t="s">
        <v>47</v>
      </c>
      <c r="G511" s="572" t="s">
        <v>84</v>
      </c>
      <c r="H511" s="572" t="s">
        <v>32</v>
      </c>
      <c r="I511" s="573" t="s">
        <v>43</v>
      </c>
      <c r="J511" s="10" t="s">
        <v>53</v>
      </c>
      <c r="K511" s="26">
        <v>1.9</v>
      </c>
      <c r="L511" s="26">
        <f>M511-K511</f>
        <v>0</v>
      </c>
      <c r="M511" s="26">
        <v>1.9</v>
      </c>
      <c r="N511" s="26">
        <v>1.8</v>
      </c>
    </row>
    <row r="512" spans="1:14" s="7" customFormat="1" ht="18" x14ac:dyDescent="0.35">
      <c r="A512" s="11"/>
      <c r="B512" s="24"/>
      <c r="C512" s="25"/>
      <c r="D512" s="10"/>
      <c r="E512" s="10"/>
      <c r="F512" s="571"/>
      <c r="G512" s="572"/>
      <c r="H512" s="572"/>
      <c r="I512" s="573"/>
      <c r="J512" s="10"/>
      <c r="K512" s="26"/>
      <c r="L512" s="26"/>
      <c r="M512" s="26"/>
      <c r="N512" s="26"/>
    </row>
    <row r="513" spans="1:14" s="117" customFormat="1" ht="52.2" x14ac:dyDescent="0.3">
      <c r="A513" s="116">
        <v>8</v>
      </c>
      <c r="B513" s="18" t="s">
        <v>9</v>
      </c>
      <c r="C513" s="19" t="s">
        <v>275</v>
      </c>
      <c r="D513" s="20"/>
      <c r="E513" s="20"/>
      <c r="F513" s="21"/>
      <c r="G513" s="22"/>
      <c r="H513" s="22"/>
      <c r="I513" s="23"/>
      <c r="J513" s="20"/>
      <c r="K513" s="40">
        <f>K527+K514</f>
        <v>6956.4</v>
      </c>
      <c r="L513" s="40">
        <f>L527+L514</f>
        <v>0</v>
      </c>
      <c r="M513" s="40">
        <v>6956.4</v>
      </c>
      <c r="N513" s="40">
        <v>6961.8999999999987</v>
      </c>
    </row>
    <row r="514" spans="1:14" s="117" customFormat="1" ht="18" x14ac:dyDescent="0.35">
      <c r="A514" s="116"/>
      <c r="B514" s="24" t="s">
        <v>31</v>
      </c>
      <c r="C514" s="25" t="s">
        <v>275</v>
      </c>
      <c r="D514" s="10" t="s">
        <v>32</v>
      </c>
      <c r="E514" s="10"/>
      <c r="F514" s="571"/>
      <c r="G514" s="572"/>
      <c r="H514" s="572"/>
      <c r="I514" s="573"/>
      <c r="J514" s="10"/>
      <c r="K514" s="224">
        <f t="shared" ref="K514:N516" si="75">K515</f>
        <v>150.89999999999998</v>
      </c>
      <c r="L514" s="224">
        <f t="shared" si="75"/>
        <v>0</v>
      </c>
      <c r="M514" s="224">
        <v>150.89999999999998</v>
      </c>
      <c r="N514" s="224">
        <v>150.89999999999998</v>
      </c>
    </row>
    <row r="515" spans="1:14" s="117" customFormat="1" ht="18" x14ac:dyDescent="0.35">
      <c r="A515" s="116"/>
      <c r="B515" s="24" t="s">
        <v>65</v>
      </c>
      <c r="C515" s="25" t="s">
        <v>275</v>
      </c>
      <c r="D515" s="10" t="s">
        <v>32</v>
      </c>
      <c r="E515" s="10" t="s">
        <v>66</v>
      </c>
      <c r="F515" s="571"/>
      <c r="G515" s="572"/>
      <c r="H515" s="572"/>
      <c r="I515" s="573"/>
      <c r="J515" s="10"/>
      <c r="K515" s="224">
        <f t="shared" si="75"/>
        <v>150.89999999999998</v>
      </c>
      <c r="L515" s="224">
        <f t="shared" si="75"/>
        <v>0</v>
      </c>
      <c r="M515" s="224">
        <v>150.89999999999998</v>
      </c>
      <c r="N515" s="224">
        <v>150.89999999999998</v>
      </c>
    </row>
    <row r="516" spans="1:14" s="117" customFormat="1" ht="54" x14ac:dyDescent="0.35">
      <c r="A516" s="116"/>
      <c r="B516" s="24" t="s">
        <v>216</v>
      </c>
      <c r="C516" s="25" t="s">
        <v>275</v>
      </c>
      <c r="D516" s="10" t="s">
        <v>32</v>
      </c>
      <c r="E516" s="10" t="s">
        <v>66</v>
      </c>
      <c r="F516" s="571" t="s">
        <v>60</v>
      </c>
      <c r="G516" s="572" t="s">
        <v>37</v>
      </c>
      <c r="H516" s="572" t="s">
        <v>38</v>
      </c>
      <c r="I516" s="573" t="s">
        <v>39</v>
      </c>
      <c r="J516" s="10"/>
      <c r="K516" s="224">
        <f t="shared" si="75"/>
        <v>150.89999999999998</v>
      </c>
      <c r="L516" s="224">
        <f t="shared" si="75"/>
        <v>0</v>
      </c>
      <c r="M516" s="224">
        <v>150.89999999999998</v>
      </c>
      <c r="N516" s="224">
        <v>150.89999999999998</v>
      </c>
    </row>
    <row r="517" spans="1:14" s="117" customFormat="1" ht="36" x14ac:dyDescent="0.35">
      <c r="A517" s="116"/>
      <c r="B517" s="24" t="s">
        <v>215</v>
      </c>
      <c r="C517" s="25" t="s">
        <v>275</v>
      </c>
      <c r="D517" s="10" t="s">
        <v>32</v>
      </c>
      <c r="E517" s="10" t="s">
        <v>66</v>
      </c>
      <c r="F517" s="571" t="s">
        <v>60</v>
      </c>
      <c r="G517" s="572" t="s">
        <v>84</v>
      </c>
      <c r="H517" s="572" t="s">
        <v>38</v>
      </c>
      <c r="I517" s="573" t="s">
        <v>39</v>
      </c>
      <c r="J517" s="10"/>
      <c r="K517" s="224">
        <f>K518+K521+K524</f>
        <v>150.89999999999998</v>
      </c>
      <c r="L517" s="224">
        <f>L518+L521+L524</f>
        <v>0</v>
      </c>
      <c r="M517" s="224">
        <v>150.89999999999998</v>
      </c>
      <c r="N517" s="224">
        <v>150.89999999999998</v>
      </c>
    </row>
    <row r="518" spans="1:14" s="117" customFormat="1" ht="36" x14ac:dyDescent="0.35">
      <c r="A518" s="116"/>
      <c r="B518" s="259" t="s">
        <v>340</v>
      </c>
      <c r="C518" s="25" t="s">
        <v>275</v>
      </c>
      <c r="D518" s="10" t="s">
        <v>32</v>
      </c>
      <c r="E518" s="10" t="s">
        <v>66</v>
      </c>
      <c r="F518" s="571" t="s">
        <v>60</v>
      </c>
      <c r="G518" s="572" t="s">
        <v>84</v>
      </c>
      <c r="H518" s="572" t="s">
        <v>34</v>
      </c>
      <c r="I518" s="573" t="s">
        <v>39</v>
      </c>
      <c r="J518" s="10"/>
      <c r="K518" s="224">
        <f t="shared" ref="K518:N519" si="76">K519</f>
        <v>93.6</v>
      </c>
      <c r="L518" s="224">
        <f t="shared" si="76"/>
        <v>0</v>
      </c>
      <c r="M518" s="224">
        <v>93.6</v>
      </c>
      <c r="N518" s="224">
        <v>93.6</v>
      </c>
    </row>
    <row r="519" spans="1:14" s="117" customFormat="1" ht="63" customHeight="1" x14ac:dyDescent="0.35">
      <c r="A519" s="116"/>
      <c r="B519" s="259" t="s">
        <v>341</v>
      </c>
      <c r="C519" s="25" t="s">
        <v>275</v>
      </c>
      <c r="D519" s="10" t="s">
        <v>32</v>
      </c>
      <c r="E519" s="10" t="s">
        <v>66</v>
      </c>
      <c r="F519" s="571" t="s">
        <v>60</v>
      </c>
      <c r="G519" s="572" t="s">
        <v>84</v>
      </c>
      <c r="H519" s="572" t="s">
        <v>34</v>
      </c>
      <c r="I519" s="573" t="s">
        <v>100</v>
      </c>
      <c r="J519" s="10"/>
      <c r="K519" s="224">
        <f t="shared" si="76"/>
        <v>93.6</v>
      </c>
      <c r="L519" s="224">
        <f t="shared" si="76"/>
        <v>0</v>
      </c>
      <c r="M519" s="224">
        <v>93.6</v>
      </c>
      <c r="N519" s="224">
        <v>93.6</v>
      </c>
    </row>
    <row r="520" spans="1:14" s="117" customFormat="1" ht="54" x14ac:dyDescent="0.35">
      <c r="A520" s="116"/>
      <c r="B520" s="259" t="s">
        <v>50</v>
      </c>
      <c r="C520" s="25" t="s">
        <v>275</v>
      </c>
      <c r="D520" s="10" t="s">
        <v>32</v>
      </c>
      <c r="E520" s="10" t="s">
        <v>66</v>
      </c>
      <c r="F520" s="571" t="s">
        <v>60</v>
      </c>
      <c r="G520" s="572" t="s">
        <v>84</v>
      </c>
      <c r="H520" s="572" t="s">
        <v>34</v>
      </c>
      <c r="I520" s="573" t="s">
        <v>100</v>
      </c>
      <c r="J520" s="10" t="s">
        <v>51</v>
      </c>
      <c r="K520" s="224">
        <v>93.6</v>
      </c>
      <c r="L520" s="26">
        <f>M520-K520</f>
        <v>0</v>
      </c>
      <c r="M520" s="224">
        <v>93.6</v>
      </c>
      <c r="N520" s="224">
        <v>93.6</v>
      </c>
    </row>
    <row r="521" spans="1:14" s="117" customFormat="1" ht="36" x14ac:dyDescent="0.35">
      <c r="A521" s="116"/>
      <c r="B521" s="24" t="s">
        <v>441</v>
      </c>
      <c r="C521" s="25" t="s">
        <v>275</v>
      </c>
      <c r="D521" s="10" t="s">
        <v>32</v>
      </c>
      <c r="E521" s="10" t="s">
        <v>66</v>
      </c>
      <c r="F521" s="571" t="s">
        <v>60</v>
      </c>
      <c r="G521" s="572" t="s">
        <v>84</v>
      </c>
      <c r="H521" s="572" t="s">
        <v>58</v>
      </c>
      <c r="I521" s="573" t="s">
        <v>39</v>
      </c>
      <c r="J521" s="10"/>
      <c r="K521" s="224">
        <f t="shared" ref="K521:N522" si="77">K522</f>
        <v>14.8</v>
      </c>
      <c r="L521" s="224">
        <f t="shared" si="77"/>
        <v>0</v>
      </c>
      <c r="M521" s="224">
        <v>14.8</v>
      </c>
      <c r="N521" s="224">
        <v>14.8</v>
      </c>
    </row>
    <row r="522" spans="1:14" s="117" customFormat="1" ht="18" x14ac:dyDescent="0.35">
      <c r="A522" s="116"/>
      <c r="B522" s="24" t="s">
        <v>439</v>
      </c>
      <c r="C522" s="25" t="s">
        <v>275</v>
      </c>
      <c r="D522" s="10" t="s">
        <v>32</v>
      </c>
      <c r="E522" s="10" t="s">
        <v>66</v>
      </c>
      <c r="F522" s="571" t="s">
        <v>60</v>
      </c>
      <c r="G522" s="572" t="s">
        <v>84</v>
      </c>
      <c r="H522" s="572" t="s">
        <v>58</v>
      </c>
      <c r="I522" s="573" t="s">
        <v>440</v>
      </c>
      <c r="J522" s="10"/>
      <c r="K522" s="224">
        <f t="shared" si="77"/>
        <v>14.8</v>
      </c>
      <c r="L522" s="224">
        <f t="shared" si="77"/>
        <v>0</v>
      </c>
      <c r="M522" s="224">
        <v>14.8</v>
      </c>
      <c r="N522" s="224">
        <v>14.8</v>
      </c>
    </row>
    <row r="523" spans="1:14" s="117" customFormat="1" ht="54" x14ac:dyDescent="0.35">
      <c r="A523" s="116"/>
      <c r="B523" s="259" t="s">
        <v>50</v>
      </c>
      <c r="C523" s="25" t="s">
        <v>275</v>
      </c>
      <c r="D523" s="10" t="s">
        <v>32</v>
      </c>
      <c r="E523" s="10" t="s">
        <v>66</v>
      </c>
      <c r="F523" s="571" t="s">
        <v>60</v>
      </c>
      <c r="G523" s="572" t="s">
        <v>84</v>
      </c>
      <c r="H523" s="572" t="s">
        <v>58</v>
      </c>
      <c r="I523" s="573" t="s">
        <v>440</v>
      </c>
      <c r="J523" s="35" t="s">
        <v>51</v>
      </c>
      <c r="K523" s="224">
        <v>14.8</v>
      </c>
      <c r="L523" s="26">
        <f>M523-K523</f>
        <v>0</v>
      </c>
      <c r="M523" s="224">
        <v>14.8</v>
      </c>
      <c r="N523" s="224">
        <v>14.8</v>
      </c>
    </row>
    <row r="524" spans="1:14" s="117" customFormat="1" ht="36" x14ac:dyDescent="0.35">
      <c r="A524" s="116"/>
      <c r="B524" s="259" t="s">
        <v>445</v>
      </c>
      <c r="C524" s="25" t="s">
        <v>275</v>
      </c>
      <c r="D524" s="10" t="s">
        <v>32</v>
      </c>
      <c r="E524" s="10" t="s">
        <v>66</v>
      </c>
      <c r="F524" s="571" t="s">
        <v>60</v>
      </c>
      <c r="G524" s="572" t="s">
        <v>84</v>
      </c>
      <c r="H524" s="572" t="s">
        <v>47</v>
      </c>
      <c r="I524" s="573" t="s">
        <v>39</v>
      </c>
      <c r="J524" s="20"/>
      <c r="K524" s="224">
        <f t="shared" ref="K524:N525" si="78">K525</f>
        <v>42.5</v>
      </c>
      <c r="L524" s="224">
        <f t="shared" si="78"/>
        <v>0</v>
      </c>
      <c r="M524" s="224">
        <v>42.5</v>
      </c>
      <c r="N524" s="224">
        <v>42.5</v>
      </c>
    </row>
    <row r="525" spans="1:14" s="117" customFormat="1" ht="36" x14ac:dyDescent="0.35">
      <c r="A525" s="116"/>
      <c r="B525" s="233" t="s">
        <v>122</v>
      </c>
      <c r="C525" s="25" t="s">
        <v>275</v>
      </c>
      <c r="D525" s="10" t="s">
        <v>32</v>
      </c>
      <c r="E525" s="10" t="s">
        <v>66</v>
      </c>
      <c r="F525" s="571" t="s">
        <v>60</v>
      </c>
      <c r="G525" s="572" t="s">
        <v>84</v>
      </c>
      <c r="H525" s="572" t="s">
        <v>47</v>
      </c>
      <c r="I525" s="573" t="s">
        <v>85</v>
      </c>
      <c r="J525" s="20"/>
      <c r="K525" s="224">
        <f t="shared" si="78"/>
        <v>42.5</v>
      </c>
      <c r="L525" s="224">
        <f t="shared" si="78"/>
        <v>0</v>
      </c>
      <c r="M525" s="224">
        <v>42.5</v>
      </c>
      <c r="N525" s="224">
        <v>42.5</v>
      </c>
    </row>
    <row r="526" spans="1:14" s="117" customFormat="1" ht="54" x14ac:dyDescent="0.35">
      <c r="A526" s="116"/>
      <c r="B526" s="259" t="s">
        <v>50</v>
      </c>
      <c r="C526" s="25" t="s">
        <v>275</v>
      </c>
      <c r="D526" s="10" t="s">
        <v>32</v>
      </c>
      <c r="E526" s="10" t="s">
        <v>66</v>
      </c>
      <c r="F526" s="571" t="s">
        <v>60</v>
      </c>
      <c r="G526" s="572" t="s">
        <v>84</v>
      </c>
      <c r="H526" s="572" t="s">
        <v>47</v>
      </c>
      <c r="I526" s="573" t="s">
        <v>85</v>
      </c>
      <c r="J526" s="35" t="s">
        <v>51</v>
      </c>
      <c r="K526" s="224">
        <v>42.5</v>
      </c>
      <c r="L526" s="26">
        <f>M526-K526</f>
        <v>0</v>
      </c>
      <c r="M526" s="224">
        <v>42.5</v>
      </c>
      <c r="N526" s="224">
        <v>42.5</v>
      </c>
    </row>
    <row r="527" spans="1:14" s="7" customFormat="1" ht="18" x14ac:dyDescent="0.35">
      <c r="A527" s="116"/>
      <c r="B527" s="24" t="s">
        <v>174</v>
      </c>
      <c r="C527" s="25" t="s">
        <v>275</v>
      </c>
      <c r="D527" s="10" t="s">
        <v>219</v>
      </c>
      <c r="E527" s="10"/>
      <c r="F527" s="571"/>
      <c r="G527" s="572"/>
      <c r="H527" s="572"/>
      <c r="I527" s="573"/>
      <c r="J527" s="10"/>
      <c r="K527" s="26">
        <f>K528+K536</f>
        <v>6805.5</v>
      </c>
      <c r="L527" s="26">
        <f>L528+L536</f>
        <v>0</v>
      </c>
      <c r="M527" s="26">
        <v>6805.5</v>
      </c>
      <c r="N527" s="26">
        <v>6810.9999999999991</v>
      </c>
    </row>
    <row r="528" spans="1:14" s="117" customFormat="1" ht="18" x14ac:dyDescent="0.35">
      <c r="A528" s="116"/>
      <c r="B528" s="24" t="s">
        <v>339</v>
      </c>
      <c r="C528" s="25" t="s">
        <v>275</v>
      </c>
      <c r="D528" s="10" t="s">
        <v>219</v>
      </c>
      <c r="E528" s="10" t="s">
        <v>219</v>
      </c>
      <c r="F528" s="571"/>
      <c r="G528" s="572"/>
      <c r="H528" s="572"/>
      <c r="I528" s="573"/>
      <c r="J528" s="10"/>
      <c r="K528" s="26">
        <f>K529</f>
        <v>3771.5999999999995</v>
      </c>
      <c r="L528" s="26">
        <f>L529</f>
        <v>0</v>
      </c>
      <c r="M528" s="26">
        <v>3771.5999999999995</v>
      </c>
      <c r="N528" s="26">
        <v>3771.5999999999995</v>
      </c>
    </row>
    <row r="529" spans="1:14" s="117" customFormat="1" ht="54" x14ac:dyDescent="0.35">
      <c r="A529" s="116"/>
      <c r="B529" s="24" t="s">
        <v>216</v>
      </c>
      <c r="C529" s="25" t="s">
        <v>275</v>
      </c>
      <c r="D529" s="10" t="s">
        <v>219</v>
      </c>
      <c r="E529" s="10" t="s">
        <v>219</v>
      </c>
      <c r="F529" s="571" t="s">
        <v>60</v>
      </c>
      <c r="G529" s="572" t="s">
        <v>37</v>
      </c>
      <c r="H529" s="572" t="s">
        <v>38</v>
      </c>
      <c r="I529" s="573" t="s">
        <v>39</v>
      </c>
      <c r="J529" s="10"/>
      <c r="K529" s="26">
        <f t="shared" ref="K529:N531" si="79">K530</f>
        <v>3771.5999999999995</v>
      </c>
      <c r="L529" s="26">
        <f t="shared" si="79"/>
        <v>0</v>
      </c>
      <c r="M529" s="26">
        <v>3771.5999999999995</v>
      </c>
      <c r="N529" s="26">
        <v>3771.5999999999995</v>
      </c>
    </row>
    <row r="530" spans="1:14" s="117" customFormat="1" ht="18" x14ac:dyDescent="0.35">
      <c r="A530" s="116"/>
      <c r="B530" s="24" t="s">
        <v>217</v>
      </c>
      <c r="C530" s="25" t="s">
        <v>275</v>
      </c>
      <c r="D530" s="10" t="s">
        <v>219</v>
      </c>
      <c r="E530" s="10" t="s">
        <v>219</v>
      </c>
      <c r="F530" s="571" t="s">
        <v>60</v>
      </c>
      <c r="G530" s="572" t="s">
        <v>40</v>
      </c>
      <c r="H530" s="572" t="s">
        <v>38</v>
      </c>
      <c r="I530" s="573" t="s">
        <v>39</v>
      </c>
      <c r="J530" s="10"/>
      <c r="K530" s="26">
        <f t="shared" si="79"/>
        <v>3771.5999999999995</v>
      </c>
      <c r="L530" s="26">
        <f t="shared" si="79"/>
        <v>0</v>
      </c>
      <c r="M530" s="26">
        <v>3771.5999999999995</v>
      </c>
      <c r="N530" s="26">
        <v>3771.5999999999995</v>
      </c>
    </row>
    <row r="531" spans="1:14" s="117" customFormat="1" ht="78" customHeight="1" x14ac:dyDescent="0.35">
      <c r="A531" s="116"/>
      <c r="B531" s="24" t="s">
        <v>276</v>
      </c>
      <c r="C531" s="25" t="s">
        <v>275</v>
      </c>
      <c r="D531" s="10" t="s">
        <v>219</v>
      </c>
      <c r="E531" s="10" t="s">
        <v>219</v>
      </c>
      <c r="F531" s="571" t="s">
        <v>60</v>
      </c>
      <c r="G531" s="572" t="s">
        <v>40</v>
      </c>
      <c r="H531" s="572" t="s">
        <v>32</v>
      </c>
      <c r="I531" s="573" t="s">
        <v>39</v>
      </c>
      <c r="J531" s="10"/>
      <c r="K531" s="26">
        <f t="shared" si="79"/>
        <v>3771.5999999999995</v>
      </c>
      <c r="L531" s="26">
        <f t="shared" si="79"/>
        <v>0</v>
      </c>
      <c r="M531" s="26">
        <v>3771.5999999999995</v>
      </c>
      <c r="N531" s="26">
        <v>3771.5999999999995</v>
      </c>
    </row>
    <row r="532" spans="1:14" s="117" customFormat="1" ht="39" customHeight="1" x14ac:dyDescent="0.35">
      <c r="A532" s="116"/>
      <c r="B532" s="79" t="s">
        <v>437</v>
      </c>
      <c r="C532" s="25" t="s">
        <v>275</v>
      </c>
      <c r="D532" s="10" t="s">
        <v>219</v>
      </c>
      <c r="E532" s="10" t="s">
        <v>219</v>
      </c>
      <c r="F532" s="571" t="s">
        <v>60</v>
      </c>
      <c r="G532" s="572" t="s">
        <v>40</v>
      </c>
      <c r="H532" s="572" t="s">
        <v>32</v>
      </c>
      <c r="I532" s="573" t="s">
        <v>86</v>
      </c>
      <c r="J532" s="10"/>
      <c r="K532" s="26">
        <f>K533+K534+K535</f>
        <v>3771.5999999999995</v>
      </c>
      <c r="L532" s="26">
        <f>L533+L534+L535</f>
        <v>0</v>
      </c>
      <c r="M532" s="26">
        <v>3771.5999999999995</v>
      </c>
      <c r="N532" s="26">
        <v>3771.5999999999995</v>
      </c>
    </row>
    <row r="533" spans="1:14" s="117" customFormat="1" ht="108" x14ac:dyDescent="0.35">
      <c r="A533" s="11"/>
      <c r="B533" s="24" t="s">
        <v>44</v>
      </c>
      <c r="C533" s="25" t="s">
        <v>275</v>
      </c>
      <c r="D533" s="10" t="s">
        <v>219</v>
      </c>
      <c r="E533" s="10" t="s">
        <v>219</v>
      </c>
      <c r="F533" s="571" t="s">
        <v>60</v>
      </c>
      <c r="G533" s="572" t="s">
        <v>40</v>
      </c>
      <c r="H533" s="572" t="s">
        <v>32</v>
      </c>
      <c r="I533" s="573" t="s">
        <v>86</v>
      </c>
      <c r="J533" s="10" t="s">
        <v>45</v>
      </c>
      <c r="K533" s="26">
        <v>3374.2</v>
      </c>
      <c r="L533" s="26">
        <f>M533-K533</f>
        <v>0</v>
      </c>
      <c r="M533" s="26">
        <v>3374.2</v>
      </c>
      <c r="N533" s="26">
        <v>3374.2</v>
      </c>
    </row>
    <row r="534" spans="1:14" s="7" customFormat="1" ht="54" x14ac:dyDescent="0.35">
      <c r="A534" s="11"/>
      <c r="B534" s="24" t="s">
        <v>50</v>
      </c>
      <c r="C534" s="25" t="s">
        <v>275</v>
      </c>
      <c r="D534" s="10" t="s">
        <v>219</v>
      </c>
      <c r="E534" s="10" t="s">
        <v>219</v>
      </c>
      <c r="F534" s="571" t="s">
        <v>60</v>
      </c>
      <c r="G534" s="572" t="s">
        <v>40</v>
      </c>
      <c r="H534" s="572" t="s">
        <v>32</v>
      </c>
      <c r="I534" s="573" t="s">
        <v>86</v>
      </c>
      <c r="J534" s="10" t="s">
        <v>51</v>
      </c>
      <c r="K534" s="26">
        <v>394.7</v>
      </c>
      <c r="L534" s="26">
        <f>M534-K534</f>
        <v>0</v>
      </c>
      <c r="M534" s="26">
        <v>394.7</v>
      </c>
      <c r="N534" s="26">
        <v>394.7</v>
      </c>
    </row>
    <row r="535" spans="1:14" s="7" customFormat="1" ht="18" x14ac:dyDescent="0.35">
      <c r="A535" s="11"/>
      <c r="B535" s="24" t="s">
        <v>52</v>
      </c>
      <c r="C535" s="25" t="s">
        <v>275</v>
      </c>
      <c r="D535" s="10" t="s">
        <v>219</v>
      </c>
      <c r="E535" s="10" t="s">
        <v>219</v>
      </c>
      <c r="F535" s="571" t="s">
        <v>60</v>
      </c>
      <c r="G535" s="572" t="s">
        <v>40</v>
      </c>
      <c r="H535" s="572" t="s">
        <v>32</v>
      </c>
      <c r="I535" s="573" t="s">
        <v>86</v>
      </c>
      <c r="J535" s="10" t="s">
        <v>53</v>
      </c>
      <c r="K535" s="26">
        <v>2.7</v>
      </c>
      <c r="L535" s="26">
        <f>M535-K535</f>
        <v>0</v>
      </c>
      <c r="M535" s="26">
        <v>2.7</v>
      </c>
      <c r="N535" s="26">
        <v>2.7</v>
      </c>
    </row>
    <row r="536" spans="1:14" s="7" customFormat="1" ht="18" x14ac:dyDescent="0.35">
      <c r="A536" s="11"/>
      <c r="B536" s="24" t="s">
        <v>181</v>
      </c>
      <c r="C536" s="155" t="s">
        <v>275</v>
      </c>
      <c r="D536" s="10" t="s">
        <v>219</v>
      </c>
      <c r="E536" s="10" t="s">
        <v>74</v>
      </c>
      <c r="F536" s="571"/>
      <c r="G536" s="572"/>
      <c r="H536" s="572"/>
      <c r="I536" s="573"/>
      <c r="J536" s="10"/>
      <c r="K536" s="26">
        <f t="shared" ref="K536:N539" si="80">K537</f>
        <v>3033.9</v>
      </c>
      <c r="L536" s="26">
        <f t="shared" si="80"/>
        <v>0</v>
      </c>
      <c r="M536" s="26">
        <v>3033.9</v>
      </c>
      <c r="N536" s="26">
        <v>3039.3999999999996</v>
      </c>
    </row>
    <row r="537" spans="1:14" s="7" customFormat="1" ht="54" x14ac:dyDescent="0.35">
      <c r="A537" s="11"/>
      <c r="B537" s="24" t="s">
        <v>216</v>
      </c>
      <c r="C537" s="155" t="s">
        <v>275</v>
      </c>
      <c r="D537" s="10" t="s">
        <v>219</v>
      </c>
      <c r="E537" s="10" t="s">
        <v>74</v>
      </c>
      <c r="F537" s="571" t="s">
        <v>60</v>
      </c>
      <c r="G537" s="572" t="s">
        <v>37</v>
      </c>
      <c r="H537" s="572" t="s">
        <v>38</v>
      </c>
      <c r="I537" s="573" t="s">
        <v>39</v>
      </c>
      <c r="J537" s="10"/>
      <c r="K537" s="26">
        <f t="shared" si="80"/>
        <v>3033.9</v>
      </c>
      <c r="L537" s="26">
        <f t="shared" si="80"/>
        <v>0</v>
      </c>
      <c r="M537" s="26">
        <v>3033.9</v>
      </c>
      <c r="N537" s="26">
        <v>3039.3999999999996</v>
      </c>
    </row>
    <row r="538" spans="1:14" s="7" customFormat="1" ht="36" x14ac:dyDescent="0.35">
      <c r="A538" s="11"/>
      <c r="B538" s="24" t="s">
        <v>215</v>
      </c>
      <c r="C538" s="25" t="s">
        <v>275</v>
      </c>
      <c r="D538" s="10" t="s">
        <v>219</v>
      </c>
      <c r="E538" s="10" t="s">
        <v>74</v>
      </c>
      <c r="F538" s="571" t="s">
        <v>60</v>
      </c>
      <c r="G538" s="572" t="s">
        <v>84</v>
      </c>
      <c r="H538" s="572" t="s">
        <v>38</v>
      </c>
      <c r="I538" s="573" t="s">
        <v>39</v>
      </c>
      <c r="J538" s="10"/>
      <c r="K538" s="26">
        <f t="shared" si="80"/>
        <v>3033.9</v>
      </c>
      <c r="L538" s="26">
        <f t="shared" si="80"/>
        <v>0</v>
      </c>
      <c r="M538" s="26">
        <v>3033.9</v>
      </c>
      <c r="N538" s="26">
        <v>3039.3999999999996</v>
      </c>
    </row>
    <row r="539" spans="1:14" s="117" customFormat="1" ht="36" x14ac:dyDescent="0.35">
      <c r="A539" s="11"/>
      <c r="B539" s="24" t="s">
        <v>270</v>
      </c>
      <c r="C539" s="25" t="s">
        <v>275</v>
      </c>
      <c r="D539" s="10" t="s">
        <v>219</v>
      </c>
      <c r="E539" s="10" t="s">
        <v>74</v>
      </c>
      <c r="F539" s="571" t="s">
        <v>60</v>
      </c>
      <c r="G539" s="572" t="s">
        <v>84</v>
      </c>
      <c r="H539" s="572" t="s">
        <v>32</v>
      </c>
      <c r="I539" s="573" t="s">
        <v>39</v>
      </c>
      <c r="J539" s="10"/>
      <c r="K539" s="26">
        <f t="shared" si="80"/>
        <v>3033.9</v>
      </c>
      <c r="L539" s="26">
        <f t="shared" si="80"/>
        <v>0</v>
      </c>
      <c r="M539" s="26">
        <v>3033.9</v>
      </c>
      <c r="N539" s="26">
        <v>3039.3999999999996</v>
      </c>
    </row>
    <row r="540" spans="1:14" s="7" customFormat="1" ht="36" x14ac:dyDescent="0.35">
      <c r="A540" s="11"/>
      <c r="B540" s="24" t="s">
        <v>42</v>
      </c>
      <c r="C540" s="25" t="s">
        <v>275</v>
      </c>
      <c r="D540" s="10" t="s">
        <v>219</v>
      </c>
      <c r="E540" s="10" t="s">
        <v>74</v>
      </c>
      <c r="F540" s="571" t="s">
        <v>60</v>
      </c>
      <c r="G540" s="572" t="s">
        <v>84</v>
      </c>
      <c r="H540" s="572" t="s">
        <v>32</v>
      </c>
      <c r="I540" s="573" t="s">
        <v>43</v>
      </c>
      <c r="J540" s="10"/>
      <c r="K540" s="26">
        <f>K541+K542+K543</f>
        <v>3033.9</v>
      </c>
      <c r="L540" s="26">
        <f>L541+L542+L543</f>
        <v>0</v>
      </c>
      <c r="M540" s="26">
        <v>3033.9</v>
      </c>
      <c r="N540" s="26">
        <v>3039.3999999999996</v>
      </c>
    </row>
    <row r="541" spans="1:14" s="7" customFormat="1" ht="108" x14ac:dyDescent="0.35">
      <c r="A541" s="11"/>
      <c r="B541" s="24" t="s">
        <v>44</v>
      </c>
      <c r="C541" s="25" t="s">
        <v>275</v>
      </c>
      <c r="D541" s="10" t="s">
        <v>219</v>
      </c>
      <c r="E541" s="10" t="s">
        <v>74</v>
      </c>
      <c r="F541" s="571" t="s">
        <v>60</v>
      </c>
      <c r="G541" s="572" t="s">
        <v>84</v>
      </c>
      <c r="H541" s="572" t="s">
        <v>32</v>
      </c>
      <c r="I541" s="573" t="s">
        <v>43</v>
      </c>
      <c r="J541" s="10" t="s">
        <v>45</v>
      </c>
      <c r="K541" s="26">
        <v>2735.5</v>
      </c>
      <c r="L541" s="26">
        <f>M541-K541</f>
        <v>0</v>
      </c>
      <c r="M541" s="26">
        <v>2735.5</v>
      </c>
      <c r="N541" s="26">
        <v>2735.5</v>
      </c>
    </row>
    <row r="542" spans="1:14" s="7" customFormat="1" ht="54" x14ac:dyDescent="0.35">
      <c r="A542" s="11"/>
      <c r="B542" s="24" t="s">
        <v>50</v>
      </c>
      <c r="C542" s="155" t="s">
        <v>275</v>
      </c>
      <c r="D542" s="93" t="s">
        <v>219</v>
      </c>
      <c r="E542" s="93" t="s">
        <v>74</v>
      </c>
      <c r="F542" s="571" t="s">
        <v>60</v>
      </c>
      <c r="G542" s="572" t="s">
        <v>84</v>
      </c>
      <c r="H542" s="572" t="s">
        <v>32</v>
      </c>
      <c r="I542" s="573" t="s">
        <v>43</v>
      </c>
      <c r="J542" s="10" t="s">
        <v>51</v>
      </c>
      <c r="K542" s="26">
        <v>297.10000000000002</v>
      </c>
      <c r="L542" s="26">
        <f>M542-K542</f>
        <v>0</v>
      </c>
      <c r="M542" s="26">
        <v>297.10000000000002</v>
      </c>
      <c r="N542" s="26">
        <v>302.7</v>
      </c>
    </row>
    <row r="543" spans="1:14" s="7" customFormat="1" ht="18" x14ac:dyDescent="0.35">
      <c r="A543" s="11"/>
      <c r="B543" s="24" t="s">
        <v>52</v>
      </c>
      <c r="C543" s="155" t="s">
        <v>275</v>
      </c>
      <c r="D543" s="93" t="s">
        <v>219</v>
      </c>
      <c r="E543" s="93" t="s">
        <v>74</v>
      </c>
      <c r="F543" s="571" t="s">
        <v>60</v>
      </c>
      <c r="G543" s="572" t="s">
        <v>84</v>
      </c>
      <c r="H543" s="572" t="s">
        <v>32</v>
      </c>
      <c r="I543" s="573" t="s">
        <v>43</v>
      </c>
      <c r="J543" s="10" t="s">
        <v>53</v>
      </c>
      <c r="K543" s="26">
        <v>1.3</v>
      </c>
      <c r="L543" s="26">
        <f>M543-K543</f>
        <v>0</v>
      </c>
      <c r="M543" s="26">
        <v>1.3</v>
      </c>
      <c r="N543" s="26">
        <v>1.2</v>
      </c>
    </row>
    <row r="544" spans="1:14" s="7" customFormat="1" ht="18" x14ac:dyDescent="0.35">
      <c r="A544" s="11"/>
      <c r="B544" s="24"/>
      <c r="C544" s="155"/>
      <c r="D544" s="93"/>
      <c r="E544" s="93"/>
      <c r="F544" s="571"/>
      <c r="G544" s="572"/>
      <c r="H544" s="572"/>
      <c r="I544" s="573"/>
      <c r="J544" s="10"/>
      <c r="K544" s="26"/>
      <c r="L544" s="26"/>
      <c r="M544" s="26"/>
      <c r="N544" s="26"/>
    </row>
    <row r="545" spans="1:14" s="117" customFormat="1" ht="52.2" x14ac:dyDescent="0.3">
      <c r="A545" s="116">
        <v>9</v>
      </c>
      <c r="B545" s="18" t="s">
        <v>10</v>
      </c>
      <c r="C545" s="19" t="s">
        <v>283</v>
      </c>
      <c r="D545" s="20"/>
      <c r="E545" s="20"/>
      <c r="F545" s="21"/>
      <c r="G545" s="22"/>
      <c r="H545" s="22"/>
      <c r="I545" s="23"/>
      <c r="J545" s="20"/>
      <c r="K545" s="40">
        <f>K546</f>
        <v>75498.499999999985</v>
      </c>
      <c r="L545" s="40">
        <f>L546</f>
        <v>0</v>
      </c>
      <c r="M545" s="40">
        <v>75498.499999999985</v>
      </c>
      <c r="N545" s="40">
        <v>77028.800000000003</v>
      </c>
    </row>
    <row r="546" spans="1:14" s="7" customFormat="1" ht="18" x14ac:dyDescent="0.35">
      <c r="A546" s="11"/>
      <c r="B546" s="30" t="s">
        <v>114</v>
      </c>
      <c r="C546" s="25" t="s">
        <v>283</v>
      </c>
      <c r="D546" s="10" t="s">
        <v>99</v>
      </c>
      <c r="E546" s="10"/>
      <c r="F546" s="571"/>
      <c r="G546" s="572"/>
      <c r="H546" s="572"/>
      <c r="I546" s="573"/>
      <c r="J546" s="10"/>
      <c r="K546" s="26">
        <f>K547+K563</f>
        <v>75498.499999999985</v>
      </c>
      <c r="L546" s="26">
        <f>L547+L563</f>
        <v>0</v>
      </c>
      <c r="M546" s="26">
        <v>75498.499999999985</v>
      </c>
      <c r="N546" s="26">
        <v>77028.800000000003</v>
      </c>
    </row>
    <row r="547" spans="1:14" s="7" customFormat="1" ht="18" x14ac:dyDescent="0.35">
      <c r="A547" s="11"/>
      <c r="B547" s="24" t="s">
        <v>188</v>
      </c>
      <c r="C547" s="25" t="s">
        <v>283</v>
      </c>
      <c r="D547" s="10" t="s">
        <v>99</v>
      </c>
      <c r="E547" s="10" t="s">
        <v>47</v>
      </c>
      <c r="F547" s="571"/>
      <c r="G547" s="572"/>
      <c r="H547" s="572"/>
      <c r="I547" s="573"/>
      <c r="J547" s="10"/>
      <c r="K547" s="26">
        <f t="shared" ref="K547:N549" si="81">K548</f>
        <v>67603.499999999985</v>
      </c>
      <c r="L547" s="26">
        <f t="shared" si="81"/>
        <v>0</v>
      </c>
      <c r="M547" s="26">
        <v>67603.499999999985</v>
      </c>
      <c r="N547" s="26">
        <v>69133.8</v>
      </c>
    </row>
    <row r="548" spans="1:14" s="7" customFormat="1" ht="54" x14ac:dyDescent="0.35">
      <c r="A548" s="11"/>
      <c r="B548" s="28" t="s">
        <v>225</v>
      </c>
      <c r="C548" s="25" t="s">
        <v>283</v>
      </c>
      <c r="D548" s="10" t="s">
        <v>99</v>
      </c>
      <c r="E548" s="10" t="s">
        <v>47</v>
      </c>
      <c r="F548" s="571" t="s">
        <v>74</v>
      </c>
      <c r="G548" s="572" t="s">
        <v>37</v>
      </c>
      <c r="H548" s="572" t="s">
        <v>38</v>
      </c>
      <c r="I548" s="573" t="s">
        <v>39</v>
      </c>
      <c r="J548" s="10"/>
      <c r="K548" s="26">
        <f t="shared" si="81"/>
        <v>67603.499999999985</v>
      </c>
      <c r="L548" s="26">
        <f t="shared" si="81"/>
        <v>0</v>
      </c>
      <c r="M548" s="26">
        <v>67603.499999999985</v>
      </c>
      <c r="N548" s="26">
        <v>69133.8</v>
      </c>
    </row>
    <row r="549" spans="1:14" s="7" customFormat="1" ht="36" x14ac:dyDescent="0.35">
      <c r="A549" s="11"/>
      <c r="B549" s="24" t="s">
        <v>328</v>
      </c>
      <c r="C549" s="25" t="s">
        <v>283</v>
      </c>
      <c r="D549" s="10" t="s">
        <v>99</v>
      </c>
      <c r="E549" s="10" t="s">
        <v>47</v>
      </c>
      <c r="F549" s="571" t="s">
        <v>74</v>
      </c>
      <c r="G549" s="572" t="s">
        <v>40</v>
      </c>
      <c r="H549" s="572" t="s">
        <v>38</v>
      </c>
      <c r="I549" s="573" t="s">
        <v>39</v>
      </c>
      <c r="J549" s="10"/>
      <c r="K549" s="26">
        <f t="shared" si="81"/>
        <v>67603.499999999985</v>
      </c>
      <c r="L549" s="26">
        <f t="shared" si="81"/>
        <v>0</v>
      </c>
      <c r="M549" s="26">
        <v>67603.499999999985</v>
      </c>
      <c r="N549" s="26">
        <v>69133.8</v>
      </c>
    </row>
    <row r="550" spans="1:14" s="117" customFormat="1" ht="36" x14ac:dyDescent="0.35">
      <c r="A550" s="11"/>
      <c r="B550" s="24" t="s">
        <v>273</v>
      </c>
      <c r="C550" s="25" t="s">
        <v>283</v>
      </c>
      <c r="D550" s="10" t="s">
        <v>99</v>
      </c>
      <c r="E550" s="10" t="s">
        <v>47</v>
      </c>
      <c r="F550" s="571" t="s">
        <v>74</v>
      </c>
      <c r="G550" s="572" t="s">
        <v>40</v>
      </c>
      <c r="H550" s="572" t="s">
        <v>32</v>
      </c>
      <c r="I550" s="573" t="s">
        <v>39</v>
      </c>
      <c r="J550" s="10"/>
      <c r="K550" s="26">
        <f>K551+K554+K557+K560</f>
        <v>67603.499999999985</v>
      </c>
      <c r="L550" s="26">
        <f>L551+L554+L557+L560</f>
        <v>0</v>
      </c>
      <c r="M550" s="26">
        <v>67603.499999999985</v>
      </c>
      <c r="N550" s="26">
        <v>69133.8</v>
      </c>
    </row>
    <row r="551" spans="1:14" s="117" customFormat="1" ht="152.25" customHeight="1" x14ac:dyDescent="0.35">
      <c r="A551" s="11"/>
      <c r="B551" s="544" t="s">
        <v>346</v>
      </c>
      <c r="C551" s="25" t="s">
        <v>283</v>
      </c>
      <c r="D551" s="10" t="s">
        <v>99</v>
      </c>
      <c r="E551" s="10" t="s">
        <v>47</v>
      </c>
      <c r="F551" s="571" t="s">
        <v>74</v>
      </c>
      <c r="G551" s="572" t="s">
        <v>40</v>
      </c>
      <c r="H551" s="572" t="s">
        <v>32</v>
      </c>
      <c r="I551" s="573" t="s">
        <v>533</v>
      </c>
      <c r="J551" s="10"/>
      <c r="K551" s="26">
        <f>SUM(K552:K553)</f>
        <v>36785</v>
      </c>
      <c r="L551" s="26">
        <f>SUM(L552:L553)</f>
        <v>0</v>
      </c>
      <c r="M551" s="26">
        <v>36785</v>
      </c>
      <c r="N551" s="26">
        <v>38255.5</v>
      </c>
    </row>
    <row r="552" spans="1:14" s="117" customFormat="1" ht="54" x14ac:dyDescent="0.35">
      <c r="A552" s="11"/>
      <c r="B552" s="24" t="s">
        <v>50</v>
      </c>
      <c r="C552" s="25" t="s">
        <v>283</v>
      </c>
      <c r="D552" s="10" t="s">
        <v>99</v>
      </c>
      <c r="E552" s="10" t="s">
        <v>47</v>
      </c>
      <c r="F552" s="571" t="s">
        <v>74</v>
      </c>
      <c r="G552" s="572" t="s">
        <v>40</v>
      </c>
      <c r="H552" s="572" t="s">
        <v>32</v>
      </c>
      <c r="I552" s="573" t="s">
        <v>533</v>
      </c>
      <c r="J552" s="10" t="s">
        <v>51</v>
      </c>
      <c r="K552" s="26">
        <v>184</v>
      </c>
      <c r="L552" s="26">
        <f>M552-K552</f>
        <v>0</v>
      </c>
      <c r="M552" s="26">
        <v>184</v>
      </c>
      <c r="N552" s="26">
        <v>191.3</v>
      </c>
    </row>
    <row r="553" spans="1:14" s="117" customFormat="1" ht="36" x14ac:dyDescent="0.35">
      <c r="A553" s="11"/>
      <c r="B553" s="24" t="s">
        <v>115</v>
      </c>
      <c r="C553" s="25" t="s">
        <v>283</v>
      </c>
      <c r="D553" s="10" t="s">
        <v>99</v>
      </c>
      <c r="E553" s="10" t="s">
        <v>47</v>
      </c>
      <c r="F553" s="571" t="s">
        <v>74</v>
      </c>
      <c r="G553" s="572" t="s">
        <v>40</v>
      </c>
      <c r="H553" s="572" t="s">
        <v>32</v>
      </c>
      <c r="I553" s="573" t="s">
        <v>533</v>
      </c>
      <c r="J553" s="10" t="s">
        <v>116</v>
      </c>
      <c r="K553" s="26">
        <v>36601</v>
      </c>
      <c r="L553" s="26">
        <f>M553-K553</f>
        <v>0</v>
      </c>
      <c r="M553" s="26">
        <v>36601</v>
      </c>
      <c r="N553" s="26">
        <v>38064.199999999997</v>
      </c>
    </row>
    <row r="554" spans="1:14" s="117" customFormat="1" ht="93.75" customHeight="1" x14ac:dyDescent="0.35">
      <c r="A554" s="11"/>
      <c r="B554" s="24" t="s">
        <v>348</v>
      </c>
      <c r="C554" s="25" t="s">
        <v>283</v>
      </c>
      <c r="D554" s="10" t="s">
        <v>99</v>
      </c>
      <c r="E554" s="10" t="s">
        <v>47</v>
      </c>
      <c r="F554" s="571" t="s">
        <v>74</v>
      </c>
      <c r="G554" s="572" t="s">
        <v>40</v>
      </c>
      <c r="H554" s="572" t="s">
        <v>32</v>
      </c>
      <c r="I554" s="573" t="s">
        <v>535</v>
      </c>
      <c r="J554" s="10"/>
      <c r="K554" s="26">
        <f>SUM(K555:K556)</f>
        <v>1495.2</v>
      </c>
      <c r="L554" s="26">
        <f>SUM(L555:L556)</f>
        <v>0</v>
      </c>
      <c r="M554" s="26">
        <v>1495.2</v>
      </c>
      <c r="N554" s="26">
        <v>1555</v>
      </c>
    </row>
    <row r="555" spans="1:14" s="117" customFormat="1" ht="54" x14ac:dyDescent="0.35">
      <c r="A555" s="11"/>
      <c r="B555" s="24" t="s">
        <v>50</v>
      </c>
      <c r="C555" s="25" t="s">
        <v>283</v>
      </c>
      <c r="D555" s="10" t="s">
        <v>99</v>
      </c>
      <c r="E555" s="10" t="s">
        <v>47</v>
      </c>
      <c r="F555" s="571" t="s">
        <v>74</v>
      </c>
      <c r="G555" s="572" t="s">
        <v>40</v>
      </c>
      <c r="H555" s="572" t="s">
        <v>32</v>
      </c>
      <c r="I555" s="573" t="s">
        <v>535</v>
      </c>
      <c r="J555" s="10" t="s">
        <v>51</v>
      </c>
      <c r="K555" s="26">
        <v>7.5</v>
      </c>
      <c r="L555" s="26">
        <f>M555-K555</f>
        <v>0</v>
      </c>
      <c r="M555" s="26">
        <v>7.5</v>
      </c>
      <c r="N555" s="26">
        <v>7.8</v>
      </c>
    </row>
    <row r="556" spans="1:14" s="117" customFormat="1" ht="36" x14ac:dyDescent="0.35">
      <c r="A556" s="11"/>
      <c r="B556" s="24" t="s">
        <v>115</v>
      </c>
      <c r="C556" s="25" t="s">
        <v>283</v>
      </c>
      <c r="D556" s="10" t="s">
        <v>99</v>
      </c>
      <c r="E556" s="10" t="s">
        <v>47</v>
      </c>
      <c r="F556" s="571" t="s">
        <v>74</v>
      </c>
      <c r="G556" s="572" t="s">
        <v>40</v>
      </c>
      <c r="H556" s="572" t="s">
        <v>32</v>
      </c>
      <c r="I556" s="573" t="s">
        <v>535</v>
      </c>
      <c r="J556" s="10" t="s">
        <v>116</v>
      </c>
      <c r="K556" s="26">
        <v>1487.7</v>
      </c>
      <c r="L556" s="26">
        <f>M556-K556</f>
        <v>0</v>
      </c>
      <c r="M556" s="26">
        <v>1487.7</v>
      </c>
      <c r="N556" s="26">
        <v>1547.2</v>
      </c>
    </row>
    <row r="557" spans="1:14" s="117" customFormat="1" ht="94.5" customHeight="1" x14ac:dyDescent="0.35">
      <c r="A557" s="11"/>
      <c r="B557" s="24" t="s">
        <v>347</v>
      </c>
      <c r="C557" s="25" t="s">
        <v>283</v>
      </c>
      <c r="D557" s="10" t="s">
        <v>99</v>
      </c>
      <c r="E557" s="10" t="s">
        <v>47</v>
      </c>
      <c r="F557" s="571" t="s">
        <v>74</v>
      </c>
      <c r="G557" s="572" t="s">
        <v>40</v>
      </c>
      <c r="H557" s="572" t="s">
        <v>32</v>
      </c>
      <c r="I557" s="573" t="s">
        <v>534</v>
      </c>
      <c r="J557" s="10"/>
      <c r="K557" s="26">
        <f>SUM(K558:K559)</f>
        <v>27520.6</v>
      </c>
      <c r="L557" s="26">
        <f>SUM(L558:L559)</f>
        <v>0</v>
      </c>
      <c r="M557" s="26">
        <v>27520.6</v>
      </c>
      <c r="N557" s="26">
        <v>27520.6</v>
      </c>
    </row>
    <row r="558" spans="1:14" s="117" customFormat="1" ht="54" x14ac:dyDescent="0.35">
      <c r="A558" s="11"/>
      <c r="B558" s="24" t="s">
        <v>50</v>
      </c>
      <c r="C558" s="25" t="s">
        <v>283</v>
      </c>
      <c r="D558" s="10" t="s">
        <v>99</v>
      </c>
      <c r="E558" s="10" t="s">
        <v>47</v>
      </c>
      <c r="F558" s="571" t="s">
        <v>74</v>
      </c>
      <c r="G558" s="572" t="s">
        <v>40</v>
      </c>
      <c r="H558" s="572" t="s">
        <v>32</v>
      </c>
      <c r="I558" s="573" t="s">
        <v>534</v>
      </c>
      <c r="J558" s="10" t="s">
        <v>51</v>
      </c>
      <c r="K558" s="26">
        <v>137.6</v>
      </c>
      <c r="L558" s="26">
        <f>M558-K558</f>
        <v>0</v>
      </c>
      <c r="M558" s="26">
        <v>137.6</v>
      </c>
      <c r="N558" s="26">
        <v>137.6</v>
      </c>
    </row>
    <row r="559" spans="1:14" s="117" customFormat="1" ht="36" x14ac:dyDescent="0.35">
      <c r="A559" s="11"/>
      <c r="B559" s="24" t="s">
        <v>115</v>
      </c>
      <c r="C559" s="25" t="s">
        <v>283</v>
      </c>
      <c r="D559" s="10" t="s">
        <v>99</v>
      </c>
      <c r="E559" s="10" t="s">
        <v>47</v>
      </c>
      <c r="F559" s="571" t="s">
        <v>74</v>
      </c>
      <c r="G559" s="572" t="s">
        <v>40</v>
      </c>
      <c r="H559" s="572" t="s">
        <v>32</v>
      </c>
      <c r="I559" s="573" t="s">
        <v>534</v>
      </c>
      <c r="J559" s="10" t="s">
        <v>116</v>
      </c>
      <c r="K559" s="26">
        <v>27383</v>
      </c>
      <c r="L559" s="26">
        <f>M559-K559</f>
        <v>0</v>
      </c>
      <c r="M559" s="26">
        <v>27383</v>
      </c>
      <c r="N559" s="26">
        <v>27383</v>
      </c>
    </row>
    <row r="560" spans="1:14" s="117" customFormat="1" ht="116.25" customHeight="1" x14ac:dyDescent="0.35">
      <c r="A560" s="11"/>
      <c r="B560" s="24" t="s">
        <v>354</v>
      </c>
      <c r="C560" s="25" t="s">
        <v>283</v>
      </c>
      <c r="D560" s="10" t="s">
        <v>99</v>
      </c>
      <c r="E560" s="10" t="s">
        <v>47</v>
      </c>
      <c r="F560" s="571" t="s">
        <v>74</v>
      </c>
      <c r="G560" s="572" t="s">
        <v>40</v>
      </c>
      <c r="H560" s="572" t="s">
        <v>32</v>
      </c>
      <c r="I560" s="573" t="s">
        <v>536</v>
      </c>
      <c r="J560" s="10"/>
      <c r="K560" s="26">
        <f>SUM(K561:K562)</f>
        <v>1802.7</v>
      </c>
      <c r="L560" s="26">
        <f>SUM(L561:L562)</f>
        <v>0</v>
      </c>
      <c r="M560" s="26">
        <v>1802.7</v>
      </c>
      <c r="N560" s="26">
        <v>1802.7</v>
      </c>
    </row>
    <row r="561" spans="1:14" s="117" customFormat="1" ht="54" x14ac:dyDescent="0.35">
      <c r="A561" s="11"/>
      <c r="B561" s="24" t="s">
        <v>50</v>
      </c>
      <c r="C561" s="25" t="s">
        <v>283</v>
      </c>
      <c r="D561" s="10" t="s">
        <v>99</v>
      </c>
      <c r="E561" s="10" t="s">
        <v>47</v>
      </c>
      <c r="F561" s="571" t="s">
        <v>74</v>
      </c>
      <c r="G561" s="572" t="s">
        <v>40</v>
      </c>
      <c r="H561" s="572" t="s">
        <v>32</v>
      </c>
      <c r="I561" s="573" t="s">
        <v>536</v>
      </c>
      <c r="J561" s="10" t="s">
        <v>51</v>
      </c>
      <c r="K561" s="26">
        <v>9</v>
      </c>
      <c r="L561" s="26">
        <f>M561-K561</f>
        <v>0</v>
      </c>
      <c r="M561" s="26">
        <v>9</v>
      </c>
      <c r="N561" s="26">
        <v>9</v>
      </c>
    </row>
    <row r="562" spans="1:14" s="117" customFormat="1" ht="36" x14ac:dyDescent="0.35">
      <c r="A562" s="11"/>
      <c r="B562" s="24" t="s">
        <v>115</v>
      </c>
      <c r="C562" s="25" t="s">
        <v>283</v>
      </c>
      <c r="D562" s="10" t="s">
        <v>99</v>
      </c>
      <c r="E562" s="10" t="s">
        <v>47</v>
      </c>
      <c r="F562" s="571" t="s">
        <v>74</v>
      </c>
      <c r="G562" s="572" t="s">
        <v>40</v>
      </c>
      <c r="H562" s="572" t="s">
        <v>32</v>
      </c>
      <c r="I562" s="573" t="s">
        <v>536</v>
      </c>
      <c r="J562" s="10" t="s">
        <v>116</v>
      </c>
      <c r="K562" s="26">
        <v>1793.7</v>
      </c>
      <c r="L562" s="26">
        <f>M562-K562</f>
        <v>0</v>
      </c>
      <c r="M562" s="26">
        <v>1793.7</v>
      </c>
      <c r="N562" s="26">
        <v>1793.7</v>
      </c>
    </row>
    <row r="563" spans="1:14" s="7" customFormat="1" ht="36" x14ac:dyDescent="0.35">
      <c r="A563" s="11"/>
      <c r="B563" s="24" t="s">
        <v>285</v>
      </c>
      <c r="C563" s="25" t="s">
        <v>283</v>
      </c>
      <c r="D563" s="10" t="s">
        <v>99</v>
      </c>
      <c r="E563" s="10" t="s">
        <v>76</v>
      </c>
      <c r="F563" s="571"/>
      <c r="G563" s="572"/>
      <c r="H563" s="572"/>
      <c r="I563" s="573"/>
      <c r="J563" s="10"/>
      <c r="K563" s="26">
        <f t="shared" ref="K563:N565" si="82">K564</f>
        <v>7895</v>
      </c>
      <c r="L563" s="26">
        <f t="shared" si="82"/>
        <v>0</v>
      </c>
      <c r="M563" s="26">
        <v>7895</v>
      </c>
      <c r="N563" s="26">
        <v>7895</v>
      </c>
    </row>
    <row r="564" spans="1:14" s="7" customFormat="1" ht="54" x14ac:dyDescent="0.35">
      <c r="A564" s="11"/>
      <c r="B564" s="28" t="s">
        <v>225</v>
      </c>
      <c r="C564" s="25" t="s">
        <v>283</v>
      </c>
      <c r="D564" s="10" t="s">
        <v>99</v>
      </c>
      <c r="E564" s="10" t="s">
        <v>76</v>
      </c>
      <c r="F564" s="571" t="s">
        <v>74</v>
      </c>
      <c r="G564" s="572" t="s">
        <v>37</v>
      </c>
      <c r="H564" s="572" t="s">
        <v>38</v>
      </c>
      <c r="I564" s="573" t="s">
        <v>39</v>
      </c>
      <c r="J564" s="10"/>
      <c r="K564" s="26">
        <f t="shared" si="82"/>
        <v>7895</v>
      </c>
      <c r="L564" s="26">
        <f t="shared" si="82"/>
        <v>0</v>
      </c>
      <c r="M564" s="26">
        <v>7895</v>
      </c>
      <c r="N564" s="26">
        <v>7895</v>
      </c>
    </row>
    <row r="565" spans="1:14" s="7" customFormat="1" ht="36" x14ac:dyDescent="0.35">
      <c r="A565" s="11"/>
      <c r="B565" s="24" t="s">
        <v>328</v>
      </c>
      <c r="C565" s="25" t="s">
        <v>283</v>
      </c>
      <c r="D565" s="10" t="s">
        <v>99</v>
      </c>
      <c r="E565" s="10" t="s">
        <v>76</v>
      </c>
      <c r="F565" s="571" t="s">
        <v>74</v>
      </c>
      <c r="G565" s="572" t="s">
        <v>40</v>
      </c>
      <c r="H565" s="572" t="s">
        <v>38</v>
      </c>
      <c r="I565" s="573" t="s">
        <v>39</v>
      </c>
      <c r="J565" s="10"/>
      <c r="K565" s="26">
        <f t="shared" si="82"/>
        <v>7895</v>
      </c>
      <c r="L565" s="26">
        <f t="shared" si="82"/>
        <v>0</v>
      </c>
      <c r="M565" s="26">
        <v>7895</v>
      </c>
      <c r="N565" s="26">
        <v>7895</v>
      </c>
    </row>
    <row r="566" spans="1:14" s="117" customFormat="1" ht="36" x14ac:dyDescent="0.35">
      <c r="A566" s="11"/>
      <c r="B566" s="24" t="s">
        <v>224</v>
      </c>
      <c r="C566" s="25" t="s">
        <v>283</v>
      </c>
      <c r="D566" s="10" t="s">
        <v>99</v>
      </c>
      <c r="E566" s="10" t="s">
        <v>76</v>
      </c>
      <c r="F566" s="571" t="s">
        <v>74</v>
      </c>
      <c r="G566" s="572" t="s">
        <v>40</v>
      </c>
      <c r="H566" s="572" t="s">
        <v>58</v>
      </c>
      <c r="I566" s="573" t="s">
        <v>39</v>
      </c>
      <c r="J566" s="10"/>
      <c r="K566" s="26">
        <f>K567+K570+K573</f>
        <v>7895</v>
      </c>
      <c r="L566" s="26">
        <f>L567+L570+L573</f>
        <v>0</v>
      </c>
      <c r="M566" s="26">
        <v>7895</v>
      </c>
      <c r="N566" s="26">
        <v>7895</v>
      </c>
    </row>
    <row r="567" spans="1:14" s="117" customFormat="1" ht="75.75" customHeight="1" x14ac:dyDescent="0.35">
      <c r="A567" s="11"/>
      <c r="B567" s="86" t="s">
        <v>227</v>
      </c>
      <c r="C567" s="25" t="s">
        <v>283</v>
      </c>
      <c r="D567" s="10" t="s">
        <v>99</v>
      </c>
      <c r="E567" s="10" t="s">
        <v>76</v>
      </c>
      <c r="F567" s="571" t="s">
        <v>74</v>
      </c>
      <c r="G567" s="572" t="s">
        <v>40</v>
      </c>
      <c r="H567" s="572" t="s">
        <v>58</v>
      </c>
      <c r="I567" s="573" t="s">
        <v>537</v>
      </c>
      <c r="J567" s="10"/>
      <c r="K567" s="26">
        <f>K568+K569</f>
        <v>905.8</v>
      </c>
      <c r="L567" s="26">
        <f>L568+L569</f>
        <v>0</v>
      </c>
      <c r="M567" s="26">
        <v>905.8</v>
      </c>
      <c r="N567" s="26">
        <v>905.8</v>
      </c>
    </row>
    <row r="568" spans="1:14" s="117" customFormat="1" ht="108" x14ac:dyDescent="0.35">
      <c r="A568" s="11"/>
      <c r="B568" s="24" t="s">
        <v>44</v>
      </c>
      <c r="C568" s="25" t="s">
        <v>283</v>
      </c>
      <c r="D568" s="10" t="s">
        <v>99</v>
      </c>
      <c r="E568" s="10" t="s">
        <v>76</v>
      </c>
      <c r="F568" s="571" t="s">
        <v>74</v>
      </c>
      <c r="G568" s="572" t="s">
        <v>40</v>
      </c>
      <c r="H568" s="572" t="s">
        <v>58</v>
      </c>
      <c r="I568" s="573" t="s">
        <v>537</v>
      </c>
      <c r="J568" s="10" t="s">
        <v>45</v>
      </c>
      <c r="K568" s="26">
        <v>845.8</v>
      </c>
      <c r="L568" s="26">
        <f>M568-K568</f>
        <v>0</v>
      </c>
      <c r="M568" s="26">
        <v>845.8</v>
      </c>
      <c r="N568" s="26">
        <v>845.8</v>
      </c>
    </row>
    <row r="569" spans="1:14" s="117" customFormat="1" ht="54" x14ac:dyDescent="0.35">
      <c r="A569" s="11"/>
      <c r="B569" s="24" t="s">
        <v>50</v>
      </c>
      <c r="C569" s="25" t="s">
        <v>283</v>
      </c>
      <c r="D569" s="10" t="s">
        <v>99</v>
      </c>
      <c r="E569" s="10" t="s">
        <v>76</v>
      </c>
      <c r="F569" s="571" t="s">
        <v>74</v>
      </c>
      <c r="G569" s="572" t="s">
        <v>40</v>
      </c>
      <c r="H569" s="572" t="s">
        <v>58</v>
      </c>
      <c r="I569" s="573" t="s">
        <v>537</v>
      </c>
      <c r="J569" s="10" t="s">
        <v>51</v>
      </c>
      <c r="K569" s="26">
        <v>60</v>
      </c>
      <c r="L569" s="26">
        <f>M569-K569</f>
        <v>0</v>
      </c>
      <c r="M569" s="26">
        <v>60</v>
      </c>
      <c r="N569" s="26">
        <v>60</v>
      </c>
    </row>
    <row r="570" spans="1:14" s="117" customFormat="1" ht="108" x14ac:dyDescent="0.35">
      <c r="A570" s="11"/>
      <c r="B570" s="24" t="s">
        <v>434</v>
      </c>
      <c r="C570" s="25" t="s">
        <v>283</v>
      </c>
      <c r="D570" s="10" t="s">
        <v>99</v>
      </c>
      <c r="E570" s="10" t="s">
        <v>76</v>
      </c>
      <c r="F570" s="571" t="s">
        <v>74</v>
      </c>
      <c r="G570" s="572" t="s">
        <v>40</v>
      </c>
      <c r="H570" s="572" t="s">
        <v>58</v>
      </c>
      <c r="I570" s="573" t="s">
        <v>531</v>
      </c>
      <c r="J570" s="10"/>
      <c r="K570" s="26">
        <f>K571+K572</f>
        <v>662.2</v>
      </c>
      <c r="L570" s="26">
        <f>L571+L572</f>
        <v>0</v>
      </c>
      <c r="M570" s="26">
        <v>662.2</v>
      </c>
      <c r="N570" s="26">
        <v>662.2</v>
      </c>
    </row>
    <row r="571" spans="1:14" s="117" customFormat="1" ht="108" x14ac:dyDescent="0.35">
      <c r="A571" s="11"/>
      <c r="B571" s="24" t="s">
        <v>44</v>
      </c>
      <c r="C571" s="25" t="s">
        <v>283</v>
      </c>
      <c r="D571" s="10" t="s">
        <v>99</v>
      </c>
      <c r="E571" s="10" t="s">
        <v>76</v>
      </c>
      <c r="F571" s="571" t="s">
        <v>74</v>
      </c>
      <c r="G571" s="572" t="s">
        <v>40</v>
      </c>
      <c r="H571" s="572" t="s">
        <v>58</v>
      </c>
      <c r="I571" s="573" t="s">
        <v>531</v>
      </c>
      <c r="J571" s="10" t="s">
        <v>45</v>
      </c>
      <c r="K571" s="26">
        <v>632.20000000000005</v>
      </c>
      <c r="L571" s="26">
        <f>M571-K571</f>
        <v>0</v>
      </c>
      <c r="M571" s="26">
        <v>632.20000000000005</v>
      </c>
      <c r="N571" s="26">
        <v>632.20000000000005</v>
      </c>
    </row>
    <row r="572" spans="1:14" s="117" customFormat="1" ht="54" x14ac:dyDescent="0.35">
      <c r="A572" s="11"/>
      <c r="B572" s="24" t="s">
        <v>50</v>
      </c>
      <c r="C572" s="25" t="s">
        <v>283</v>
      </c>
      <c r="D572" s="10" t="s">
        <v>99</v>
      </c>
      <c r="E572" s="10" t="s">
        <v>76</v>
      </c>
      <c r="F572" s="571" t="s">
        <v>74</v>
      </c>
      <c r="G572" s="572" t="s">
        <v>40</v>
      </c>
      <c r="H572" s="572" t="s">
        <v>58</v>
      </c>
      <c r="I572" s="573" t="s">
        <v>531</v>
      </c>
      <c r="J572" s="10" t="s">
        <v>51</v>
      </c>
      <c r="K572" s="26">
        <v>30</v>
      </c>
      <c r="L572" s="26">
        <f>M572-K572</f>
        <v>0</v>
      </c>
      <c r="M572" s="26">
        <v>30</v>
      </c>
      <c r="N572" s="26">
        <v>30</v>
      </c>
    </row>
    <row r="573" spans="1:14" s="117" customFormat="1" ht="72" x14ac:dyDescent="0.35">
      <c r="A573" s="11"/>
      <c r="B573" s="24" t="s">
        <v>226</v>
      </c>
      <c r="C573" s="25" t="s">
        <v>283</v>
      </c>
      <c r="D573" s="10" t="s">
        <v>99</v>
      </c>
      <c r="E573" s="10" t="s">
        <v>76</v>
      </c>
      <c r="F573" s="571" t="s">
        <v>74</v>
      </c>
      <c r="G573" s="572" t="s">
        <v>40</v>
      </c>
      <c r="H573" s="572" t="s">
        <v>58</v>
      </c>
      <c r="I573" s="573" t="s">
        <v>532</v>
      </c>
      <c r="J573" s="10"/>
      <c r="K573" s="26">
        <f>K574+K575</f>
        <v>6327</v>
      </c>
      <c r="L573" s="26">
        <f>L574+L575</f>
        <v>0</v>
      </c>
      <c r="M573" s="26">
        <v>6327</v>
      </c>
      <c r="N573" s="26">
        <v>6327</v>
      </c>
    </row>
    <row r="574" spans="1:14" s="117" customFormat="1" ht="108" x14ac:dyDescent="0.35">
      <c r="A574" s="11"/>
      <c r="B574" s="24" t="s">
        <v>44</v>
      </c>
      <c r="C574" s="25" t="s">
        <v>283</v>
      </c>
      <c r="D574" s="10" t="s">
        <v>99</v>
      </c>
      <c r="E574" s="10" t="s">
        <v>76</v>
      </c>
      <c r="F574" s="571" t="s">
        <v>74</v>
      </c>
      <c r="G574" s="572" t="s">
        <v>40</v>
      </c>
      <c r="H574" s="572" t="s">
        <v>58</v>
      </c>
      <c r="I574" s="573" t="s">
        <v>532</v>
      </c>
      <c r="J574" s="10" t="s">
        <v>45</v>
      </c>
      <c r="K574" s="26">
        <v>5967</v>
      </c>
      <c r="L574" s="26">
        <f>M574-K574</f>
        <v>0</v>
      </c>
      <c r="M574" s="26">
        <v>5967</v>
      </c>
      <c r="N574" s="26">
        <v>5967</v>
      </c>
    </row>
    <row r="575" spans="1:14" s="117" customFormat="1" ht="54" x14ac:dyDescent="0.35">
      <c r="A575" s="11"/>
      <c r="B575" s="24" t="s">
        <v>50</v>
      </c>
      <c r="C575" s="25" t="s">
        <v>283</v>
      </c>
      <c r="D575" s="10" t="s">
        <v>99</v>
      </c>
      <c r="E575" s="10" t="s">
        <v>76</v>
      </c>
      <c r="F575" s="551" t="s">
        <v>74</v>
      </c>
      <c r="G575" s="552" t="s">
        <v>40</v>
      </c>
      <c r="H575" s="552" t="s">
        <v>58</v>
      </c>
      <c r="I575" s="553" t="s">
        <v>532</v>
      </c>
      <c r="J575" s="10" t="s">
        <v>51</v>
      </c>
      <c r="K575" s="26">
        <v>360</v>
      </c>
      <c r="L575" s="26">
        <f>M575-K575</f>
        <v>0</v>
      </c>
      <c r="M575" s="26">
        <v>360</v>
      </c>
      <c r="N575" s="26">
        <v>360</v>
      </c>
    </row>
    <row r="576" spans="1:14" s="117" customFormat="1" ht="18" x14ac:dyDescent="0.35">
      <c r="A576" s="116">
        <v>10</v>
      </c>
      <c r="B576" s="164" t="s">
        <v>351</v>
      </c>
      <c r="C576" s="25"/>
      <c r="D576" s="10"/>
      <c r="E576" s="10"/>
      <c r="F576" s="572"/>
      <c r="G576" s="572"/>
      <c r="H576" s="572"/>
      <c r="I576" s="573"/>
      <c r="J576" s="10"/>
      <c r="K576" s="40">
        <f>K577</f>
        <v>33320.699999999997</v>
      </c>
      <c r="L576" s="40">
        <f>L577</f>
        <v>-1011.7999999999993</v>
      </c>
      <c r="M576" s="40">
        <v>32308.899999999998</v>
      </c>
      <c r="N576" s="40">
        <v>34551.699999999997</v>
      </c>
    </row>
    <row r="577" spans="1:14" s="117" customFormat="1" ht="18" x14ac:dyDescent="0.35">
      <c r="A577" s="11"/>
      <c r="B577" s="90" t="s">
        <v>351</v>
      </c>
      <c r="C577" s="25"/>
      <c r="D577" s="10"/>
      <c r="E577" s="10"/>
      <c r="F577" s="572"/>
      <c r="G577" s="572"/>
      <c r="H577" s="572"/>
      <c r="I577" s="573"/>
      <c r="J577" s="10"/>
      <c r="K577" s="26">
        <v>33320.699999999997</v>
      </c>
      <c r="L577" s="26">
        <f>M577-K577</f>
        <v>-1011.7999999999993</v>
      </c>
      <c r="M577" s="26">
        <v>32308.899999999998</v>
      </c>
      <c r="N577" s="26">
        <v>34551.699999999997</v>
      </c>
    </row>
    <row r="578" spans="1:14" x14ac:dyDescent="0.3">
      <c r="M578" s="37"/>
      <c r="N578" s="37"/>
    </row>
    <row r="579" spans="1:14" x14ac:dyDescent="0.3">
      <c r="M579" s="37"/>
      <c r="N579" s="37"/>
    </row>
    <row r="580" spans="1:14" s="72" customFormat="1" ht="18" x14ac:dyDescent="0.35">
      <c r="A580" s="112" t="s">
        <v>366</v>
      </c>
      <c r="B580" s="74"/>
      <c r="C580" s="75"/>
      <c r="D580" s="75"/>
      <c r="E580" s="75"/>
      <c r="F580" s="51"/>
      <c r="G580" s="111"/>
      <c r="H580" s="156"/>
    </row>
    <row r="581" spans="1:14" s="72" customFormat="1" ht="18" x14ac:dyDescent="0.35">
      <c r="A581" s="112" t="s">
        <v>367</v>
      </c>
      <c r="B581" s="74"/>
      <c r="C581" s="75"/>
      <c r="D581" s="75"/>
      <c r="E581" s="75"/>
      <c r="F581" s="51"/>
      <c r="G581" s="111"/>
      <c r="H581" s="156"/>
    </row>
    <row r="582" spans="1:14" s="72" customFormat="1" ht="18" x14ac:dyDescent="0.35">
      <c r="A582" s="113" t="s">
        <v>368</v>
      </c>
      <c r="B582" s="74"/>
      <c r="D582" s="75"/>
      <c r="E582" s="75"/>
      <c r="F582" s="51"/>
      <c r="N582" s="114" t="s">
        <v>387</v>
      </c>
    </row>
    <row r="584" spans="1:14" s="157" customFormat="1" ht="15.6" hidden="1" x14ac:dyDescent="0.3">
      <c r="B584" s="157" t="s">
        <v>352</v>
      </c>
      <c r="M584" s="158" t="e">
        <v>#REF!</v>
      </c>
      <c r="N584" s="158" t="e">
        <v>#REF!</v>
      </c>
    </row>
    <row r="585" spans="1:14" hidden="1" x14ac:dyDescent="0.3"/>
    <row r="586" spans="1:14" ht="18" hidden="1" x14ac:dyDescent="0.35">
      <c r="D586" s="35" t="s">
        <v>32</v>
      </c>
      <c r="E586" s="35" t="s">
        <v>34</v>
      </c>
      <c r="F586" s="36"/>
      <c r="G586" s="36"/>
      <c r="H586" s="36"/>
      <c r="I586" s="36"/>
      <c r="J586" s="36"/>
      <c r="K586" s="36"/>
      <c r="L586" s="36"/>
      <c r="M586" s="159">
        <v>2128.5</v>
      </c>
      <c r="N586" s="159">
        <v>2128.5</v>
      </c>
    </row>
    <row r="587" spans="1:14" ht="18" hidden="1" x14ac:dyDescent="0.35">
      <c r="D587" s="35" t="s">
        <v>32</v>
      </c>
      <c r="E587" s="35" t="s">
        <v>47</v>
      </c>
      <c r="F587" s="36"/>
      <c r="G587" s="36"/>
      <c r="H587" s="36"/>
      <c r="I587" s="36"/>
      <c r="J587" s="36"/>
      <c r="K587" s="36"/>
      <c r="L587" s="36"/>
      <c r="M587" s="159">
        <v>76352.699999999968</v>
      </c>
      <c r="N587" s="159">
        <v>76393.499999999971</v>
      </c>
    </row>
    <row r="588" spans="1:14" ht="18" hidden="1" x14ac:dyDescent="0.35">
      <c r="D588" s="35" t="s">
        <v>32</v>
      </c>
      <c r="E588" s="35" t="s">
        <v>60</v>
      </c>
      <c r="F588" s="36"/>
      <c r="G588" s="36"/>
      <c r="H588" s="36"/>
      <c r="I588" s="36"/>
      <c r="J588" s="36"/>
      <c r="K588" s="36"/>
      <c r="L588" s="36"/>
      <c r="M588" s="159">
        <v>24.700000000000003</v>
      </c>
      <c r="N588" s="159">
        <v>21.5</v>
      </c>
    </row>
    <row r="589" spans="1:14" ht="18" hidden="1" x14ac:dyDescent="0.35">
      <c r="D589" s="35" t="s">
        <v>32</v>
      </c>
      <c r="E589" s="35" t="s">
        <v>76</v>
      </c>
      <c r="F589" s="36"/>
      <c r="G589" s="36"/>
      <c r="H589" s="36"/>
      <c r="I589" s="36"/>
      <c r="J589" s="36"/>
      <c r="K589" s="36"/>
      <c r="L589" s="36"/>
      <c r="M589" s="159">
        <v>30179.4</v>
      </c>
      <c r="N589" s="159">
        <v>30180.2</v>
      </c>
    </row>
    <row r="590" spans="1:14" ht="18" hidden="1" x14ac:dyDescent="0.35">
      <c r="D590" s="35" t="s">
        <v>32</v>
      </c>
      <c r="E590" s="35" t="s">
        <v>62</v>
      </c>
      <c r="F590" s="36"/>
      <c r="G590" s="36"/>
      <c r="H590" s="36"/>
      <c r="I590" s="36"/>
      <c r="J590" s="36"/>
      <c r="K590" s="36"/>
      <c r="L590" s="36"/>
      <c r="M590" s="159">
        <v>5000</v>
      </c>
      <c r="N590" s="159">
        <v>5000</v>
      </c>
    </row>
    <row r="591" spans="1:14" ht="18" hidden="1" x14ac:dyDescent="0.35">
      <c r="D591" s="35" t="s">
        <v>32</v>
      </c>
      <c r="E591" s="35" t="s">
        <v>66</v>
      </c>
      <c r="F591" s="36"/>
      <c r="G591" s="36"/>
      <c r="H591" s="36"/>
      <c r="I591" s="36"/>
      <c r="J591" s="36"/>
      <c r="K591" s="36"/>
      <c r="L591" s="36"/>
      <c r="M591" s="159">
        <v>33853.799999999996</v>
      </c>
      <c r="N591" s="159">
        <v>35580.9</v>
      </c>
    </row>
    <row r="592" spans="1:14" ht="18" hidden="1" x14ac:dyDescent="0.35">
      <c r="D592" s="160" t="s">
        <v>32</v>
      </c>
      <c r="E592" s="160" t="s">
        <v>38</v>
      </c>
      <c r="F592" s="36"/>
      <c r="G592" s="36"/>
      <c r="H592" s="36"/>
      <c r="I592" s="36"/>
      <c r="J592" s="36"/>
      <c r="K592" s="36"/>
      <c r="L592" s="36"/>
      <c r="M592" s="161">
        <v>147539.09999999995</v>
      </c>
      <c r="N592" s="161">
        <v>149304.59999999998</v>
      </c>
    </row>
    <row r="593" spans="4:14" ht="18" hidden="1" x14ac:dyDescent="0.35">
      <c r="D593" s="35"/>
      <c r="E593" s="35"/>
      <c r="F593" s="36"/>
      <c r="G593" s="36"/>
      <c r="H593" s="36"/>
      <c r="I593" s="36"/>
      <c r="J593" s="36"/>
      <c r="K593" s="36"/>
      <c r="L593" s="36"/>
      <c r="M593" s="159"/>
      <c r="N593" s="159"/>
    </row>
    <row r="594" spans="4:14" ht="18" hidden="1" x14ac:dyDescent="0.35">
      <c r="D594" s="35" t="s">
        <v>58</v>
      </c>
      <c r="E594" s="35" t="s">
        <v>99</v>
      </c>
      <c r="F594" s="36"/>
      <c r="G594" s="36"/>
      <c r="H594" s="36"/>
      <c r="I594" s="36"/>
      <c r="J594" s="36"/>
      <c r="K594" s="36"/>
      <c r="L594" s="36"/>
      <c r="M594" s="159">
        <v>362.29999999999995</v>
      </c>
      <c r="N594" s="159">
        <v>362.29999999999995</v>
      </c>
    </row>
    <row r="595" spans="4:14" ht="18" hidden="1" x14ac:dyDescent="0.35">
      <c r="D595" s="35" t="s">
        <v>58</v>
      </c>
      <c r="E595" s="35" t="s">
        <v>83</v>
      </c>
      <c r="F595" s="36"/>
      <c r="G595" s="36"/>
      <c r="H595" s="36"/>
      <c r="I595" s="36"/>
      <c r="J595" s="36"/>
      <c r="K595" s="36"/>
      <c r="L595" s="36"/>
      <c r="M595" s="159">
        <v>11495.8</v>
      </c>
      <c r="N595" s="159">
        <v>11496.199999999999</v>
      </c>
    </row>
    <row r="596" spans="4:14" ht="18" hidden="1" x14ac:dyDescent="0.35">
      <c r="D596" s="160" t="s">
        <v>58</v>
      </c>
      <c r="E596" s="160" t="s">
        <v>38</v>
      </c>
      <c r="F596" s="36"/>
      <c r="G596" s="36"/>
      <c r="H596" s="36"/>
      <c r="I596" s="36"/>
      <c r="J596" s="36"/>
      <c r="K596" s="36"/>
      <c r="L596" s="36"/>
      <c r="M596" s="161">
        <v>11858.099999999999</v>
      </c>
      <c r="N596" s="161">
        <v>11858.499999999998</v>
      </c>
    </row>
    <row r="597" spans="4:14" ht="18" hidden="1" x14ac:dyDescent="0.35">
      <c r="D597" s="35"/>
      <c r="E597" s="35"/>
      <c r="F597" s="36"/>
      <c r="G597" s="36"/>
      <c r="H597" s="36"/>
      <c r="I597" s="36"/>
      <c r="J597" s="36"/>
      <c r="K597" s="36"/>
      <c r="L597" s="36"/>
      <c r="M597" s="159"/>
      <c r="N597" s="159"/>
    </row>
    <row r="598" spans="4:14" ht="18" hidden="1" x14ac:dyDescent="0.35">
      <c r="D598" s="35" t="s">
        <v>47</v>
      </c>
      <c r="E598" s="35" t="s">
        <v>60</v>
      </c>
      <c r="F598" s="36"/>
      <c r="G598" s="36"/>
      <c r="H598" s="36"/>
      <c r="I598" s="36"/>
      <c r="J598" s="36"/>
      <c r="K598" s="36"/>
      <c r="L598" s="36"/>
      <c r="M598" s="159">
        <v>12695.300000000001</v>
      </c>
      <c r="N598" s="159">
        <v>17253.900000000001</v>
      </c>
    </row>
    <row r="599" spans="4:14" ht="18" hidden="1" x14ac:dyDescent="0.35">
      <c r="D599" s="35" t="s">
        <v>47</v>
      </c>
      <c r="E599" s="35" t="s">
        <v>74</v>
      </c>
      <c r="F599" s="36"/>
      <c r="G599" s="36"/>
      <c r="H599" s="36"/>
      <c r="I599" s="36"/>
      <c r="J599" s="36"/>
      <c r="K599" s="36"/>
      <c r="L599" s="36"/>
      <c r="M599" s="159">
        <v>6443.4</v>
      </c>
      <c r="N599" s="159">
        <v>6701.1</v>
      </c>
    </row>
    <row r="600" spans="4:14" ht="18" hidden="1" x14ac:dyDescent="0.35">
      <c r="D600" s="35" t="s">
        <v>47</v>
      </c>
      <c r="E600" s="35" t="s">
        <v>95</v>
      </c>
      <c r="F600" s="36"/>
      <c r="G600" s="36"/>
      <c r="H600" s="36"/>
      <c r="I600" s="36"/>
      <c r="J600" s="36"/>
      <c r="K600" s="36"/>
      <c r="L600" s="36"/>
      <c r="M600" s="159">
        <v>9150.2999999999993</v>
      </c>
      <c r="N600" s="159">
        <v>7502.6</v>
      </c>
    </row>
    <row r="601" spans="4:14" ht="18" hidden="1" x14ac:dyDescent="0.35">
      <c r="D601" s="160" t="s">
        <v>47</v>
      </c>
      <c r="E601" s="160" t="s">
        <v>38</v>
      </c>
      <c r="F601" s="36"/>
      <c r="G601" s="36"/>
      <c r="H601" s="36"/>
      <c r="I601" s="36"/>
      <c r="J601" s="36"/>
      <c r="K601" s="36"/>
      <c r="L601" s="36"/>
      <c r="M601" s="161">
        <v>28289</v>
      </c>
      <c r="N601" s="161">
        <v>31457.599999999999</v>
      </c>
    </row>
    <row r="602" spans="4:14" ht="18" hidden="1" x14ac:dyDescent="0.35">
      <c r="D602" s="35"/>
      <c r="E602" s="35"/>
      <c r="F602" s="36"/>
      <c r="G602" s="36"/>
      <c r="H602" s="36"/>
      <c r="I602" s="36"/>
      <c r="J602" s="36"/>
      <c r="K602" s="36"/>
      <c r="L602" s="36"/>
      <c r="M602" s="159"/>
      <c r="N602" s="159"/>
    </row>
    <row r="603" spans="4:14" ht="18" hidden="1" x14ac:dyDescent="0.35">
      <c r="D603" s="35" t="s">
        <v>60</v>
      </c>
      <c r="E603" s="35" t="s">
        <v>32</v>
      </c>
      <c r="F603" s="36"/>
      <c r="G603" s="36"/>
      <c r="H603" s="36"/>
      <c r="I603" s="36"/>
      <c r="J603" s="36"/>
      <c r="K603" s="36"/>
      <c r="L603" s="36"/>
      <c r="M603" s="159"/>
      <c r="N603" s="159"/>
    </row>
    <row r="604" spans="4:14" ht="18" hidden="1" x14ac:dyDescent="0.35">
      <c r="D604" s="35" t="s">
        <v>60</v>
      </c>
      <c r="E604" s="35" t="s">
        <v>34</v>
      </c>
      <c r="F604" s="36"/>
      <c r="G604" s="36"/>
      <c r="H604" s="36"/>
      <c r="I604" s="36"/>
      <c r="J604" s="36"/>
      <c r="K604" s="36"/>
      <c r="L604" s="36"/>
      <c r="M604" s="159"/>
      <c r="N604" s="159"/>
    </row>
    <row r="605" spans="4:14" ht="18" hidden="1" x14ac:dyDescent="0.35">
      <c r="D605" s="35" t="s">
        <v>60</v>
      </c>
      <c r="E605" s="35" t="s">
        <v>58</v>
      </c>
      <c r="F605" s="36"/>
      <c r="G605" s="36"/>
      <c r="H605" s="36"/>
      <c r="I605" s="36"/>
      <c r="J605" s="36"/>
      <c r="K605" s="36"/>
      <c r="L605" s="36"/>
      <c r="M605" s="159">
        <v>3516.2</v>
      </c>
      <c r="N605" s="159">
        <v>0</v>
      </c>
    </row>
    <row r="606" spans="4:14" ht="18" hidden="1" x14ac:dyDescent="0.35">
      <c r="D606" s="160" t="s">
        <v>60</v>
      </c>
      <c r="E606" s="160" t="s">
        <v>38</v>
      </c>
      <c r="F606" s="36"/>
      <c r="G606" s="36"/>
      <c r="H606" s="36"/>
      <c r="I606" s="36"/>
      <c r="J606" s="36"/>
      <c r="K606" s="36"/>
      <c r="L606" s="36"/>
      <c r="M606" s="161">
        <v>3516.2</v>
      </c>
      <c r="N606" s="161">
        <v>0</v>
      </c>
    </row>
    <row r="607" spans="4:14" ht="18" hidden="1" x14ac:dyDescent="0.35">
      <c r="D607" s="35"/>
      <c r="E607" s="35"/>
      <c r="F607" s="36"/>
      <c r="G607" s="36"/>
      <c r="H607" s="36"/>
      <c r="I607" s="36"/>
      <c r="J607" s="36"/>
      <c r="K607" s="36"/>
      <c r="L607" s="36"/>
      <c r="M607" s="159"/>
      <c r="N607" s="159"/>
    </row>
    <row r="608" spans="4:14" ht="18" hidden="1" x14ac:dyDescent="0.35">
      <c r="D608" s="35" t="s">
        <v>219</v>
      </c>
      <c r="E608" s="35" t="s">
        <v>32</v>
      </c>
      <c r="F608" s="36"/>
      <c r="G608" s="36"/>
      <c r="H608" s="36"/>
      <c r="I608" s="36"/>
      <c r="J608" s="36"/>
      <c r="K608" s="36"/>
      <c r="L608" s="36"/>
      <c r="M608" s="159">
        <v>331535.5</v>
      </c>
      <c r="N608" s="159">
        <v>338318.30000000005</v>
      </c>
    </row>
    <row r="609" spans="4:14" ht="18" hidden="1" x14ac:dyDescent="0.35">
      <c r="D609" s="35" t="s">
        <v>219</v>
      </c>
      <c r="E609" s="35" t="s">
        <v>34</v>
      </c>
      <c r="F609" s="36"/>
      <c r="G609" s="36"/>
      <c r="H609" s="36"/>
      <c r="I609" s="36"/>
      <c r="J609" s="36"/>
      <c r="K609" s="36"/>
      <c r="L609" s="36"/>
      <c r="M609" s="159">
        <v>605268.10000000009</v>
      </c>
      <c r="N609" s="159">
        <v>614556.79999999993</v>
      </c>
    </row>
    <row r="610" spans="4:14" ht="18" hidden="1" x14ac:dyDescent="0.35">
      <c r="D610" s="35" t="s">
        <v>219</v>
      </c>
      <c r="E610" s="35" t="s">
        <v>58</v>
      </c>
      <c r="F610" s="36"/>
      <c r="G610" s="36"/>
      <c r="H610" s="36"/>
      <c r="I610" s="36"/>
      <c r="J610" s="36"/>
      <c r="K610" s="36"/>
      <c r="L610" s="36"/>
      <c r="M610" s="159">
        <v>121543.30000000002</v>
      </c>
      <c r="N610" s="159">
        <v>131669.69999999998</v>
      </c>
    </row>
    <row r="611" spans="4:14" ht="18" hidden="1" x14ac:dyDescent="0.35">
      <c r="D611" s="35" t="s">
        <v>219</v>
      </c>
      <c r="E611" s="35" t="s">
        <v>60</v>
      </c>
      <c r="F611" s="36"/>
      <c r="G611" s="36"/>
      <c r="H611" s="36"/>
      <c r="I611" s="36"/>
      <c r="J611" s="36"/>
      <c r="K611" s="36"/>
      <c r="L611" s="36"/>
      <c r="M611" s="159"/>
      <c r="N611" s="159"/>
    </row>
    <row r="612" spans="4:14" ht="18" hidden="1" x14ac:dyDescent="0.35">
      <c r="D612" s="35" t="s">
        <v>219</v>
      </c>
      <c r="E612" s="35" t="s">
        <v>219</v>
      </c>
      <c r="F612" s="36"/>
      <c r="G612" s="36"/>
      <c r="H612" s="36"/>
      <c r="I612" s="36"/>
      <c r="J612" s="36"/>
      <c r="K612" s="36"/>
      <c r="L612" s="36"/>
      <c r="M612" s="159">
        <v>11998.899999999998</v>
      </c>
      <c r="N612" s="159">
        <v>11998.899999999998</v>
      </c>
    </row>
    <row r="613" spans="4:14" ht="18" hidden="1" x14ac:dyDescent="0.35">
      <c r="D613" s="35" t="s">
        <v>219</v>
      </c>
      <c r="E613" s="35" t="s">
        <v>74</v>
      </c>
      <c r="F613" s="36"/>
      <c r="G613" s="36"/>
      <c r="H613" s="36"/>
      <c r="I613" s="36"/>
      <c r="J613" s="36"/>
      <c r="K613" s="36"/>
      <c r="L613" s="36"/>
      <c r="M613" s="159">
        <v>67585.599999999991</v>
      </c>
      <c r="N613" s="159">
        <v>68017.100000000006</v>
      </c>
    </row>
    <row r="614" spans="4:14" ht="18" hidden="1" x14ac:dyDescent="0.35">
      <c r="D614" s="160" t="s">
        <v>219</v>
      </c>
      <c r="E614" s="160" t="s">
        <v>38</v>
      </c>
      <c r="F614" s="36"/>
      <c r="G614" s="36"/>
      <c r="H614" s="36"/>
      <c r="I614" s="36"/>
      <c r="J614" s="36"/>
      <c r="K614" s="36"/>
      <c r="L614" s="36"/>
      <c r="M614" s="161">
        <v>1137931.4000000001</v>
      </c>
      <c r="N614" s="161">
        <v>1164560.8</v>
      </c>
    </row>
    <row r="615" spans="4:14" ht="18" hidden="1" x14ac:dyDescent="0.35">
      <c r="D615" s="35"/>
      <c r="E615" s="35"/>
      <c r="F615" s="36"/>
      <c r="G615" s="36"/>
      <c r="H615" s="36"/>
      <c r="I615" s="36"/>
      <c r="J615" s="36"/>
      <c r="K615" s="36"/>
      <c r="L615" s="36"/>
      <c r="M615" s="159"/>
      <c r="N615" s="159"/>
    </row>
    <row r="616" spans="4:14" ht="18" hidden="1" x14ac:dyDescent="0.35">
      <c r="D616" s="35" t="s">
        <v>221</v>
      </c>
      <c r="E616" s="35" t="s">
        <v>32</v>
      </c>
      <c r="F616" s="36"/>
      <c r="G616" s="36"/>
      <c r="H616" s="36"/>
      <c r="I616" s="36"/>
      <c r="J616" s="36"/>
      <c r="K616" s="36"/>
      <c r="L616" s="36"/>
      <c r="M616" s="159">
        <v>24617.300000000003</v>
      </c>
      <c r="N616" s="159">
        <v>26988.1</v>
      </c>
    </row>
    <row r="617" spans="4:14" ht="18" hidden="1" x14ac:dyDescent="0.35">
      <c r="D617" s="35" t="s">
        <v>221</v>
      </c>
      <c r="E617" s="35" t="s">
        <v>47</v>
      </c>
      <c r="F617" s="36"/>
      <c r="G617" s="36"/>
      <c r="H617" s="36"/>
      <c r="I617" s="36"/>
      <c r="J617" s="36"/>
      <c r="K617" s="36"/>
      <c r="L617" s="36"/>
      <c r="M617" s="159">
        <v>9253.1</v>
      </c>
      <c r="N617" s="159">
        <v>9910</v>
      </c>
    </row>
    <row r="618" spans="4:14" ht="18" hidden="1" x14ac:dyDescent="0.35">
      <c r="D618" s="160" t="s">
        <v>221</v>
      </c>
      <c r="E618" s="160" t="s">
        <v>38</v>
      </c>
      <c r="F618" s="36"/>
      <c r="G618" s="36"/>
      <c r="H618" s="36"/>
      <c r="I618" s="36"/>
      <c r="J618" s="36"/>
      <c r="K618" s="36"/>
      <c r="L618" s="36"/>
      <c r="M618" s="161">
        <v>33870.400000000001</v>
      </c>
      <c r="N618" s="161">
        <v>36898.1</v>
      </c>
    </row>
    <row r="619" spans="4:14" ht="18" hidden="1" x14ac:dyDescent="0.35">
      <c r="D619" s="35"/>
      <c r="E619" s="35"/>
      <c r="F619" s="36"/>
      <c r="G619" s="36"/>
      <c r="H619" s="36"/>
      <c r="I619" s="36"/>
      <c r="J619" s="36"/>
      <c r="K619" s="36"/>
      <c r="L619" s="36"/>
      <c r="M619" s="159"/>
      <c r="N619" s="159"/>
    </row>
    <row r="620" spans="4:14" ht="18" hidden="1" x14ac:dyDescent="0.35">
      <c r="D620" s="35" t="s">
        <v>99</v>
      </c>
      <c r="E620" s="35" t="s">
        <v>32</v>
      </c>
      <c r="F620" s="36"/>
      <c r="G620" s="36"/>
      <c r="H620" s="36"/>
      <c r="I620" s="36"/>
      <c r="J620" s="36"/>
      <c r="K620" s="36"/>
      <c r="L620" s="36"/>
      <c r="M620" s="159">
        <v>504</v>
      </c>
      <c r="N620" s="159">
        <v>504</v>
      </c>
    </row>
    <row r="621" spans="4:14" ht="18" hidden="1" x14ac:dyDescent="0.35">
      <c r="D621" s="35" t="s">
        <v>99</v>
      </c>
      <c r="E621" s="35" t="s">
        <v>47</v>
      </c>
      <c r="F621" s="36"/>
      <c r="G621" s="36"/>
      <c r="H621" s="36"/>
      <c r="I621" s="36"/>
      <c r="J621" s="36"/>
      <c r="K621" s="36"/>
      <c r="L621" s="36"/>
      <c r="M621" s="159">
        <v>120323.9</v>
      </c>
      <c r="N621" s="159">
        <v>121854.20000000001</v>
      </c>
    </row>
    <row r="622" spans="4:14" ht="18" hidden="1" x14ac:dyDescent="0.35">
      <c r="D622" s="35" t="s">
        <v>99</v>
      </c>
      <c r="E622" s="35" t="s">
        <v>76</v>
      </c>
      <c r="F622" s="36"/>
      <c r="G622" s="36"/>
      <c r="H622" s="36"/>
      <c r="I622" s="36"/>
      <c r="J622" s="36"/>
      <c r="K622" s="36"/>
      <c r="L622" s="36"/>
      <c r="M622" s="159">
        <v>8847.1</v>
      </c>
      <c r="N622" s="159">
        <v>8847.1</v>
      </c>
    </row>
    <row r="623" spans="4:14" ht="18" hidden="1" x14ac:dyDescent="0.35">
      <c r="D623" s="160" t="s">
        <v>99</v>
      </c>
      <c r="E623" s="160" t="s">
        <v>38</v>
      </c>
      <c r="F623" s="36"/>
      <c r="G623" s="36"/>
      <c r="H623" s="36"/>
      <c r="I623" s="36"/>
      <c r="J623" s="36"/>
      <c r="K623" s="36"/>
      <c r="L623" s="36"/>
      <c r="M623" s="161">
        <v>129675</v>
      </c>
      <c r="N623" s="161">
        <v>131205.30000000002</v>
      </c>
    </row>
    <row r="624" spans="4:14" ht="18" hidden="1" x14ac:dyDescent="0.35">
      <c r="D624" s="35"/>
      <c r="E624" s="35"/>
      <c r="F624" s="36"/>
      <c r="G624" s="36"/>
      <c r="H624" s="36"/>
      <c r="I624" s="36"/>
      <c r="J624" s="36"/>
      <c r="K624" s="36"/>
      <c r="L624" s="36"/>
      <c r="M624" s="159"/>
      <c r="N624" s="159"/>
    </row>
    <row r="625" spans="2:14" ht="18" hidden="1" x14ac:dyDescent="0.35">
      <c r="D625" s="35" t="s">
        <v>62</v>
      </c>
      <c r="E625" s="35" t="s">
        <v>32</v>
      </c>
      <c r="F625" s="36"/>
      <c r="G625" s="36"/>
      <c r="H625" s="36"/>
      <c r="I625" s="36"/>
      <c r="J625" s="36"/>
      <c r="K625" s="36"/>
      <c r="L625" s="36"/>
      <c r="M625" s="159">
        <v>27572.199999999997</v>
      </c>
      <c r="N625" s="159">
        <v>27452.1</v>
      </c>
    </row>
    <row r="626" spans="2:14" ht="18" hidden="1" x14ac:dyDescent="0.35">
      <c r="D626" s="35" t="s">
        <v>62</v>
      </c>
      <c r="E626" s="35" t="s">
        <v>34</v>
      </c>
      <c r="F626" s="36"/>
      <c r="G626" s="36"/>
      <c r="H626" s="36"/>
      <c r="I626" s="36"/>
      <c r="J626" s="36"/>
      <c r="K626" s="36"/>
      <c r="L626" s="36"/>
      <c r="M626" s="159">
        <v>4319.5</v>
      </c>
      <c r="N626" s="159">
        <v>629.70000000000005</v>
      </c>
    </row>
    <row r="627" spans="2:14" ht="18" hidden="1" x14ac:dyDescent="0.35">
      <c r="D627" s="35" t="s">
        <v>62</v>
      </c>
      <c r="E627" s="35" t="s">
        <v>60</v>
      </c>
      <c r="F627" s="36"/>
      <c r="G627" s="36"/>
      <c r="H627" s="36"/>
      <c r="I627" s="36"/>
      <c r="J627" s="36"/>
      <c r="K627" s="36"/>
      <c r="L627" s="36"/>
      <c r="M627" s="159">
        <v>2486.9</v>
      </c>
      <c r="N627" s="159">
        <v>2487.9</v>
      </c>
    </row>
    <row r="628" spans="2:14" ht="18" hidden="1" x14ac:dyDescent="0.35">
      <c r="D628" s="160" t="s">
        <v>62</v>
      </c>
      <c r="E628" s="160" t="s">
        <v>38</v>
      </c>
      <c r="F628" s="36"/>
      <c r="G628" s="36"/>
      <c r="H628" s="36"/>
      <c r="I628" s="36"/>
      <c r="J628" s="36"/>
      <c r="K628" s="36"/>
      <c r="L628" s="36"/>
      <c r="M628" s="161">
        <v>34378.6</v>
      </c>
      <c r="N628" s="161">
        <v>30569.7</v>
      </c>
    </row>
    <row r="629" spans="2:14" ht="18" hidden="1" x14ac:dyDescent="0.35">
      <c r="D629" s="35"/>
      <c r="E629" s="35"/>
      <c r="F629" s="36"/>
      <c r="G629" s="36"/>
      <c r="H629" s="36"/>
      <c r="I629" s="36"/>
      <c r="J629" s="36"/>
      <c r="K629" s="36"/>
      <c r="L629" s="36"/>
      <c r="M629" s="159"/>
      <c r="N629" s="159"/>
    </row>
    <row r="630" spans="2:14" ht="18" hidden="1" x14ac:dyDescent="0.35">
      <c r="D630" s="35" t="s">
        <v>66</v>
      </c>
      <c r="E630" s="35" t="s">
        <v>32</v>
      </c>
      <c r="F630" s="36"/>
      <c r="G630" s="36"/>
      <c r="H630" s="36"/>
      <c r="I630" s="36"/>
      <c r="J630" s="36"/>
      <c r="K630" s="36"/>
      <c r="L630" s="36"/>
      <c r="M630" s="159"/>
      <c r="N630" s="159"/>
    </row>
    <row r="631" spans="2:14" ht="18" hidden="1" x14ac:dyDescent="0.35">
      <c r="D631" s="160" t="s">
        <v>66</v>
      </c>
      <c r="E631" s="160" t="s">
        <v>38</v>
      </c>
      <c r="F631" s="36"/>
      <c r="G631" s="36"/>
      <c r="H631" s="36"/>
      <c r="I631" s="36"/>
      <c r="J631" s="36"/>
      <c r="K631" s="36"/>
      <c r="L631" s="36"/>
      <c r="M631" s="161">
        <v>0</v>
      </c>
      <c r="N631" s="161">
        <v>0</v>
      </c>
    </row>
    <row r="632" spans="2:14" ht="18" hidden="1" x14ac:dyDescent="0.35">
      <c r="D632" s="35"/>
      <c r="E632" s="35"/>
      <c r="F632" s="36"/>
      <c r="G632" s="36"/>
      <c r="H632" s="36"/>
      <c r="I632" s="36"/>
      <c r="J632" s="36"/>
      <c r="K632" s="36"/>
      <c r="L632" s="36"/>
      <c r="M632" s="159"/>
      <c r="N632" s="159"/>
    </row>
    <row r="633" spans="2:14" ht="18" hidden="1" x14ac:dyDescent="0.35">
      <c r="D633" s="35" t="s">
        <v>83</v>
      </c>
      <c r="E633" s="35" t="s">
        <v>32</v>
      </c>
      <c r="F633" s="36"/>
      <c r="G633" s="36"/>
      <c r="H633" s="36"/>
      <c r="I633" s="36"/>
      <c r="J633" s="36"/>
      <c r="K633" s="36"/>
      <c r="L633" s="36"/>
      <c r="M633" s="159">
        <v>7000</v>
      </c>
      <c r="N633" s="159">
        <v>7000</v>
      </c>
    </row>
    <row r="634" spans="2:14" ht="18" hidden="1" x14ac:dyDescent="0.35">
      <c r="D634" s="160" t="s">
        <v>83</v>
      </c>
      <c r="E634" s="160" t="s">
        <v>38</v>
      </c>
      <c r="F634" s="36"/>
      <c r="G634" s="36"/>
      <c r="H634" s="36"/>
      <c r="I634" s="36"/>
      <c r="J634" s="36"/>
      <c r="K634" s="36"/>
      <c r="L634" s="36"/>
      <c r="M634" s="161">
        <v>7000</v>
      </c>
      <c r="N634" s="161">
        <v>7000</v>
      </c>
    </row>
    <row r="635" spans="2:14" ht="18" hidden="1" x14ac:dyDescent="0.35">
      <c r="D635" s="35"/>
      <c r="E635" s="35"/>
      <c r="F635" s="36"/>
      <c r="G635" s="36"/>
      <c r="H635" s="36"/>
      <c r="I635" s="36"/>
      <c r="J635" s="36"/>
      <c r="K635" s="36"/>
      <c r="L635" s="36"/>
      <c r="M635" s="159"/>
      <c r="N635" s="159"/>
    </row>
    <row r="636" spans="2:14" ht="18" hidden="1" x14ac:dyDescent="0.35">
      <c r="D636" s="162" t="s">
        <v>353</v>
      </c>
      <c r="E636" s="35"/>
      <c r="F636" s="36"/>
      <c r="G636" s="36"/>
      <c r="H636" s="36"/>
      <c r="I636" s="36"/>
      <c r="J636" s="36"/>
      <c r="K636" s="36"/>
      <c r="L636" s="36"/>
      <c r="M636" s="159">
        <v>32308.899999999998</v>
      </c>
      <c r="N636" s="159">
        <v>34551.699999999997</v>
      </c>
    </row>
    <row r="637" spans="2:14" ht="18" hidden="1" x14ac:dyDescent="0.35">
      <c r="D637" s="35"/>
      <c r="E637" s="35"/>
      <c r="F637" s="36"/>
      <c r="G637" s="36"/>
      <c r="H637" s="36"/>
      <c r="I637" s="36"/>
      <c r="J637" s="36"/>
      <c r="K637" s="36"/>
      <c r="L637" s="36"/>
      <c r="M637" s="159"/>
      <c r="N637" s="159"/>
    </row>
    <row r="638" spans="2:14" ht="18" hidden="1" x14ac:dyDescent="0.35">
      <c r="D638" s="35"/>
      <c r="E638" s="35"/>
      <c r="F638" s="36"/>
      <c r="G638" s="36"/>
      <c r="H638" s="36"/>
      <c r="I638" s="36"/>
      <c r="J638" s="36"/>
      <c r="K638" s="36"/>
      <c r="L638" s="36"/>
      <c r="M638" s="161"/>
      <c r="N638" s="161"/>
    </row>
    <row r="639" spans="2:14" ht="18" hidden="1" x14ac:dyDescent="0.35">
      <c r="D639" s="35"/>
      <c r="E639" s="35"/>
      <c r="F639" s="36"/>
      <c r="G639" s="36"/>
      <c r="H639" s="36"/>
      <c r="I639" s="36"/>
      <c r="J639" s="36"/>
      <c r="K639" s="36"/>
      <c r="L639" s="36"/>
      <c r="M639" s="159"/>
      <c r="N639" s="159"/>
    </row>
    <row r="640" spans="2:14" ht="18" hidden="1" x14ac:dyDescent="0.35">
      <c r="B640" s="1" t="s">
        <v>356</v>
      </c>
      <c r="D640" s="35"/>
      <c r="E640" s="35"/>
      <c r="F640" s="36"/>
      <c r="G640" s="36"/>
      <c r="H640" s="36"/>
      <c r="I640" s="36"/>
      <c r="J640" s="36"/>
      <c r="K640" s="36"/>
      <c r="L640" s="36"/>
      <c r="M640" s="159"/>
      <c r="N640" s="159"/>
    </row>
    <row r="641" spans="2:14" ht="18" hidden="1" x14ac:dyDescent="0.35">
      <c r="B641" s="1" t="s">
        <v>355</v>
      </c>
      <c r="D641" s="35"/>
      <c r="E641" s="35"/>
      <c r="F641" s="36"/>
      <c r="G641" s="36"/>
      <c r="H641" s="36"/>
      <c r="I641" s="36"/>
      <c r="J641" s="36"/>
      <c r="K641" s="36"/>
      <c r="L641" s="36"/>
      <c r="M641" s="159"/>
      <c r="N641" s="159"/>
    </row>
    <row r="642" spans="2:14" ht="18" hidden="1" x14ac:dyDescent="0.35">
      <c r="D642" s="35"/>
      <c r="E642" s="35"/>
      <c r="F642" s="36"/>
      <c r="G642" s="36"/>
      <c r="H642" s="36"/>
      <c r="I642" s="36"/>
      <c r="J642" s="36"/>
      <c r="K642" s="36"/>
      <c r="L642" s="36"/>
      <c r="M642" s="163"/>
      <c r="N642" s="163"/>
    </row>
    <row r="643" spans="2:14" ht="18" hidden="1" x14ac:dyDescent="0.35">
      <c r="D643" s="35"/>
      <c r="E643" s="35"/>
      <c r="F643" s="36"/>
      <c r="G643" s="36"/>
      <c r="H643" s="36"/>
      <c r="I643" s="36"/>
      <c r="J643" s="36"/>
      <c r="K643" s="36"/>
      <c r="L643" s="36"/>
      <c r="M643" s="163"/>
      <c r="N643" s="163"/>
    </row>
    <row r="645" spans="2:14" x14ac:dyDescent="0.3">
      <c r="M645" s="37"/>
      <c r="N645" s="37"/>
    </row>
  </sheetData>
  <autoFilter ref="A4:N645"/>
  <mergeCells count="12">
    <mergeCell ref="F15:I15"/>
    <mergeCell ref="A9:N9"/>
    <mergeCell ref="A13:A14"/>
    <mergeCell ref="B13:B14"/>
    <mergeCell ref="C13:C14"/>
    <mergeCell ref="D13:D14"/>
    <mergeCell ref="E13:E14"/>
    <mergeCell ref="F13:I14"/>
    <mergeCell ref="J13:J14"/>
    <mergeCell ref="N13:N14"/>
    <mergeCell ref="L13:M13"/>
    <mergeCell ref="K13:K14"/>
  </mergeCells>
  <printOptions horizontalCentered="1"/>
  <pageMargins left="1.1811023622047245" right="0.39370078740157483" top="0.78740157480314965" bottom="0.78740157480314965" header="0.31496062992125984" footer="0.31496062992125984"/>
  <pageSetup paperSize="9" scale="63" fitToHeight="0" orientation="portrait" blackAndWhite="1" r:id="rId1"/>
  <headerFooter differentFirst="1">
    <oddHeader>&amp;C&amp;"Times New Roman,обычный"&amp;12&amp;P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H33"/>
  <sheetViews>
    <sheetView zoomScale="80" zoomScaleNormal="80" workbookViewId="0">
      <selection activeCell="L12" sqref="L12"/>
    </sheetView>
  </sheetViews>
  <sheetFormatPr defaultColWidth="9.109375" defaultRowHeight="18" x14ac:dyDescent="0.35"/>
  <cols>
    <col min="1" max="1" width="33.33203125" style="243" customWidth="1"/>
    <col min="2" max="2" width="66.44140625" style="243" customWidth="1"/>
    <col min="3" max="3" width="16.33203125" style="243" customWidth="1"/>
    <col min="4" max="4" width="15.5546875" style="243" customWidth="1"/>
    <col min="5" max="5" width="15.88671875" style="243" customWidth="1"/>
    <col min="6" max="6" width="19.88671875" style="243" customWidth="1"/>
    <col min="7" max="7" width="10.88671875" style="243" bestFit="1" customWidth="1"/>
    <col min="8" max="16384" width="9.109375" style="243"/>
  </cols>
  <sheetData>
    <row r="1" spans="1:6" x14ac:dyDescent="0.35">
      <c r="E1" s="166" t="s">
        <v>501</v>
      </c>
    </row>
    <row r="2" spans="1:6" x14ac:dyDescent="0.35">
      <c r="E2" s="166" t="s">
        <v>546</v>
      </c>
    </row>
    <row r="4" spans="1:6" s="42" customFormat="1" x14ac:dyDescent="0.35">
      <c r="E4" s="47" t="s">
        <v>505</v>
      </c>
    </row>
    <row r="5" spans="1:6" s="42" customFormat="1" x14ac:dyDescent="0.35">
      <c r="E5" s="47" t="s">
        <v>545</v>
      </c>
    </row>
    <row r="7" spans="1:6" ht="17.399999999999999" customHeight="1" x14ac:dyDescent="0.35"/>
    <row r="8" spans="1:6" s="42" customFormat="1" ht="18" customHeight="1" x14ac:dyDescent="0.35">
      <c r="C8" s="47"/>
    </row>
    <row r="9" spans="1:6" s="42" customFormat="1" ht="36" customHeight="1" x14ac:dyDescent="0.35">
      <c r="A9" s="631" t="s">
        <v>490</v>
      </c>
      <c r="B9" s="635"/>
      <c r="C9" s="635"/>
      <c r="D9" s="635"/>
      <c r="E9" s="635"/>
    </row>
    <row r="10" spans="1:6" x14ac:dyDescent="0.35">
      <c r="A10" s="635"/>
      <c r="B10" s="635"/>
      <c r="C10" s="635"/>
      <c r="D10" s="635"/>
      <c r="E10" s="635"/>
      <c r="F10" s="636"/>
    </row>
    <row r="11" spans="1:6" ht="37.5" customHeight="1" x14ac:dyDescent="0.35">
      <c r="E11" s="268" t="s">
        <v>234</v>
      </c>
    </row>
    <row r="12" spans="1:6" ht="33" customHeight="1" x14ac:dyDescent="0.35">
      <c r="A12" s="587" t="s">
        <v>11</v>
      </c>
      <c r="B12" s="587" t="s">
        <v>461</v>
      </c>
      <c r="C12" s="632" t="s">
        <v>13</v>
      </c>
      <c r="D12" s="633"/>
      <c r="E12" s="634"/>
      <c r="F12" s="637"/>
    </row>
    <row r="13" spans="1:6" ht="32.25" customHeight="1" x14ac:dyDescent="0.35">
      <c r="A13" s="588"/>
      <c r="B13" s="588"/>
      <c r="C13" s="201" t="s">
        <v>396</v>
      </c>
      <c r="D13" s="201" t="s">
        <v>433</v>
      </c>
      <c r="E13" s="201" t="s">
        <v>491</v>
      </c>
      <c r="F13" s="637"/>
    </row>
    <row r="14" spans="1:6" ht="18" customHeight="1" x14ac:dyDescent="0.35">
      <c r="A14" s="250">
        <v>1</v>
      </c>
      <c r="B14" s="269">
        <v>2</v>
      </c>
      <c r="C14" s="362">
        <v>3</v>
      </c>
      <c r="D14" s="250">
        <v>4</v>
      </c>
      <c r="E14" s="270">
        <v>5</v>
      </c>
      <c r="F14" s="637"/>
    </row>
    <row r="15" spans="1:6" ht="37.200000000000003" customHeight="1" x14ac:dyDescent="0.35">
      <c r="A15" s="271" t="s">
        <v>235</v>
      </c>
      <c r="B15" s="358" t="s">
        <v>236</v>
      </c>
      <c r="C15" s="272">
        <f>C20+C16</f>
        <v>29513.700000000186</v>
      </c>
      <c r="D15" s="272">
        <f t="shared" ref="D15:E15" si="0">D20+D16</f>
        <v>0</v>
      </c>
      <c r="E15" s="367">
        <f t="shared" si="0"/>
        <v>0</v>
      </c>
      <c r="F15" s="638"/>
    </row>
    <row r="16" spans="1:6" ht="50.25" customHeight="1" x14ac:dyDescent="0.35">
      <c r="A16" s="273" t="s">
        <v>377</v>
      </c>
      <c r="B16" s="359" t="s">
        <v>458</v>
      </c>
      <c r="C16" s="363">
        <f>C17</f>
        <v>-10224</v>
      </c>
      <c r="D16" s="363">
        <f t="shared" ref="D16:E16" si="1">D17</f>
        <v>0</v>
      </c>
      <c r="E16" s="368">
        <f t="shared" si="1"/>
        <v>0</v>
      </c>
      <c r="F16" s="638"/>
    </row>
    <row r="17" spans="1:8" ht="57" customHeight="1" x14ac:dyDescent="0.35">
      <c r="A17" s="274" t="s">
        <v>378</v>
      </c>
      <c r="B17" s="360" t="s">
        <v>455</v>
      </c>
      <c r="C17" s="364">
        <f>-C18</f>
        <v>-10224</v>
      </c>
      <c r="D17" s="364">
        <v>0</v>
      </c>
      <c r="E17" s="369">
        <v>0</v>
      </c>
      <c r="F17" s="638"/>
    </row>
    <row r="18" spans="1:8" ht="63" customHeight="1" x14ac:dyDescent="0.35">
      <c r="A18" s="274" t="s">
        <v>379</v>
      </c>
      <c r="B18" s="360" t="s">
        <v>456</v>
      </c>
      <c r="C18" s="364">
        <f>C19</f>
        <v>10224</v>
      </c>
      <c r="D18" s="364">
        <v>0</v>
      </c>
      <c r="E18" s="369">
        <v>0</v>
      </c>
      <c r="F18" s="638"/>
    </row>
    <row r="19" spans="1:8" ht="75.75" customHeight="1" x14ac:dyDescent="0.35">
      <c r="A19" s="278" t="s">
        <v>380</v>
      </c>
      <c r="B19" s="361" t="s">
        <v>457</v>
      </c>
      <c r="C19" s="365">
        <v>10224</v>
      </c>
      <c r="D19" s="365">
        <v>0</v>
      </c>
      <c r="E19" s="370">
        <v>0</v>
      </c>
      <c r="F19" s="638"/>
    </row>
    <row r="20" spans="1:8" s="641" customFormat="1" ht="34.950000000000003" customHeight="1" x14ac:dyDescent="0.3">
      <c r="A20" s="273" t="s">
        <v>237</v>
      </c>
      <c r="B20" s="275" t="s">
        <v>238</v>
      </c>
      <c r="C20" s="366">
        <f>C25-C21</f>
        <v>39737.700000000186</v>
      </c>
      <c r="D20" s="272">
        <f>D25-D21</f>
        <v>0</v>
      </c>
      <c r="E20" s="367">
        <f t="shared" ref="E20" si="2">E25-E21</f>
        <v>0</v>
      </c>
      <c r="F20" s="639"/>
      <c r="G20" s="640"/>
    </row>
    <row r="21" spans="1:8" x14ac:dyDescent="0.35">
      <c r="A21" s="274" t="s">
        <v>239</v>
      </c>
      <c r="B21" s="276" t="s">
        <v>240</v>
      </c>
      <c r="C21" s="345">
        <f>C22</f>
        <v>1836138.3</v>
      </c>
      <c r="D21" s="355">
        <f t="shared" ref="D21:E22" si="3">D22</f>
        <v>1566366.7000000002</v>
      </c>
      <c r="E21" s="371">
        <f t="shared" si="3"/>
        <v>1597406.2999999998</v>
      </c>
    </row>
    <row r="22" spans="1:8" x14ac:dyDescent="0.35">
      <c r="A22" s="274" t="s">
        <v>241</v>
      </c>
      <c r="B22" s="276" t="s">
        <v>242</v>
      </c>
      <c r="C22" s="345">
        <f>C23</f>
        <v>1836138.3</v>
      </c>
      <c r="D22" s="355">
        <f t="shared" si="3"/>
        <v>1566366.7000000002</v>
      </c>
      <c r="E22" s="371">
        <f t="shared" si="3"/>
        <v>1597406.2999999998</v>
      </c>
    </row>
    <row r="23" spans="1:8" ht="20.25" customHeight="1" x14ac:dyDescent="0.35">
      <c r="A23" s="274" t="s">
        <v>313</v>
      </c>
      <c r="B23" s="277" t="s">
        <v>243</v>
      </c>
      <c r="C23" s="346">
        <f>C24</f>
        <v>1836138.3</v>
      </c>
      <c r="D23" s="356">
        <f t="shared" ref="D23:E23" si="4">D24</f>
        <v>1566366.7000000002</v>
      </c>
      <c r="E23" s="372">
        <f t="shared" si="4"/>
        <v>1597406.2999999998</v>
      </c>
    </row>
    <row r="24" spans="1:8" ht="37.5" customHeight="1" x14ac:dyDescent="0.35">
      <c r="A24" s="274" t="s">
        <v>244</v>
      </c>
      <c r="B24" s="277" t="s">
        <v>3</v>
      </c>
      <c r="C24" s="346">
        <f>'прил. 1 (поступл.22-24)'!C41+'прил. 1 (поступл.22-24)'!C40</f>
        <v>1836138.3</v>
      </c>
      <c r="D24" s="354">
        <f>'прил. 1 (поступл.22-24)'!D41</f>
        <v>1566366.7000000002</v>
      </c>
      <c r="E24" s="373">
        <f>'прил. 1 (поступл.22-24)'!E41</f>
        <v>1597406.2999999998</v>
      </c>
    </row>
    <row r="25" spans="1:8" x14ac:dyDescent="0.35">
      <c r="A25" s="274" t="s">
        <v>245</v>
      </c>
      <c r="B25" s="277" t="s">
        <v>246</v>
      </c>
      <c r="C25" s="346">
        <f>C26</f>
        <v>1875876.0000000002</v>
      </c>
      <c r="D25" s="356">
        <f t="shared" ref="D25:E27" si="5">D26</f>
        <v>1566366.7000000002</v>
      </c>
      <c r="E25" s="372">
        <f t="shared" si="5"/>
        <v>1597406.2999999998</v>
      </c>
    </row>
    <row r="26" spans="1:8" x14ac:dyDescent="0.35">
      <c r="A26" s="274" t="s">
        <v>247</v>
      </c>
      <c r="B26" s="277" t="s">
        <v>248</v>
      </c>
      <c r="C26" s="346">
        <f>C27</f>
        <v>1875876.0000000002</v>
      </c>
      <c r="D26" s="356">
        <f t="shared" si="5"/>
        <v>1566366.7000000002</v>
      </c>
      <c r="E26" s="372">
        <f t="shared" si="5"/>
        <v>1597406.2999999998</v>
      </c>
    </row>
    <row r="27" spans="1:8" ht="22.2" customHeight="1" x14ac:dyDescent="0.35">
      <c r="A27" s="274" t="s">
        <v>249</v>
      </c>
      <c r="B27" s="277" t="s">
        <v>250</v>
      </c>
      <c r="C27" s="346">
        <f>C28</f>
        <v>1875876.0000000002</v>
      </c>
      <c r="D27" s="356">
        <f t="shared" si="5"/>
        <v>1566366.7000000002</v>
      </c>
      <c r="E27" s="372">
        <f t="shared" si="5"/>
        <v>1597406.2999999998</v>
      </c>
    </row>
    <row r="28" spans="1:8" ht="36" x14ac:dyDescent="0.35">
      <c r="A28" s="278" t="s">
        <v>251</v>
      </c>
      <c r="B28" s="279" t="s">
        <v>4</v>
      </c>
      <c r="C28" s="347">
        <f>'прил9 (ведом 22)'!M15+C19+'прил. 1 (поступл.22-24)'!C40</f>
        <v>1875876.0000000002</v>
      </c>
      <c r="D28" s="357">
        <f>'прил10 (ведом 23-24)'!M16+D19</f>
        <v>1566366.7000000002</v>
      </c>
      <c r="E28" s="374">
        <f>'прил10 (ведом 23-24)'!N16+E19</f>
        <v>1597406.2999999998</v>
      </c>
    </row>
    <row r="29" spans="1:8" x14ac:dyDescent="0.35">
      <c r="A29" s="280"/>
      <c r="B29" s="281"/>
      <c r="C29" s="282"/>
    </row>
    <row r="30" spans="1:8" x14ac:dyDescent="0.35">
      <c r="A30" s="280"/>
      <c r="B30" s="281"/>
      <c r="C30" s="282"/>
    </row>
    <row r="31" spans="1:8" s="302" customFormat="1" x14ac:dyDescent="0.35">
      <c r="A31" s="112" t="s">
        <v>366</v>
      </c>
      <c r="B31" s="344"/>
      <c r="C31" s="94"/>
      <c r="D31" s="94"/>
      <c r="E31" s="94"/>
      <c r="F31" s="340"/>
      <c r="G31" s="111"/>
      <c r="H31" s="642"/>
    </row>
    <row r="32" spans="1:8" s="302" customFormat="1" x14ac:dyDescent="0.35">
      <c r="A32" s="112" t="s">
        <v>367</v>
      </c>
      <c r="B32" s="344"/>
      <c r="C32" s="94"/>
      <c r="D32" s="94"/>
      <c r="E32" s="94"/>
      <c r="F32" s="340"/>
      <c r="G32" s="111"/>
      <c r="H32" s="642"/>
    </row>
    <row r="33" spans="1:6" s="302" customFormat="1" x14ac:dyDescent="0.35">
      <c r="A33" s="113" t="s">
        <v>368</v>
      </c>
      <c r="B33" s="344"/>
      <c r="C33" s="114"/>
      <c r="D33" s="94"/>
      <c r="E33" s="114" t="s">
        <v>387</v>
      </c>
      <c r="F33" s="340"/>
    </row>
  </sheetData>
  <mergeCells count="4">
    <mergeCell ref="A9:E10"/>
    <mergeCell ref="C12:E12"/>
    <mergeCell ref="A12:A13"/>
    <mergeCell ref="B12:B13"/>
  </mergeCells>
  <printOptions horizontalCentered="1"/>
  <pageMargins left="1.1811023622047245" right="0.39370078740157483" top="0.78740157480314965" bottom="0.78740157480314965" header="0" footer="0"/>
  <pageSetup paperSize="9" scale="57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14</vt:i4>
      </vt:variant>
    </vt:vector>
  </HeadingPairs>
  <TitlesOfParts>
    <vt:vector size="21" baseType="lpstr">
      <vt:lpstr>прил. 1 (поступл.22-24)</vt:lpstr>
      <vt:lpstr>прил 6 (Рз,ПР 22-24)</vt:lpstr>
      <vt:lpstr>прил 7 (ЦС,ВР 22)</vt:lpstr>
      <vt:lpstr>прил 8 (ЦС,ВР 23-24)</vt:lpstr>
      <vt:lpstr>прил9 (ведом 22)</vt:lpstr>
      <vt:lpstr>прил10 (ведом 23-24)</vt:lpstr>
      <vt:lpstr>прил.11 (Источники 22-24)</vt:lpstr>
      <vt:lpstr>'прил 6 (Рз,ПР 22-24)'!Заголовки_для_печати</vt:lpstr>
      <vt:lpstr>'прил 7 (ЦС,ВР 22)'!Заголовки_для_печати</vt:lpstr>
      <vt:lpstr>'прил 8 (ЦС,ВР 23-24)'!Заголовки_для_печати</vt:lpstr>
      <vt:lpstr>'прил. 1 (поступл.22-24)'!Заголовки_для_печати</vt:lpstr>
      <vt:lpstr>'прил.11 (Источники 22-24)'!Заголовки_для_печати</vt:lpstr>
      <vt:lpstr>'прил10 (ведом 23-24)'!Заголовки_для_печати</vt:lpstr>
      <vt:lpstr>'прил9 (ведом 22)'!Заголовки_для_печати</vt:lpstr>
      <vt:lpstr>'прил 6 (Рз,ПР 22-24)'!Область_печати</vt:lpstr>
      <vt:lpstr>'прил 7 (ЦС,ВР 22)'!Область_печати</vt:lpstr>
      <vt:lpstr>'прил 8 (ЦС,ВР 23-24)'!Область_печати</vt:lpstr>
      <vt:lpstr>'прил. 1 (поступл.22-24)'!Область_печати</vt:lpstr>
      <vt:lpstr>'прил.11 (Источники 22-24)'!Область_печати</vt:lpstr>
      <vt:lpstr>'прил10 (ведом 23-24)'!Область_печати</vt:lpstr>
      <vt:lpstr>'прил9 (ведом 22)'!Область_печати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2022-01-14T12:05:21Z</dcterms:modified>
</cp:coreProperties>
</file>