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088" windowWidth="14808" windowHeight="3036" tabRatio="852"/>
  </bookViews>
  <sheets>
    <sheet name="прил. 1 (поступл.22-24)" sheetId="5" r:id="rId1"/>
    <sheet name="прил 6 (Рз,ПР 22-24)" sheetId="6" r:id="rId2"/>
    <sheet name="прил 7 (ЦС,ВР 22)" sheetId="7" r:id="rId3"/>
    <sheet name="прил 8 (ЦС,ВР 23-24)" sheetId="18" r:id="rId4"/>
    <sheet name="прил9 (ведом 22)" sheetId="3" r:id="rId5"/>
    <sheet name="прил10 (ведом 23-24)" sheetId="19" r:id="rId6"/>
    <sheet name="прил.11 (Источники 22-24)" sheetId="8" r:id="rId7"/>
  </sheets>
  <definedNames>
    <definedName name="_xlnm._FilterDatabase" localSheetId="1" hidden="1">'прил 6 (Рз,ПР 22-24)'!$A$13:$AI$57</definedName>
    <definedName name="_xlnm._FilterDatabase" localSheetId="2" hidden="1">'прил 7 (ЦС,ВР 22)'!$A$4:$H$543</definedName>
    <definedName name="_xlnm._FilterDatabase" localSheetId="3" hidden="1">'прил 8 (ЦС,ВР 23-24)'!$A$4:$I$456</definedName>
    <definedName name="_xlnm._FilterDatabase" localSheetId="5" hidden="1">'прил10 (ведом 23-24)'!$A$4:$N$645</definedName>
    <definedName name="_xlnm._FilterDatabase" localSheetId="4" hidden="1">'прил9 (ведом 22)'!$A$4:$M$831</definedName>
    <definedName name="Z_168CADD9_CFDC_4445_BFE6_DAD4B9423C72_.wvu.FilterData" localSheetId="2" hidden="1">'прил 7 (ЦС,ВР 22)'!#REF!</definedName>
    <definedName name="Z_168CADD9_CFDC_4445_BFE6_DAD4B9423C72_.wvu.FilterData" localSheetId="3" hidden="1">'прил 8 (ЦС,ВР 23-24)'!#REF!</definedName>
    <definedName name="Z_1F25B6A1_C9F7_11D8_A2FD_006098EF8B30_.wvu.FilterData" localSheetId="2" hidden="1">'прил 7 (ЦС,ВР 22)'!#REF!</definedName>
    <definedName name="Z_1F25B6A1_C9F7_11D8_A2FD_006098EF8B30_.wvu.FilterData" localSheetId="3" hidden="1">'прил 8 (ЦС,ВР 23-24)'!#REF!</definedName>
    <definedName name="Z_29D950F2_21ED_48E6_BFC6_87DD89E0125A_.wvu.FilterData" localSheetId="2" hidden="1">'прил 7 (ЦС,ВР 22)'!#REF!</definedName>
    <definedName name="Z_29D950F2_21ED_48E6_BFC6_87DD89E0125A_.wvu.FilterData" localSheetId="3" hidden="1">'прил 8 (ЦС,ВР 23-24)'!#REF!</definedName>
    <definedName name="Z_2CA7FCD5_27A5_4474_9D49_7A7E23BD2FF9_.wvu.FilterData" localSheetId="2" hidden="1">'прил 7 (ЦС,ВР 22)'!#REF!</definedName>
    <definedName name="Z_2CA7FCD5_27A5_4474_9D49_7A7E23BD2FF9_.wvu.FilterData" localSheetId="3" hidden="1">'прил 8 (ЦС,ВР 23-24)'!#REF!</definedName>
    <definedName name="Z_48E28AC5_4E0A_4FBA_AE6D_340F9E8D4B3C_.wvu.FilterData" localSheetId="2" hidden="1">'прил 7 (ЦС,ВР 22)'!#REF!</definedName>
    <definedName name="Z_48E28AC5_4E0A_4FBA_AE6D_340F9E8D4B3C_.wvu.FilterData" localSheetId="3" hidden="1">'прил 8 (ЦС,ВР 23-24)'!#REF!</definedName>
    <definedName name="Z_6398E0F2_3205_40F4_BF0A_C9F4D0DA9A75_.wvu.FilterData" localSheetId="2" hidden="1">'прил 7 (ЦС,ВР 22)'!#REF!</definedName>
    <definedName name="Z_6398E0F2_3205_40F4_BF0A_C9F4D0DA9A75_.wvu.FilterData" localSheetId="3" hidden="1">'прил 8 (ЦС,ВР 23-24)'!#REF!</definedName>
    <definedName name="Z_64DF1B77_0EDD_4B56_A91C_5E003BE599EF_.wvu.FilterData" localSheetId="2" hidden="1">'прил 7 (ЦС,ВР 22)'!#REF!</definedName>
    <definedName name="Z_64DF1B77_0EDD_4B56_A91C_5E003BE599EF_.wvu.FilterData" localSheetId="3" hidden="1">'прил 8 (ЦС,ВР 23-24)'!#REF!</definedName>
    <definedName name="Z_6786C020_BCF1_463A_B3E9_7DE69D46EAB3_.wvu.FilterData" localSheetId="2" hidden="1">'прил 7 (ЦС,ВР 22)'!#REF!</definedName>
    <definedName name="Z_6786C020_BCF1_463A_B3E9_7DE69D46EAB3_.wvu.FilterData" localSheetId="3" hidden="1">'прил 8 (ЦС,ВР 23-24)'!#REF!</definedName>
    <definedName name="Z_8E2E7D81_C767_11D8_A2FD_006098EF8B30_.wvu.FilterData" localSheetId="2" hidden="1">'прил 7 (ЦС,ВР 22)'!#REF!</definedName>
    <definedName name="Z_8E2E7D81_C767_11D8_A2FD_006098EF8B30_.wvu.FilterData" localSheetId="3" hidden="1">'прил 8 (ЦС,ВР 23-24)'!#REF!</definedName>
    <definedName name="Z_97D0CDFA_8A34_4B3C_BA32_D4F0E3218B75_.wvu.FilterData" localSheetId="2" hidden="1">'прил 7 (ЦС,ВР 22)'!#REF!</definedName>
    <definedName name="Z_97D0CDFA_8A34_4B3C_BA32_D4F0E3218B75_.wvu.FilterData" localSheetId="3" hidden="1">'прил 8 (ЦС,ВР 23-24)'!#REF!</definedName>
    <definedName name="Z_B246FE0E_E986_4211_B02A_04E4565C0FED_.wvu.Cols" localSheetId="2" hidden="1">'прил 7 (ЦС,ВР 22)'!$A:$A,'прил 7 (ЦС,ВР 22)'!#REF!</definedName>
    <definedName name="Z_B246FE0E_E986_4211_B02A_04E4565C0FED_.wvu.Cols" localSheetId="3" hidden="1">'прил 8 (ЦС,ВР 23-24)'!$A:$A,'прил 8 (ЦС,ВР 23-24)'!#REF!</definedName>
    <definedName name="Z_B246FE0E_E986_4211_B02A_04E4565C0FED_.wvu.FilterData" localSheetId="2" hidden="1">'прил 7 (ЦС,ВР 22)'!#REF!</definedName>
    <definedName name="Z_B246FE0E_E986_4211_B02A_04E4565C0FED_.wvu.FilterData" localSheetId="3" hidden="1">'прил 8 (ЦС,ВР 23-24)'!#REF!</definedName>
    <definedName name="Z_B246FE0E_E986_4211_B02A_04E4565C0FED_.wvu.PrintArea" localSheetId="2" hidden="1">'прил 7 (ЦС,ВР 22)'!#REF!</definedName>
    <definedName name="Z_B246FE0E_E986_4211_B02A_04E4565C0FED_.wvu.PrintArea" localSheetId="3" hidden="1">'прил 8 (ЦС,ВР 23-24)'!#REF!</definedName>
    <definedName name="Z_B246FE0E_E986_4211_B02A_04E4565C0FED_.wvu.PrintTitles" localSheetId="2" hidden="1">'прил 7 (ЦС,ВР 22)'!#REF!</definedName>
    <definedName name="Z_B246FE0E_E986_4211_B02A_04E4565C0FED_.wvu.PrintTitles" localSheetId="3" hidden="1">'прил 8 (ЦС,ВР 23-24)'!#REF!</definedName>
    <definedName name="Z_C54CDF8B_FA5C_4A02_B343_3FEFD9721392_.wvu.FilterData" localSheetId="2" hidden="1">'прил 7 (ЦС,ВР 22)'!#REF!</definedName>
    <definedName name="Z_C54CDF8B_FA5C_4A02_B343_3FEFD9721392_.wvu.FilterData" localSheetId="3" hidden="1">'прил 8 (ЦС,ВР 23-24)'!#REF!</definedName>
    <definedName name="Z_D7174C22_B878_4584_A218_37ED88979064_.wvu.FilterData" localSheetId="2" hidden="1">'прил 7 (ЦС,ВР 22)'!#REF!</definedName>
    <definedName name="Z_D7174C22_B878_4584_A218_37ED88979064_.wvu.FilterData" localSheetId="3" hidden="1">'прил 8 (ЦС,ВР 23-24)'!#REF!</definedName>
    <definedName name="Z_DD7538FB_7299_4DEE_90D5_2739132A1616_.wvu.FilterData" localSheetId="2" hidden="1">'прил 7 (ЦС,ВР 22)'!#REF!</definedName>
    <definedName name="Z_DD7538FB_7299_4DEE_90D5_2739132A1616_.wvu.FilterData" localSheetId="3" hidden="1">'прил 8 (ЦС,ВР 23-24)'!#REF!</definedName>
    <definedName name="Z_E4B436A8_4A5B_422F_8C0E_9267F763D19D_.wvu.FilterData" localSheetId="2" hidden="1">'прил 7 (ЦС,ВР 22)'!#REF!</definedName>
    <definedName name="Z_E4B436A8_4A5B_422F_8C0E_9267F763D19D_.wvu.FilterData" localSheetId="3" hidden="1">'прил 8 (ЦС,ВР 23-24)'!#REF!</definedName>
    <definedName name="Z_E6BB4361_1D58_11D9_A2FD_006098EF8B30_.wvu.FilterData" localSheetId="2" hidden="1">'прил 7 (ЦС,ВР 22)'!#REF!</definedName>
    <definedName name="Z_E6BB4361_1D58_11D9_A2FD_006098EF8B30_.wvu.FilterData" localSheetId="3" hidden="1">'прил 8 (ЦС,ВР 23-24)'!#REF!</definedName>
    <definedName name="Z_EF486DA3_1DF3_11D9_A2FD_006098EF8B30_.wvu.FilterData" localSheetId="2" hidden="1">'прил 7 (ЦС,ВР 22)'!#REF!</definedName>
    <definedName name="Z_EF486DA3_1DF3_11D9_A2FD_006098EF8B30_.wvu.FilterData" localSheetId="3" hidden="1">'прил 8 (ЦС,ВР 23-24)'!#REF!</definedName>
    <definedName name="Z_EF486DA8_1DF3_11D9_A2FD_006098EF8B30_.wvu.FilterData" localSheetId="2" hidden="1">'прил 7 (ЦС,ВР 22)'!#REF!</definedName>
    <definedName name="Z_EF486DA8_1DF3_11D9_A2FD_006098EF8B30_.wvu.FilterData" localSheetId="3" hidden="1">'прил 8 (ЦС,ВР 23-24)'!#REF!</definedName>
    <definedName name="Z_EF486DAA_1DF3_11D9_A2FD_006098EF8B30_.wvu.FilterData" localSheetId="2" hidden="1">'прил 7 (ЦС,ВР 22)'!#REF!</definedName>
    <definedName name="Z_EF486DAA_1DF3_11D9_A2FD_006098EF8B30_.wvu.FilterData" localSheetId="3" hidden="1">'прил 8 (ЦС,ВР 23-24)'!#REF!</definedName>
    <definedName name="Z_EF486DAC_1DF3_11D9_A2FD_006098EF8B30_.wvu.FilterData" localSheetId="2" hidden="1">'прил 7 (ЦС,ВР 22)'!#REF!</definedName>
    <definedName name="Z_EF486DAC_1DF3_11D9_A2FD_006098EF8B30_.wvu.FilterData" localSheetId="3" hidden="1">'прил 8 (ЦС,ВР 23-24)'!#REF!</definedName>
    <definedName name="Z_EF5A4981_C8E4_11D8_A2FC_006098EF8BA8_.wvu.Cols" localSheetId="2" hidden="1">'прил 7 (ЦС,ВР 22)'!$A:$A,'прил 7 (ЦС,ВР 22)'!#REF!,'прил 7 (ЦС,ВР 22)'!#REF!</definedName>
    <definedName name="Z_EF5A4981_C8E4_11D8_A2FC_006098EF8BA8_.wvu.Cols" localSheetId="3" hidden="1">'прил 8 (ЦС,ВР 23-24)'!$A:$A,'прил 8 (ЦС,ВР 23-24)'!#REF!,'прил 8 (ЦС,ВР 23-24)'!#REF!</definedName>
    <definedName name="Z_EF5A4981_C8E4_11D8_A2FC_006098EF8BA8_.wvu.FilterData" localSheetId="2" hidden="1">'прил 7 (ЦС,ВР 22)'!#REF!</definedName>
    <definedName name="Z_EF5A4981_C8E4_11D8_A2FC_006098EF8BA8_.wvu.FilterData" localSheetId="3" hidden="1">'прил 8 (ЦС,ВР 23-24)'!#REF!</definedName>
    <definedName name="Z_EF5A4981_C8E4_11D8_A2FC_006098EF8BA8_.wvu.PrintArea" localSheetId="2" hidden="1">'прил 7 (ЦС,ВР 22)'!#REF!</definedName>
    <definedName name="Z_EF5A4981_C8E4_11D8_A2FC_006098EF8BA8_.wvu.PrintArea" localSheetId="3" hidden="1">'прил 8 (ЦС,ВР 23-24)'!#REF!</definedName>
    <definedName name="Z_EF5A4981_C8E4_11D8_A2FC_006098EF8BA8_.wvu.PrintTitles" localSheetId="2" hidden="1">'прил 7 (ЦС,ВР 22)'!#REF!</definedName>
    <definedName name="Z_EF5A4981_C8E4_11D8_A2FC_006098EF8BA8_.wvu.PrintTitles" localSheetId="3" hidden="1">'прил 8 (ЦС,ВР 23-24)'!#REF!</definedName>
    <definedName name="_xlnm.Print_Titles" localSheetId="1">'прил 6 (Рз,ПР 22-24)'!$15:$15</definedName>
    <definedName name="_xlnm.Print_Titles" localSheetId="2">'прил 7 (ЦС,ВР 22)'!$13:$13</definedName>
    <definedName name="_xlnm.Print_Titles" localSheetId="3">'прил 8 (ЦС,ВР 23-24)'!$14:$14</definedName>
    <definedName name="_xlnm.Print_Titles" localSheetId="0">'прил. 1 (поступл.22-24)'!$13:$13</definedName>
    <definedName name="_xlnm.Print_Titles" localSheetId="6">'прил.11 (Источники 22-24)'!$14:$14</definedName>
    <definedName name="_xlnm.Print_Titles" localSheetId="5">'прил10 (ведом 23-24)'!$15:$15</definedName>
    <definedName name="_xlnm.Print_Titles" localSheetId="4">'прил9 (ведом 22)'!$14:$14</definedName>
    <definedName name="_xlnm.Print_Area" localSheetId="1">'прил 6 (Рз,ПР 22-24)'!$A$1:$F$64</definedName>
    <definedName name="_xlnm.Print_Area" localSheetId="2">'прил 7 (ЦС,ВР 22)'!$A$1:$H$532</definedName>
    <definedName name="_xlnm.Print_Area" localSheetId="3">'прил 8 (ЦС,ВР 23-24)'!$A$1:$I$442</definedName>
    <definedName name="_xlnm.Print_Area" localSheetId="0">'прил. 1 (поступл.22-24)'!$A$1:$E$48</definedName>
    <definedName name="_xlnm.Print_Area" localSheetId="6">'прил.11 (Источники 22-24)'!$A$1:$E$33</definedName>
    <definedName name="_xlnm.Print_Area" localSheetId="5">'прил10 (ведом 23-24)'!$A$1:$N$582</definedName>
    <definedName name="_xlnm.Print_Area" localSheetId="4">'прил9 (ведом 22)'!$A$1:$M$720</definedName>
  </definedNames>
  <calcPr calcId="145621"/>
</workbook>
</file>

<file path=xl/calcChain.xml><?xml version="1.0" encoding="utf-8"?>
<calcChain xmlns="http://schemas.openxmlformats.org/spreadsheetml/2006/main">
  <c r="H66" i="18" l="1"/>
  <c r="H159" i="7" l="1"/>
  <c r="H158" i="7" s="1"/>
  <c r="K562" i="3"/>
  <c r="K566" i="3"/>
  <c r="H386" i="7"/>
  <c r="H400" i="7"/>
  <c r="H399" i="7" s="1"/>
  <c r="H398" i="7" s="1"/>
  <c r="K64" i="3"/>
  <c r="K63" i="3" s="1"/>
  <c r="K62" i="3" s="1"/>
  <c r="K61" i="3" s="1"/>
  <c r="D18" i="5" l="1"/>
  <c r="K577" i="19" l="1"/>
  <c r="K576" i="19"/>
  <c r="K573" i="19"/>
  <c r="K570" i="19"/>
  <c r="K567" i="19"/>
  <c r="K560" i="19"/>
  <c r="K557" i="19"/>
  <c r="K554" i="19"/>
  <c r="K551" i="19"/>
  <c r="K540" i="19"/>
  <c r="K539" i="19" s="1"/>
  <c r="K538" i="19" s="1"/>
  <c r="K537" i="19" s="1"/>
  <c r="K536" i="19" s="1"/>
  <c r="K532" i="19"/>
  <c r="K531" i="19" s="1"/>
  <c r="K530" i="19" s="1"/>
  <c r="K529" i="19" s="1"/>
  <c r="K528" i="19" s="1"/>
  <c r="K525" i="19"/>
  <c r="K524" i="19" s="1"/>
  <c r="K522" i="19"/>
  <c r="K521" i="19" s="1"/>
  <c r="K519" i="19"/>
  <c r="K518" i="19" s="1"/>
  <c r="K510" i="19"/>
  <c r="K508" i="19" s="1"/>
  <c r="K507" i="19" s="1"/>
  <c r="K506" i="19" s="1"/>
  <c r="K505" i="19" s="1"/>
  <c r="K504" i="19" s="1"/>
  <c r="K502" i="19"/>
  <c r="K501" i="19" s="1"/>
  <c r="K498" i="19"/>
  <c r="K497" i="19" s="1"/>
  <c r="K492" i="19"/>
  <c r="K490" i="19"/>
  <c r="K488" i="19"/>
  <c r="K487" i="19"/>
  <c r="K484" i="19" s="1"/>
  <c r="K480" i="19"/>
  <c r="K479" i="19" s="1"/>
  <c r="K478" i="19" s="1"/>
  <c r="K473" i="19"/>
  <c r="K472" i="19" s="1"/>
  <c r="K471" i="19" s="1"/>
  <c r="K470" i="19" s="1"/>
  <c r="K469" i="19" s="1"/>
  <c r="K468" i="19" s="1"/>
  <c r="K462" i="19"/>
  <c r="K458" i="19"/>
  <c r="K452" i="19"/>
  <c r="K449" i="19"/>
  <c r="K443" i="19"/>
  <c r="K442" i="19" s="1"/>
  <c r="K440" i="19"/>
  <c r="K439" i="19" s="1"/>
  <c r="K433" i="19"/>
  <c r="K432" i="19" s="1"/>
  <c r="K431" i="19" s="1"/>
  <c r="K430" i="19" s="1"/>
  <c r="K429" i="19" s="1"/>
  <c r="K427" i="19"/>
  <c r="K426" i="19" s="1"/>
  <c r="K425" i="19" s="1"/>
  <c r="K424" i="19" s="1"/>
  <c r="K423" i="19" s="1"/>
  <c r="K421" i="19"/>
  <c r="K419" i="19"/>
  <c r="K412" i="19"/>
  <c r="K411" i="19" s="1"/>
  <c r="K410" i="19" s="1"/>
  <c r="K409" i="19" s="1"/>
  <c r="K408" i="19" s="1"/>
  <c r="K407" i="19" s="1"/>
  <c r="K402" i="19"/>
  <c r="K401" i="19" s="1"/>
  <c r="K400" i="19" s="1"/>
  <c r="K399" i="19" s="1"/>
  <c r="K398" i="19" s="1"/>
  <c r="K397" i="19" s="1"/>
  <c r="K395" i="19"/>
  <c r="K390" i="19"/>
  <c r="K386" i="19"/>
  <c r="K380" i="19"/>
  <c r="K379" i="19"/>
  <c r="K378" i="19" s="1"/>
  <c r="K372" i="19"/>
  <c r="K371" i="19" s="1"/>
  <c r="K370" i="19" s="1"/>
  <c r="K369" i="19" s="1"/>
  <c r="K367" i="19"/>
  <c r="K365" i="19"/>
  <c r="K364" i="19"/>
  <c r="K363" i="19"/>
  <c r="K362" i="19" s="1"/>
  <c r="K357" i="19"/>
  <c r="K351" i="19"/>
  <c r="K350" i="19" s="1"/>
  <c r="K349" i="19" s="1"/>
  <c r="K345" i="19"/>
  <c r="K343" i="19"/>
  <c r="K340" i="19"/>
  <c r="K337" i="19"/>
  <c r="K334" i="19"/>
  <c r="K330" i="19"/>
  <c r="K326" i="19"/>
  <c r="K323" i="19"/>
  <c r="K320" i="19"/>
  <c r="K319" i="19"/>
  <c r="K318" i="19"/>
  <c r="K317" i="19" s="1"/>
  <c r="K312" i="19"/>
  <c r="K306" i="19"/>
  <c r="K305" i="19" s="1"/>
  <c r="K304" i="19" s="1"/>
  <c r="K303" i="19" s="1"/>
  <c r="K301" i="19"/>
  <c r="K300" i="19" s="1"/>
  <c r="K299" i="19" s="1"/>
  <c r="K298" i="19" s="1"/>
  <c r="K296" i="19"/>
  <c r="K294" i="19"/>
  <c r="K293" i="19"/>
  <c r="K292" i="19"/>
  <c r="K290" i="19"/>
  <c r="K283" i="19"/>
  <c r="K282" i="19" s="1"/>
  <c r="K280" i="19"/>
  <c r="K279" i="19" s="1"/>
  <c r="K277" i="19"/>
  <c r="K276" i="19" s="1"/>
  <c r="K268" i="19"/>
  <c r="K267" i="19" s="1"/>
  <c r="K266" i="19" s="1"/>
  <c r="K265" i="19" s="1"/>
  <c r="K264" i="19" s="1"/>
  <c r="K263" i="19" s="1"/>
  <c r="K261" i="19"/>
  <c r="K260" i="19"/>
  <c r="K259" i="19" s="1"/>
  <c r="K253" i="19"/>
  <c r="K252" i="19" s="1"/>
  <c r="K251" i="19" s="1"/>
  <c r="K250" i="19" s="1"/>
  <c r="K249" i="19" s="1"/>
  <c r="K248" i="19" s="1"/>
  <c r="K247" i="19"/>
  <c r="K246" i="19" s="1"/>
  <c r="K245" i="19" s="1"/>
  <c r="K244" i="19" s="1"/>
  <c r="K243" i="19" s="1"/>
  <c r="K242" i="19" s="1"/>
  <c r="K238" i="19"/>
  <c r="K237" i="19" s="1"/>
  <c r="K236" i="19" s="1"/>
  <c r="K235" i="19" s="1"/>
  <c r="K233" i="19"/>
  <c r="K232" i="19" s="1"/>
  <c r="K230" i="19"/>
  <c r="K229" i="19" s="1"/>
  <c r="K227" i="19"/>
  <c r="K224" i="19"/>
  <c r="K223" i="19" s="1"/>
  <c r="K219" i="19"/>
  <c r="K215" i="19"/>
  <c r="K214" i="19" s="1"/>
  <c r="K213" i="19" s="1"/>
  <c r="K204" i="19"/>
  <c r="K203" i="19" s="1"/>
  <c r="K202" i="19" s="1"/>
  <c r="K201" i="19" s="1"/>
  <c r="K200" i="19" s="1"/>
  <c r="K199" i="19" s="1"/>
  <c r="K196" i="19"/>
  <c r="K195" i="19" s="1"/>
  <c r="K194" i="19" s="1"/>
  <c r="K193" i="19" s="1"/>
  <c r="K192" i="19" s="1"/>
  <c r="K191" i="19" s="1"/>
  <c r="K189" i="19"/>
  <c r="K188" i="19" s="1"/>
  <c r="K186" i="19"/>
  <c r="K185" i="19" s="1"/>
  <c r="K178" i="19"/>
  <c r="K177" i="19" s="1"/>
  <c r="K176" i="19" s="1"/>
  <c r="K175" i="19" s="1"/>
  <c r="K174" i="19" s="1"/>
  <c r="K169" i="19"/>
  <c r="K168" i="19" s="1"/>
  <c r="K167" i="19" s="1"/>
  <c r="K166" i="19" s="1"/>
  <c r="K165" i="19" s="1"/>
  <c r="K163" i="19"/>
  <c r="K162" i="19" s="1"/>
  <c r="K161" i="19" s="1"/>
  <c r="K160" i="19" s="1"/>
  <c r="K159" i="19" s="1"/>
  <c r="K156" i="19"/>
  <c r="K155" i="19" s="1"/>
  <c r="K154" i="19" s="1"/>
  <c r="K153" i="19" s="1"/>
  <c r="K152" i="19" s="1"/>
  <c r="K151" i="19"/>
  <c r="K150" i="19" s="1"/>
  <c r="K149" i="19"/>
  <c r="K147" i="19" s="1"/>
  <c r="K142" i="19"/>
  <c r="K140" i="19"/>
  <c r="K135" i="19"/>
  <c r="K134" i="19" s="1"/>
  <c r="K133" i="19" s="1"/>
  <c r="K131" i="19"/>
  <c r="K130" i="19" s="1"/>
  <c r="K129" i="19" s="1"/>
  <c r="K125" i="19"/>
  <c r="K124" i="19" s="1"/>
  <c r="K123" i="19" s="1"/>
  <c r="K122" i="19" s="1"/>
  <c r="K121" i="19" s="1"/>
  <c r="K119" i="19"/>
  <c r="K118" i="19" s="1"/>
  <c r="K116" i="19"/>
  <c r="K115" i="19" s="1"/>
  <c r="K109" i="19"/>
  <c r="K108" i="19" s="1"/>
  <c r="K107" i="19" s="1"/>
  <c r="K104" i="19"/>
  <c r="K103" i="19"/>
  <c r="K102" i="19" s="1"/>
  <c r="K101" i="19" s="1"/>
  <c r="K99" i="19"/>
  <c r="K98" i="19" s="1"/>
  <c r="K96" i="19"/>
  <c r="K95" i="19" s="1"/>
  <c r="K90" i="19"/>
  <c r="K88" i="19"/>
  <c r="K81" i="19"/>
  <c r="K80" i="19" s="1"/>
  <c r="K78" i="19"/>
  <c r="K77" i="19" s="1"/>
  <c r="K75" i="19"/>
  <c r="K73" i="19"/>
  <c r="K69" i="19"/>
  <c r="K68" i="19" s="1"/>
  <c r="K64" i="19"/>
  <c r="K63" i="19" s="1"/>
  <c r="K62" i="19" s="1"/>
  <c r="K61" i="19" s="1"/>
  <c r="K58" i="19"/>
  <c r="K57" i="19" s="1"/>
  <c r="K56" i="19" s="1"/>
  <c r="K55" i="19" s="1"/>
  <c r="K54" i="19"/>
  <c r="K53" i="19" s="1"/>
  <c r="K52" i="19" s="1"/>
  <c r="K51" i="19" s="1"/>
  <c r="K50" i="19" s="1"/>
  <c r="K49" i="19" s="1"/>
  <c r="K47" i="19"/>
  <c r="K46" i="19" s="1"/>
  <c r="K43" i="19"/>
  <c r="K41" i="19"/>
  <c r="K38" i="19"/>
  <c r="K36" i="19"/>
  <c r="K34" i="19"/>
  <c r="K32" i="19"/>
  <c r="K31" i="19"/>
  <c r="K30" i="19"/>
  <c r="K24" i="19"/>
  <c r="K23" i="19" s="1"/>
  <c r="K22" i="19" s="1"/>
  <c r="K21" i="19" s="1"/>
  <c r="K20" i="19" s="1"/>
  <c r="K184" i="19" l="1"/>
  <c r="K183" i="19" s="1"/>
  <c r="K182" i="19" s="1"/>
  <c r="K527" i="19"/>
  <c r="K72" i="19"/>
  <c r="K94" i="19"/>
  <c r="K93" i="19" s="1"/>
  <c r="K92" i="19" s="1"/>
  <c r="K566" i="19"/>
  <c r="K565" i="19" s="1"/>
  <c r="K564" i="19" s="1"/>
  <c r="K563" i="19" s="1"/>
  <c r="K550" i="19"/>
  <c r="K549" i="19" s="1"/>
  <c r="K548" i="19" s="1"/>
  <c r="K547" i="19" s="1"/>
  <c r="K158" i="19"/>
  <c r="K241" i="19"/>
  <c r="K385" i="19"/>
  <c r="K384" i="19" s="1"/>
  <c r="K383" i="19" s="1"/>
  <c r="K382" i="19" s="1"/>
  <c r="K438" i="19"/>
  <c r="K457" i="19"/>
  <c r="K456" i="19" s="1"/>
  <c r="K455" i="19" s="1"/>
  <c r="K454" i="19" s="1"/>
  <c r="K496" i="19"/>
  <c r="K495" i="19" s="1"/>
  <c r="K494" i="19" s="1"/>
  <c r="K87" i="19"/>
  <c r="K86" i="19" s="1"/>
  <c r="K85" i="19" s="1"/>
  <c r="K84" i="19" s="1"/>
  <c r="K146" i="19"/>
  <c r="K145" i="19" s="1"/>
  <c r="K144" i="19" s="1"/>
  <c r="K377" i="19"/>
  <c r="K376" i="19" s="1"/>
  <c r="K375" i="19" s="1"/>
  <c r="K374" i="19" s="1"/>
  <c r="K289" i="19"/>
  <c r="K288" i="19" s="1"/>
  <c r="K287" i="19" s="1"/>
  <c r="K286" i="19" s="1"/>
  <c r="K517" i="19"/>
  <c r="K516" i="19" s="1"/>
  <c r="K515" i="19" s="1"/>
  <c r="K514" i="19" s="1"/>
  <c r="K114" i="19"/>
  <c r="K113" i="19" s="1"/>
  <c r="K112" i="19" s="1"/>
  <c r="K29" i="19"/>
  <c r="K28" i="19" s="1"/>
  <c r="K27" i="19" s="1"/>
  <c r="K26" i="19" s="1"/>
  <c r="K139" i="19"/>
  <c r="K138" i="19" s="1"/>
  <c r="K137" i="19" s="1"/>
  <c r="K173" i="19"/>
  <c r="K172" i="19" s="1"/>
  <c r="K258" i="19"/>
  <c r="K257" i="19" s="1"/>
  <c r="K256" i="19" s="1"/>
  <c r="K255" i="19" s="1"/>
  <c r="K254" i="19" s="1"/>
  <c r="K356" i="19"/>
  <c r="K355" i="19" s="1"/>
  <c r="K354" i="19" s="1"/>
  <c r="K353" i="19" s="1"/>
  <c r="K418" i="19"/>
  <c r="K417" i="19" s="1"/>
  <c r="K416" i="19" s="1"/>
  <c r="K415" i="19" s="1"/>
  <c r="K414" i="19" s="1"/>
  <c r="K448" i="19"/>
  <c r="K447" i="19" s="1"/>
  <c r="K483" i="19"/>
  <c r="K482" i="19" s="1"/>
  <c r="K477" i="19" s="1"/>
  <c r="K476" i="19" s="1"/>
  <c r="K67" i="19"/>
  <c r="K66" i="19" s="1"/>
  <c r="K60" i="19" s="1"/>
  <c r="K311" i="19"/>
  <c r="K310" i="19" s="1"/>
  <c r="K309" i="19" s="1"/>
  <c r="K308" i="19" s="1"/>
  <c r="K128" i="19"/>
  <c r="K218" i="19"/>
  <c r="K217" i="19" s="1"/>
  <c r="K212" i="19" s="1"/>
  <c r="K211" i="19" s="1"/>
  <c r="K210" i="19" s="1"/>
  <c r="K275" i="19"/>
  <c r="K274" i="19" s="1"/>
  <c r="K273" i="19" s="1"/>
  <c r="K272" i="19" s="1"/>
  <c r="K546" i="19" l="1"/>
  <c r="K545" i="19" s="1"/>
  <c r="K513" i="19"/>
  <c r="K437" i="19"/>
  <c r="K436" i="19" s="1"/>
  <c r="K435" i="19" s="1"/>
  <c r="K406" i="19" s="1"/>
  <c r="K83" i="19"/>
  <c r="K475" i="19"/>
  <c r="K467" i="19" s="1"/>
  <c r="K285" i="19"/>
  <c r="K271" i="19" s="1"/>
  <c r="K209" i="19"/>
  <c r="K127" i="19"/>
  <c r="K111" i="19" s="1"/>
  <c r="K19" i="19"/>
  <c r="K713" i="3"/>
  <c r="K710" i="3"/>
  <c r="K707" i="3"/>
  <c r="K700" i="3"/>
  <c r="K697" i="3"/>
  <c r="K694" i="3"/>
  <c r="K691" i="3"/>
  <c r="K681" i="3"/>
  <c r="K680" i="3" s="1"/>
  <c r="K679" i="3" s="1"/>
  <c r="K678" i="3" s="1"/>
  <c r="K677" i="3" s="1"/>
  <c r="K676" i="3" s="1"/>
  <c r="K674" i="3"/>
  <c r="K670" i="3"/>
  <c r="K663" i="3"/>
  <c r="K662" i="3" s="1"/>
  <c r="K660" i="3"/>
  <c r="K659" i="3" s="1"/>
  <c r="K657" i="3"/>
  <c r="K656" i="3" s="1"/>
  <c r="K647" i="3"/>
  <c r="K646" i="3" s="1"/>
  <c r="K645" i="3" s="1"/>
  <c r="K644" i="3" s="1"/>
  <c r="K643" i="3" s="1"/>
  <c r="K642" i="3" s="1"/>
  <c r="K641" i="3"/>
  <c r="K640" i="3" s="1"/>
  <c r="K639" i="3" s="1"/>
  <c r="K638" i="3" s="1"/>
  <c r="K637" i="3" s="1"/>
  <c r="K636" i="3" s="1"/>
  <c r="K635" i="3"/>
  <c r="K634" i="3" s="1"/>
  <c r="K633" i="3" s="1"/>
  <c r="K632" i="3" s="1"/>
  <c r="K631" i="3"/>
  <c r="K630" i="3" s="1"/>
  <c r="K626" i="3"/>
  <c r="K623" i="3"/>
  <c r="K621" i="3"/>
  <c r="K620" i="3"/>
  <c r="K619" i="3" s="1"/>
  <c r="K617" i="3"/>
  <c r="K614" i="3"/>
  <c r="K613" i="3" s="1"/>
  <c r="K609" i="3"/>
  <c r="K608" i="3" s="1"/>
  <c r="K607" i="3" s="1"/>
  <c r="K602" i="3"/>
  <c r="K601" i="3" s="1"/>
  <c r="K600" i="3" s="1"/>
  <c r="K599" i="3" s="1"/>
  <c r="K598" i="3" s="1"/>
  <c r="K597" i="3" s="1"/>
  <c r="K593" i="3"/>
  <c r="K590" i="3"/>
  <c r="K589" i="3" s="1"/>
  <c r="K586" i="3"/>
  <c r="K585" i="3"/>
  <c r="K581" i="3"/>
  <c r="K580" i="3" s="1"/>
  <c r="K579" i="3" s="1"/>
  <c r="K575" i="3"/>
  <c r="K572" i="3"/>
  <c r="K568" i="3"/>
  <c r="K561" i="3" s="1"/>
  <c r="K563" i="3"/>
  <c r="K559" i="3"/>
  <c r="K557" i="3"/>
  <c r="K556" i="3"/>
  <c r="K555" i="3" s="1"/>
  <c r="K548" i="3"/>
  <c r="K547" i="3" s="1"/>
  <c r="K546" i="3" s="1"/>
  <c r="K545" i="3" s="1"/>
  <c r="K544" i="3" s="1"/>
  <c r="K542" i="3"/>
  <c r="K541" i="3" s="1"/>
  <c r="K540" i="3" s="1"/>
  <c r="K539" i="3" s="1"/>
  <c r="K538" i="3" s="1"/>
  <c r="K536" i="3"/>
  <c r="K534" i="3"/>
  <c r="K533" i="3"/>
  <c r="K532" i="3" s="1"/>
  <c r="K525" i="3"/>
  <c r="K524" i="3" s="1"/>
  <c r="K523" i="3" s="1"/>
  <c r="K515" i="3"/>
  <c r="K514" i="3" s="1"/>
  <c r="K513" i="3" s="1"/>
  <c r="K512" i="3" s="1"/>
  <c r="K511" i="3" s="1"/>
  <c r="K510" i="3" s="1"/>
  <c r="K508" i="3"/>
  <c r="K506" i="3"/>
  <c r="K504" i="3"/>
  <c r="K502" i="3"/>
  <c r="K500" i="3"/>
  <c r="K496" i="3"/>
  <c r="K495" i="3"/>
  <c r="K491" i="3"/>
  <c r="K490" i="3" s="1"/>
  <c r="K489" i="3" s="1"/>
  <c r="K486" i="3"/>
  <c r="K485" i="3" s="1"/>
  <c r="K483" i="3"/>
  <c r="K477" i="3"/>
  <c r="K475" i="3"/>
  <c r="K473" i="3"/>
  <c r="K472" i="3" s="1"/>
  <c r="K470" i="3"/>
  <c r="K467" i="3"/>
  <c r="K465" i="3"/>
  <c r="K463" i="3"/>
  <c r="K455" i="3"/>
  <c r="K454" i="3" s="1"/>
  <c r="K453" i="3" s="1"/>
  <c r="K452" i="3" s="1"/>
  <c r="K451" i="3"/>
  <c r="K450" i="3" s="1"/>
  <c r="K449" i="3" s="1"/>
  <c r="K448" i="3" s="1"/>
  <c r="K444" i="3"/>
  <c r="K443" i="3"/>
  <c r="K441" i="3" s="1"/>
  <c r="K442" i="3"/>
  <c r="K438" i="3"/>
  <c r="K435" i="3"/>
  <c r="K431" i="3"/>
  <c r="K430" i="3"/>
  <c r="K427" i="3"/>
  <c r="K424" i="3"/>
  <c r="K422" i="3"/>
  <c r="K420" i="3"/>
  <c r="K418" i="3"/>
  <c r="K417" i="3"/>
  <c r="K415" i="3" s="1"/>
  <c r="K414" i="3"/>
  <c r="K413" i="3"/>
  <c r="K410" i="3"/>
  <c r="K408" i="3"/>
  <c r="K401" i="3"/>
  <c r="K400" i="3" s="1"/>
  <c r="K399" i="3" s="1"/>
  <c r="K398" i="3" s="1"/>
  <c r="K396" i="3"/>
  <c r="K395" i="3" s="1"/>
  <c r="K394" i="3" s="1"/>
  <c r="K393" i="3" s="1"/>
  <c r="K391" i="3"/>
  <c r="K389" i="3"/>
  <c r="K387" i="3"/>
  <c r="K385" i="3"/>
  <c r="K384" i="3"/>
  <c r="K383" i="3" s="1"/>
  <c r="K382" i="3"/>
  <c r="K381" i="3" s="1"/>
  <c r="K374" i="3"/>
  <c r="K373" i="3" s="1"/>
  <c r="K371" i="3"/>
  <c r="K370" i="3" s="1"/>
  <c r="K368" i="3"/>
  <c r="K367" i="3" s="1"/>
  <c r="K359" i="3"/>
  <c r="K358" i="3" s="1"/>
  <c r="K357" i="3" s="1"/>
  <c r="K356" i="3" s="1"/>
  <c r="K355" i="3" s="1"/>
  <c r="K354" i="3" s="1"/>
  <c r="K352" i="3"/>
  <c r="K351" i="3"/>
  <c r="K350" i="3" s="1"/>
  <c r="K343" i="3"/>
  <c r="K342" i="3" s="1"/>
  <c r="K341" i="3" s="1"/>
  <c r="K340" i="3" s="1"/>
  <c r="K339" i="3" s="1"/>
  <c r="K338" i="3"/>
  <c r="K337" i="3" s="1"/>
  <c r="K336" i="3" s="1"/>
  <c r="K335" i="3" s="1"/>
  <c r="K334" i="3" s="1"/>
  <c r="K333" i="3" s="1"/>
  <c r="K332" i="3"/>
  <c r="K331" i="3" s="1"/>
  <c r="K330" i="3"/>
  <c r="K329" i="3" s="1"/>
  <c r="K322" i="3"/>
  <c r="K320" i="3"/>
  <c r="K313" i="3"/>
  <c r="K312" i="3" s="1"/>
  <c r="K311" i="3" s="1"/>
  <c r="K310" i="3" s="1"/>
  <c r="K309" i="3" s="1"/>
  <c r="K308" i="3" s="1"/>
  <c r="K306" i="3"/>
  <c r="K305" i="3" s="1"/>
  <c r="K304" i="3" s="1"/>
  <c r="K303" i="3" s="1"/>
  <c r="K302" i="3" s="1"/>
  <c r="K300" i="3"/>
  <c r="K299" i="3" s="1"/>
  <c r="K298" i="3"/>
  <c r="K297" i="3" s="1"/>
  <c r="K296" i="3" s="1"/>
  <c r="K293" i="3"/>
  <c r="K292" i="3" s="1"/>
  <c r="K291" i="3"/>
  <c r="K290" i="3" s="1"/>
  <c r="K289" i="3" s="1"/>
  <c r="K287" i="3"/>
  <c r="K284" i="3"/>
  <c r="K283" i="3" s="1"/>
  <c r="K281" i="3"/>
  <c r="K280" i="3"/>
  <c r="K276" i="3"/>
  <c r="K275" i="3" s="1"/>
  <c r="K274" i="3" s="1"/>
  <c r="K272" i="3"/>
  <c r="K271" i="3" s="1"/>
  <c r="K263" i="3"/>
  <c r="K260" i="3"/>
  <c r="K259" i="3"/>
  <c r="K251" i="3"/>
  <c r="K250" i="3" s="1"/>
  <c r="K249" i="3" s="1"/>
  <c r="K248" i="3" s="1"/>
  <c r="K247" i="3" s="1"/>
  <c r="K246" i="3" s="1"/>
  <c r="K244" i="3"/>
  <c r="K243" i="3" s="1"/>
  <c r="K242" i="3" s="1"/>
  <c r="K241" i="3" s="1"/>
  <c r="K240" i="3" s="1"/>
  <c r="K239" i="3" s="1"/>
  <c r="K237" i="3"/>
  <c r="K236" i="3" s="1"/>
  <c r="K234" i="3"/>
  <c r="K233" i="3" s="1"/>
  <c r="K228" i="3"/>
  <c r="K227" i="3" s="1"/>
  <c r="K225" i="3"/>
  <c r="K224" i="3"/>
  <c r="K214" i="3"/>
  <c r="K213" i="3" s="1"/>
  <c r="K212" i="3" s="1"/>
  <c r="K211" i="3" s="1"/>
  <c r="K210" i="3" s="1"/>
  <c r="K209" i="3" s="1"/>
  <c r="K207" i="3"/>
  <c r="K206" i="3" s="1"/>
  <c r="K205" i="3" s="1"/>
  <c r="K204" i="3" s="1"/>
  <c r="K203" i="3" s="1"/>
  <c r="K202" i="3"/>
  <c r="K201" i="3" s="1"/>
  <c r="K200" i="3" s="1"/>
  <c r="K199" i="3" s="1"/>
  <c r="K198" i="3" s="1"/>
  <c r="K197" i="3" s="1"/>
  <c r="K194" i="3"/>
  <c r="K193" i="3" s="1"/>
  <c r="K192" i="3" s="1"/>
  <c r="K191" i="3" s="1"/>
  <c r="K190" i="3" s="1"/>
  <c r="K189" i="3" s="1"/>
  <c r="K187" i="3"/>
  <c r="K186" i="3" s="1"/>
  <c r="K185" i="3" s="1"/>
  <c r="K183" i="3"/>
  <c r="K182" i="3" s="1"/>
  <c r="K181" i="3" s="1"/>
  <c r="K178" i="3"/>
  <c r="K177" i="3" s="1"/>
  <c r="K175" i="3"/>
  <c r="K173" i="3"/>
  <c r="K167" i="3"/>
  <c r="K166" i="3" s="1"/>
  <c r="K164" i="3"/>
  <c r="K162" i="3"/>
  <c r="K161" i="3" s="1"/>
  <c r="K156" i="3"/>
  <c r="K155" i="3"/>
  <c r="K154" i="3" s="1"/>
  <c r="K149" i="3"/>
  <c r="K148" i="3" s="1"/>
  <c r="K147" i="3" s="1"/>
  <c r="K145" i="3"/>
  <c r="K144" i="3" s="1"/>
  <c r="K143" i="3" s="1"/>
  <c r="K139" i="3"/>
  <c r="K138" i="3" s="1"/>
  <c r="K137" i="3" s="1"/>
  <c r="K136" i="3" s="1"/>
  <c r="K135" i="3" s="1"/>
  <c r="K133" i="3"/>
  <c r="K132" i="3" s="1"/>
  <c r="K131" i="3"/>
  <c r="K130" i="3" s="1"/>
  <c r="K129" i="3" s="1"/>
  <c r="K123" i="3"/>
  <c r="K122" i="3" s="1"/>
  <c r="K121" i="3" s="1"/>
  <c r="K118" i="3"/>
  <c r="K117" i="3"/>
  <c r="K116" i="3" s="1"/>
  <c r="K115" i="3" s="1"/>
  <c r="K113" i="3"/>
  <c r="K112" i="3" s="1"/>
  <c r="K110" i="3"/>
  <c r="K109" i="3"/>
  <c r="K108" i="3"/>
  <c r="K102" i="3"/>
  <c r="K100" i="3"/>
  <c r="K98" i="3"/>
  <c r="K96" i="3"/>
  <c r="K89" i="3"/>
  <c r="K88" i="3" s="1"/>
  <c r="K86" i="3"/>
  <c r="K85" i="3" s="1"/>
  <c r="K83" i="3"/>
  <c r="K81" i="3"/>
  <c r="K78" i="3"/>
  <c r="K77" i="3" s="1"/>
  <c r="K76" i="3" s="1"/>
  <c r="K74" i="3"/>
  <c r="K73" i="3" s="1"/>
  <c r="K69" i="3"/>
  <c r="K68" i="3" s="1"/>
  <c r="K67" i="3" s="1"/>
  <c r="K66" i="3" s="1"/>
  <c r="K59" i="3"/>
  <c r="K58" i="3" s="1"/>
  <c r="K57" i="3" s="1"/>
  <c r="K56" i="3" s="1"/>
  <c r="K55" i="3" s="1"/>
  <c r="K54" i="3"/>
  <c r="K53" i="3" s="1"/>
  <c r="K52" i="3" s="1"/>
  <c r="K51" i="3" s="1"/>
  <c r="K50" i="3" s="1"/>
  <c r="K49" i="3" s="1"/>
  <c r="K48" i="3"/>
  <c r="K47" i="3" s="1"/>
  <c r="K46" i="3" s="1"/>
  <c r="K43" i="3"/>
  <c r="K41" i="3"/>
  <c r="K38" i="3"/>
  <c r="K36" i="3"/>
  <c r="K34" i="3"/>
  <c r="K32" i="3"/>
  <c r="K30" i="3"/>
  <c r="K29" i="3"/>
  <c r="K23" i="3"/>
  <c r="K22" i="3" s="1"/>
  <c r="K21" i="3" s="1"/>
  <c r="K20" i="3" s="1"/>
  <c r="K19" i="3" s="1"/>
  <c r="K18" i="3" s="1"/>
  <c r="K407" i="3" l="1"/>
  <c r="K28" i="3"/>
  <c r="K27" i="3" s="1"/>
  <c r="K26" i="3" s="1"/>
  <c r="K25" i="3" s="1"/>
  <c r="K24" i="3" s="1"/>
  <c r="K499" i="3"/>
  <c r="K494" i="3" s="1"/>
  <c r="K493" i="3" s="1"/>
  <c r="K488" i="3" s="1"/>
  <c r="K487" i="3" s="1"/>
  <c r="K462" i="3"/>
  <c r="K461" i="3" s="1"/>
  <c r="K460" i="3" s="1"/>
  <c r="K459" i="3" s="1"/>
  <c r="K458" i="3" s="1"/>
  <c r="K223" i="3"/>
  <c r="K222" i="3" s="1"/>
  <c r="K221" i="3" s="1"/>
  <c r="K220" i="3" s="1"/>
  <c r="K219" i="3" s="1"/>
  <c r="K279" i="3"/>
  <c r="K278" i="3" s="1"/>
  <c r="K277" i="3" s="1"/>
  <c r="K412" i="3"/>
  <c r="K18" i="19"/>
  <c r="K16" i="19" s="1"/>
  <c r="K128" i="3"/>
  <c r="K127" i="3" s="1"/>
  <c r="K126" i="3" s="1"/>
  <c r="K669" i="3"/>
  <c r="K668" i="3" s="1"/>
  <c r="K667" i="3" s="1"/>
  <c r="K666" i="3" s="1"/>
  <c r="K665" i="3" s="1"/>
  <c r="K319" i="3"/>
  <c r="K318" i="3" s="1"/>
  <c r="K317" i="3" s="1"/>
  <c r="K316" i="3" s="1"/>
  <c r="K315" i="3" s="1"/>
  <c r="K80" i="3"/>
  <c r="K72" i="3" s="1"/>
  <c r="K71" i="3" s="1"/>
  <c r="K60" i="3" s="1"/>
  <c r="K349" i="3"/>
  <c r="K348" i="3" s="1"/>
  <c r="K347" i="3" s="1"/>
  <c r="K346" i="3" s="1"/>
  <c r="K345" i="3" s="1"/>
  <c r="K584" i="3"/>
  <c r="K583" i="3" s="1"/>
  <c r="K578" i="3" s="1"/>
  <c r="K577" i="3" s="1"/>
  <c r="K153" i="3"/>
  <c r="K152" i="3" s="1"/>
  <c r="K151" i="3" s="1"/>
  <c r="K107" i="3"/>
  <c r="K106" i="3" s="1"/>
  <c r="K105" i="3" s="1"/>
  <c r="K104" i="3" s="1"/>
  <c r="K258" i="3"/>
  <c r="K257" i="3" s="1"/>
  <c r="K256" i="3" s="1"/>
  <c r="K255" i="3" s="1"/>
  <c r="K254" i="3" s="1"/>
  <c r="K571" i="3"/>
  <c r="K570" i="3" s="1"/>
  <c r="K612" i="3"/>
  <c r="K625" i="3"/>
  <c r="K706" i="3"/>
  <c r="K705" i="3" s="1"/>
  <c r="K704" i="3" s="1"/>
  <c r="K703" i="3" s="1"/>
  <c r="K95" i="3"/>
  <c r="K94" i="3" s="1"/>
  <c r="K93" i="3" s="1"/>
  <c r="K92" i="3" s="1"/>
  <c r="K554" i="3"/>
  <c r="K380" i="3"/>
  <c r="K379" i="3" s="1"/>
  <c r="K378" i="3" s="1"/>
  <c r="K377" i="3" s="1"/>
  <c r="K295" i="3"/>
  <c r="K366" i="3"/>
  <c r="K365" i="3" s="1"/>
  <c r="K364" i="3" s="1"/>
  <c r="K363" i="3" s="1"/>
  <c r="K482" i="3"/>
  <c r="K481" i="3" s="1"/>
  <c r="K480" i="3" s="1"/>
  <c r="K479" i="3" s="1"/>
  <c r="K690" i="3"/>
  <c r="K689" i="3" s="1"/>
  <c r="K688" i="3" s="1"/>
  <c r="K687" i="3" s="1"/>
  <c r="K172" i="3"/>
  <c r="K171" i="3" s="1"/>
  <c r="K232" i="3"/>
  <c r="K231" i="3" s="1"/>
  <c r="K230" i="3" s="1"/>
  <c r="K328" i="3"/>
  <c r="K327" i="3" s="1"/>
  <c r="K326" i="3" s="1"/>
  <c r="K325" i="3" s="1"/>
  <c r="K324" i="3" s="1"/>
  <c r="K531" i="3"/>
  <c r="K530" i="3" s="1"/>
  <c r="K529" i="3" s="1"/>
  <c r="K528" i="3" s="1"/>
  <c r="K527" i="3" s="1"/>
  <c r="K655" i="3"/>
  <c r="K654" i="3" s="1"/>
  <c r="K653" i="3" s="1"/>
  <c r="K652" i="3" s="1"/>
  <c r="K142" i="3"/>
  <c r="K196" i="3"/>
  <c r="K160" i="3"/>
  <c r="K159" i="3" s="1"/>
  <c r="K158" i="3" s="1"/>
  <c r="K180" i="3"/>
  <c r="K179" i="3" s="1"/>
  <c r="K270" i="3"/>
  <c r="K521" i="3"/>
  <c r="K520" i="3" s="1"/>
  <c r="K522" i="3"/>
  <c r="K406" i="3" l="1"/>
  <c r="K405" i="3" s="1"/>
  <c r="K404" i="3" s="1"/>
  <c r="K403" i="3" s="1"/>
  <c r="K376" i="3" s="1"/>
  <c r="K362" i="3" s="1"/>
  <c r="K553" i="3"/>
  <c r="K552" i="3" s="1"/>
  <c r="K551" i="3" s="1"/>
  <c r="K550" i="3" s="1"/>
  <c r="K519" i="3" s="1"/>
  <c r="K218" i="3"/>
  <c r="K217" i="3" s="1"/>
  <c r="K91" i="3"/>
  <c r="K17" i="3"/>
  <c r="K611" i="3"/>
  <c r="K606" i="3" s="1"/>
  <c r="K605" i="3" s="1"/>
  <c r="K604" i="3" s="1"/>
  <c r="K596" i="3" s="1"/>
  <c r="K651" i="3"/>
  <c r="K170" i="3"/>
  <c r="K169" i="3" s="1"/>
  <c r="K168" i="3" s="1"/>
  <c r="K686" i="3"/>
  <c r="K685" i="3" s="1"/>
  <c r="K141" i="3"/>
  <c r="K125" i="3" s="1"/>
  <c r="K269" i="3"/>
  <c r="K268" i="3" s="1"/>
  <c r="K267" i="3" s="1"/>
  <c r="K266" i="3" s="1"/>
  <c r="K16" i="3" l="1"/>
  <c r="K15" i="3" s="1"/>
  <c r="H499" i="7" l="1"/>
  <c r="H498" i="7" s="1"/>
  <c r="H224" i="7" l="1"/>
  <c r="H223" i="7" s="1"/>
  <c r="H222" i="7"/>
  <c r="H221" i="7"/>
  <c r="H220" i="7"/>
  <c r="H219" i="7" l="1"/>
  <c r="H218" i="7" s="1"/>
  <c r="H346" i="7" l="1"/>
  <c r="H345" i="7" s="1"/>
  <c r="H344" i="7" s="1"/>
  <c r="H228" i="7" l="1"/>
  <c r="C14" i="5" l="1"/>
  <c r="C31" i="5" l="1"/>
  <c r="H385" i="7" l="1"/>
  <c r="H459" i="7"/>
  <c r="H367" i="7" l="1"/>
  <c r="H366" i="7" s="1"/>
  <c r="I305" i="18"/>
  <c r="I304" i="18" s="1"/>
  <c r="H305" i="18"/>
  <c r="H304" i="18" s="1"/>
  <c r="H65" i="18" l="1"/>
  <c r="I66" i="18"/>
  <c r="I65" i="18" s="1"/>
  <c r="H92" i="7" l="1"/>
  <c r="H91" i="7" l="1"/>
  <c r="H90" i="7" s="1"/>
  <c r="I388" i="18" l="1"/>
  <c r="H388" i="18"/>
  <c r="I387" i="18"/>
  <c r="H387" i="18"/>
  <c r="H473" i="7"/>
  <c r="H472" i="7"/>
  <c r="I61" i="18"/>
  <c r="H61" i="18"/>
  <c r="I60" i="18"/>
  <c r="H60" i="18"/>
  <c r="I70" i="18"/>
  <c r="I69" i="18"/>
  <c r="I68" i="18"/>
  <c r="H70" i="18"/>
  <c r="H69" i="18"/>
  <c r="H68" i="18"/>
  <c r="H70" i="7"/>
  <c r="H69" i="7"/>
  <c r="H77" i="7"/>
  <c r="H76" i="7"/>
  <c r="H75" i="7"/>
  <c r="H386" i="18" l="1"/>
  <c r="H68" i="7"/>
  <c r="I386" i="18"/>
  <c r="H471" i="7"/>
  <c r="H59" i="18"/>
  <c r="I59" i="18"/>
  <c r="H67" i="18"/>
  <c r="I67" i="18"/>
  <c r="H74" i="7"/>
  <c r="H376" i="7" l="1"/>
  <c r="H377" i="7"/>
  <c r="C18" i="5" l="1"/>
  <c r="C16" i="5"/>
  <c r="H331" i="7" l="1"/>
  <c r="H330" i="7" s="1"/>
  <c r="H296" i="7"/>
  <c r="H295" i="7" s="1"/>
  <c r="H478" i="7"/>
  <c r="H477" i="7" s="1"/>
  <c r="F40" i="6" l="1"/>
  <c r="E40" i="6"/>
  <c r="M750" i="3" l="1"/>
  <c r="D40" i="6" s="1"/>
  <c r="I24" i="18" l="1"/>
  <c r="I23" i="18" s="1"/>
  <c r="I192" i="18"/>
  <c r="H192" i="18"/>
  <c r="I43" i="18"/>
  <c r="H24" i="18"/>
  <c r="H23" i="18" s="1"/>
  <c r="H343" i="7"/>
  <c r="H342" i="7" s="1"/>
  <c r="H341" i="7" s="1"/>
  <c r="H340" i="7" s="1"/>
  <c r="I409" i="18" l="1"/>
  <c r="I408" i="18" s="1"/>
  <c r="H409" i="18"/>
  <c r="H408" i="18" s="1"/>
  <c r="H53" i="7" l="1"/>
  <c r="I191" i="18"/>
  <c r="I190" i="18" s="1"/>
  <c r="I189" i="18" s="1"/>
  <c r="H191" i="18"/>
  <c r="H190" i="18" s="1"/>
  <c r="H189" i="18" s="1"/>
  <c r="I165" i="18" l="1"/>
  <c r="H165" i="18"/>
  <c r="I164" i="18"/>
  <c r="H164" i="18"/>
  <c r="I421" i="18"/>
  <c r="I420" i="18" s="1"/>
  <c r="I419" i="18" s="1"/>
  <c r="I418" i="18" s="1"/>
  <c r="I417" i="18" s="1"/>
  <c r="H421" i="18"/>
  <c r="H420" i="18" s="1"/>
  <c r="H419" i="18" s="1"/>
  <c r="H418" i="18" s="1"/>
  <c r="H417" i="18" s="1"/>
  <c r="I230" i="18"/>
  <c r="H230" i="18"/>
  <c r="I229" i="18"/>
  <c r="H229" i="18"/>
  <c r="H102" i="18"/>
  <c r="H101" i="18" s="1"/>
  <c r="I80" i="18"/>
  <c r="I79" i="18"/>
  <c r="H79" i="18"/>
  <c r="I40" i="18"/>
  <c r="H40" i="18"/>
  <c r="I39" i="18"/>
  <c r="H39" i="18"/>
  <c r="H273" i="7"/>
  <c r="H272" i="7"/>
  <c r="H52" i="7"/>
  <c r="H25" i="7"/>
  <c r="I38" i="18" l="1"/>
  <c r="H22" i="18"/>
  <c r="H21" i="18" s="1"/>
  <c r="I22" i="18"/>
  <c r="I21" i="18" s="1"/>
  <c r="I102" i="18"/>
  <c r="I101" i="18" s="1"/>
  <c r="H80" i="18"/>
  <c r="H78" i="18" s="1"/>
  <c r="I163" i="18"/>
  <c r="I162" i="18" s="1"/>
  <c r="H163" i="18"/>
  <c r="H162" i="18" s="1"/>
  <c r="I78" i="18"/>
  <c r="H38" i="18"/>
  <c r="H271" i="7"/>
  <c r="I181" i="18" l="1"/>
  <c r="I180" i="18" s="1"/>
  <c r="H181" i="18"/>
  <c r="H180" i="18" s="1"/>
  <c r="F33" i="6" l="1"/>
  <c r="E33" i="6"/>
  <c r="I324" i="18" l="1"/>
  <c r="I323" i="18" s="1"/>
  <c r="I322" i="18" s="1"/>
  <c r="I321" i="18" s="1"/>
  <c r="I320" i="18" s="1"/>
  <c r="H324" i="18"/>
  <c r="H323" i="18" s="1"/>
  <c r="H322" i="18" s="1"/>
  <c r="H321" i="18" s="1"/>
  <c r="H320" i="18" s="1"/>
  <c r="I243" i="18"/>
  <c r="I242" i="18" s="1"/>
  <c r="I241" i="18" s="1"/>
  <c r="I240" i="18" s="1"/>
  <c r="H243" i="18"/>
  <c r="H242" i="18" s="1"/>
  <c r="H241" i="18" s="1"/>
  <c r="H240" i="18" s="1"/>
  <c r="H407" i="7" l="1"/>
  <c r="H406" i="7" s="1"/>
  <c r="H405" i="7"/>
  <c r="H404" i="7" s="1"/>
  <c r="H403" i="7"/>
  <c r="H402" i="7" s="1"/>
  <c r="H392" i="7"/>
  <c r="H391" i="7" s="1"/>
  <c r="H390" i="7" s="1"/>
  <c r="H389" i="7" s="1"/>
  <c r="H446" i="7"/>
  <c r="H401" i="7" l="1"/>
  <c r="H397" i="7" s="1"/>
  <c r="M741" i="3" l="1"/>
  <c r="H319" i="7"/>
  <c r="D33" i="6" l="1"/>
  <c r="I139" i="18" l="1"/>
  <c r="H139" i="18"/>
  <c r="I124" i="18"/>
  <c r="I123" i="18" s="1"/>
  <c r="I122" i="18" s="1"/>
  <c r="H124" i="18"/>
  <c r="H123" i="18" s="1"/>
  <c r="H122" i="18" s="1"/>
  <c r="D58" i="6" l="1"/>
  <c r="E16" i="8"/>
  <c r="D16" i="8"/>
  <c r="C18" i="8"/>
  <c r="C17" i="8" s="1"/>
  <c r="E24" i="5" l="1"/>
  <c r="E14" i="5" s="1"/>
  <c r="D24" i="5"/>
  <c r="D14" i="5" s="1"/>
  <c r="C24" i="5"/>
  <c r="N605" i="19" l="1"/>
  <c r="F35" i="6" s="1"/>
  <c r="M605" i="19"/>
  <c r="E35" i="6" s="1"/>
  <c r="H168" i="7" l="1"/>
  <c r="H26" i="7" l="1"/>
  <c r="H43" i="18"/>
  <c r="H35" i="7" l="1"/>
  <c r="H34" i="7" s="1"/>
  <c r="H458" i="7" l="1"/>
  <c r="H161" i="7"/>
  <c r="H160" i="7" s="1"/>
  <c r="H24" i="7" l="1"/>
  <c r="H112" i="7" l="1"/>
  <c r="H111" i="7" s="1"/>
  <c r="H396" i="7" l="1"/>
  <c r="H395" i="7" s="1"/>
  <c r="H394" i="7" s="1"/>
  <c r="H393" i="7" s="1"/>
  <c r="H50" i="7" l="1"/>
  <c r="M744" i="3"/>
  <c r="D35" i="6" s="1"/>
  <c r="I82" i="18" l="1"/>
  <c r="I81" i="18" s="1"/>
  <c r="H82" i="18"/>
  <c r="H81" i="18" s="1"/>
  <c r="H94" i="7" l="1"/>
  <c r="H93" i="7" s="1"/>
  <c r="H121" i="7"/>
  <c r="H120" i="7" s="1"/>
  <c r="H501" i="7" l="1"/>
  <c r="H500" i="7" s="1"/>
  <c r="H286" i="7"/>
  <c r="H285" i="7" s="1"/>
  <c r="H284" i="7" s="1"/>
  <c r="H283" i="7" s="1"/>
  <c r="H168" i="18"/>
  <c r="H167" i="18" s="1"/>
  <c r="H166" i="18" s="1"/>
  <c r="I168" i="18" l="1"/>
  <c r="I167" i="18" s="1"/>
  <c r="I166" i="18" s="1"/>
  <c r="H55" i="7" l="1"/>
  <c r="H56" i="7"/>
  <c r="H46" i="18"/>
  <c r="I46" i="18"/>
  <c r="I47" i="18"/>
  <c r="H47" i="18"/>
  <c r="M626" i="19" l="1"/>
  <c r="E52" i="6" s="1"/>
  <c r="N626" i="19"/>
  <c r="F52" i="6" s="1"/>
  <c r="H45" i="18"/>
  <c r="I45" i="18"/>
  <c r="H54" i="7"/>
  <c r="C16" i="8" l="1"/>
  <c r="I107" i="18" l="1"/>
  <c r="I106" i="18" s="1"/>
  <c r="I105" i="18" s="1"/>
  <c r="H107" i="18"/>
  <c r="H106" i="18" s="1"/>
  <c r="H105" i="18" s="1"/>
  <c r="I110" i="18"/>
  <c r="I109" i="18" s="1"/>
  <c r="I108" i="18" s="1"/>
  <c r="H110" i="18"/>
  <c r="H109" i="18" s="1"/>
  <c r="H108" i="18" s="1"/>
  <c r="I113" i="18"/>
  <c r="I112" i="18" s="1"/>
  <c r="I111" i="18" s="1"/>
  <c r="H113" i="18"/>
  <c r="H112" i="18" s="1"/>
  <c r="H111" i="18" s="1"/>
  <c r="H84" i="18"/>
  <c r="I84" i="18"/>
  <c r="H63" i="18"/>
  <c r="I63" i="18"/>
  <c r="I64" i="18"/>
  <c r="H64" i="18"/>
  <c r="H42" i="18"/>
  <c r="I42" i="18"/>
  <c r="I44" i="18"/>
  <c r="H44" i="18"/>
  <c r="I41" i="18" l="1"/>
  <c r="H41" i="18"/>
  <c r="H62" i="18"/>
  <c r="I62" i="18"/>
  <c r="H126" i="7" l="1"/>
  <c r="H125" i="7" s="1"/>
  <c r="H124" i="7" s="1"/>
  <c r="H129" i="7"/>
  <c r="H128" i="7" s="1"/>
  <c r="H127" i="7" s="1"/>
  <c r="H132" i="7"/>
  <c r="H131" i="7" s="1"/>
  <c r="H130" i="7" s="1"/>
  <c r="H114" i="7"/>
  <c r="H113" i="7" s="1"/>
  <c r="H123" i="7"/>
  <c r="H122" i="7" s="1"/>
  <c r="H119" i="7" l="1"/>
  <c r="I188" i="18" l="1"/>
  <c r="I187" i="18" s="1"/>
  <c r="I186" i="18" s="1"/>
  <c r="H188" i="18"/>
  <c r="H187" i="18" s="1"/>
  <c r="H186" i="18" s="1"/>
  <c r="I185" i="18"/>
  <c r="I184" i="18" s="1"/>
  <c r="H185" i="18"/>
  <c r="H184" i="18" s="1"/>
  <c r="H227" i="7"/>
  <c r="H226" i="7" s="1"/>
  <c r="H225" i="7" s="1"/>
  <c r="H217" i="7"/>
  <c r="H216" i="7" s="1"/>
  <c r="H215" i="7" s="1"/>
  <c r="I140" i="18" l="1"/>
  <c r="I138" i="18" s="1"/>
  <c r="H140" i="18"/>
  <c r="H138" i="18" s="1"/>
  <c r="I135" i="18"/>
  <c r="I134" i="18"/>
  <c r="I121" i="18"/>
  <c r="H121" i="18"/>
  <c r="I120" i="18"/>
  <c r="H120" i="18"/>
  <c r="I155" i="18"/>
  <c r="I154" i="18" s="1"/>
  <c r="I153" i="18" s="1"/>
  <c r="H155" i="18"/>
  <c r="H154" i="18" s="1"/>
  <c r="H153" i="18" s="1"/>
  <c r="I363" i="18"/>
  <c r="I362" i="18" s="1"/>
  <c r="I361" i="18" s="1"/>
  <c r="I360" i="18" s="1"/>
  <c r="I359" i="18" s="1"/>
  <c r="H363" i="18"/>
  <c r="H362" i="18" s="1"/>
  <c r="H361" i="18" s="1"/>
  <c r="H360" i="18" s="1"/>
  <c r="H359" i="18" s="1"/>
  <c r="I355" i="18"/>
  <c r="I354" i="18" s="1"/>
  <c r="H355" i="18"/>
  <c r="H354" i="18" s="1"/>
  <c r="I345" i="18"/>
  <c r="I344" i="18" s="1"/>
  <c r="I343" i="18" s="1"/>
  <c r="I342" i="18" s="1"/>
  <c r="H345" i="18"/>
  <c r="H344" i="18" s="1"/>
  <c r="H343" i="18" s="1"/>
  <c r="H342" i="18" s="1"/>
  <c r="I233" i="18"/>
  <c r="I232" i="18" s="1"/>
  <c r="I231" i="18" s="1"/>
  <c r="H233" i="18"/>
  <c r="H232" i="18" s="1"/>
  <c r="H231" i="18" s="1"/>
  <c r="I227" i="18"/>
  <c r="I226" i="18" s="1"/>
  <c r="H227" i="18"/>
  <c r="H226" i="18" s="1"/>
  <c r="I412" i="18"/>
  <c r="I411" i="18" s="1"/>
  <c r="I410" i="18" s="1"/>
  <c r="H412" i="18"/>
  <c r="H411" i="18" s="1"/>
  <c r="H410" i="18" s="1"/>
  <c r="I415" i="18"/>
  <c r="I414" i="18" s="1"/>
  <c r="I413" i="18" s="1"/>
  <c r="H415" i="18"/>
  <c r="H414" i="18" s="1"/>
  <c r="H413" i="18" s="1"/>
  <c r="I399" i="18"/>
  <c r="H399" i="18"/>
  <c r="H393" i="18"/>
  <c r="I393" i="18"/>
  <c r="I394" i="18"/>
  <c r="H394" i="18"/>
  <c r="I397" i="18"/>
  <c r="I396" i="18" s="1"/>
  <c r="H397" i="18"/>
  <c r="H396" i="18" s="1"/>
  <c r="I398" i="18"/>
  <c r="I383" i="18"/>
  <c r="H383" i="18"/>
  <c r="H135" i="18" l="1"/>
  <c r="H134" i="18"/>
  <c r="I395" i="18"/>
  <c r="H398" i="18"/>
  <c r="H395" i="18" s="1"/>
  <c r="H392" i="18"/>
  <c r="I392" i="18"/>
  <c r="I133" i="18" l="1"/>
  <c r="H504" i="7"/>
  <c r="H503" i="7" s="1"/>
  <c r="H502" i="7" s="1"/>
  <c r="H507" i="7"/>
  <c r="H506" i="7" s="1"/>
  <c r="H505" i="7" s="1"/>
  <c r="H481" i="7"/>
  <c r="H133" i="18" l="1"/>
  <c r="I278" i="18"/>
  <c r="I277" i="18" s="1"/>
  <c r="H278" i="18"/>
  <c r="H277" i="18" s="1"/>
  <c r="I281" i="18"/>
  <c r="I280" i="18" s="1"/>
  <c r="I279" i="18" s="1"/>
  <c r="H281" i="18"/>
  <c r="H280" i="18" s="1"/>
  <c r="H279" i="18" s="1"/>
  <c r="I284" i="18"/>
  <c r="I283" i="18" s="1"/>
  <c r="I282" i="18" s="1"/>
  <c r="H284" i="18"/>
  <c r="H283" i="18" s="1"/>
  <c r="H282" i="18" s="1"/>
  <c r="H140" i="7" l="1"/>
  <c r="H139" i="7" s="1"/>
  <c r="H183" i="7" l="1"/>
  <c r="H182" i="7" s="1"/>
  <c r="H164" i="7"/>
  <c r="H163" i="7" s="1"/>
  <c r="H162" i="7" s="1"/>
  <c r="I200" i="18"/>
  <c r="H200" i="18"/>
  <c r="H186" i="7"/>
  <c r="H185" i="7" s="1"/>
  <c r="H184" i="7" s="1"/>
  <c r="I209" i="18"/>
  <c r="I208" i="18" s="1"/>
  <c r="I207" i="18" s="1"/>
  <c r="H209" i="18"/>
  <c r="H208" i="18" s="1"/>
  <c r="H207" i="18" s="1"/>
  <c r="I212" i="18"/>
  <c r="I211" i="18" s="1"/>
  <c r="I210" i="18" s="1"/>
  <c r="H212" i="18"/>
  <c r="H211" i="18" s="1"/>
  <c r="H210" i="18" s="1"/>
  <c r="I215" i="18"/>
  <c r="I214" i="18" s="1"/>
  <c r="I213" i="18" s="1"/>
  <c r="H215" i="18"/>
  <c r="H214" i="18" s="1"/>
  <c r="H213" i="18" s="1"/>
  <c r="H246" i="7"/>
  <c r="H245" i="7" s="1"/>
  <c r="H244" i="7" s="1"/>
  <c r="H249" i="7"/>
  <c r="H248" i="7" s="1"/>
  <c r="H247" i="7" s="1"/>
  <c r="H252" i="7"/>
  <c r="H251" i="7" s="1"/>
  <c r="H250" i="7" s="1"/>
  <c r="I260" i="18" l="1"/>
  <c r="I259" i="18" s="1"/>
  <c r="I258" i="18" s="1"/>
  <c r="H260" i="18"/>
  <c r="H259" i="18" s="1"/>
  <c r="H258" i="18" s="1"/>
  <c r="I257" i="18"/>
  <c r="I256" i="18" s="1"/>
  <c r="I255" i="18" s="1"/>
  <c r="H257" i="18"/>
  <c r="H256" i="18" s="1"/>
  <c r="H255" i="18" s="1"/>
  <c r="H308" i="7"/>
  <c r="H307" i="7" s="1"/>
  <c r="H306" i="7" s="1"/>
  <c r="M726" i="3" l="1"/>
  <c r="M737" i="3"/>
  <c r="M767" i="3"/>
  <c r="M588" i="19"/>
  <c r="E21" i="6" s="1"/>
  <c r="M599" i="19"/>
  <c r="E30" i="6" s="1"/>
  <c r="M636" i="19"/>
  <c r="E59" i="6" s="1"/>
  <c r="E58" i="6" s="1"/>
  <c r="M587" i="19" l="1"/>
  <c r="E20" i="6" s="1"/>
  <c r="M724" i="3"/>
  <c r="M612" i="19"/>
  <c r="E41" i="6" s="1"/>
  <c r="M627" i="19"/>
  <c r="E53" i="6" s="1"/>
  <c r="M759" i="3"/>
  <c r="M728" i="3"/>
  <c r="M625" i="19"/>
  <c r="M773" i="3"/>
  <c r="M776" i="3" s="1"/>
  <c r="M622" i="19"/>
  <c r="E49" i="6" s="1"/>
  <c r="M736" i="3"/>
  <c r="M766" i="3"/>
  <c r="M633" i="19"/>
  <c r="M620" i="19"/>
  <c r="E47" i="6" s="1"/>
  <c r="M586" i="19"/>
  <c r="E19" i="6" s="1"/>
  <c r="M617" i="19"/>
  <c r="E45" i="6" s="1"/>
  <c r="M590" i="19"/>
  <c r="E23" i="6" s="1"/>
  <c r="M765" i="3" l="1"/>
  <c r="M600" i="19"/>
  <c r="E31" i="6" s="1"/>
  <c r="M747" i="3"/>
  <c r="M594" i="19"/>
  <c r="E26" i="6" s="1"/>
  <c r="M613" i="19"/>
  <c r="E42" i="6" s="1"/>
  <c r="M631" i="19"/>
  <c r="E54" i="6"/>
  <c r="M634" i="19"/>
  <c r="E57" i="6"/>
  <c r="E56" i="6" s="1"/>
  <c r="M756" i="3"/>
  <c r="M591" i="19"/>
  <c r="E24" i="6" s="1"/>
  <c r="M621" i="19"/>
  <c r="M589" i="19"/>
  <c r="E22" i="6" s="1"/>
  <c r="M738" i="3"/>
  <c r="M739" i="3" s="1"/>
  <c r="M732" i="3"/>
  <c r="M762" i="3"/>
  <c r="M751" i="3"/>
  <c r="M770" i="3"/>
  <c r="M771" i="3" s="1"/>
  <c r="M727" i="3"/>
  <c r="M598" i="19"/>
  <c r="E29" i="6" s="1"/>
  <c r="M616" i="19" l="1"/>
  <c r="M742" i="3"/>
  <c r="M745" i="3" s="1"/>
  <c r="M609" i="19"/>
  <c r="E38" i="6" s="1"/>
  <c r="M608" i="19"/>
  <c r="E37" i="6" s="1"/>
  <c r="M628" i="19"/>
  <c r="E51" i="6"/>
  <c r="E50" i="6" s="1"/>
  <c r="M623" i="19"/>
  <c r="E48" i="6"/>
  <c r="E46" i="6" s="1"/>
  <c r="E28" i="6"/>
  <c r="M606" i="19"/>
  <c r="E34" i="6"/>
  <c r="E32" i="6" s="1"/>
  <c r="E18" i="6"/>
  <c r="M761" i="3"/>
  <c r="M763" i="3" s="1"/>
  <c r="M749" i="3"/>
  <c r="M752" i="3"/>
  <c r="M748" i="3"/>
  <c r="M610" i="19"/>
  <c r="E39" i="6" s="1"/>
  <c r="M601" i="19"/>
  <c r="M595" i="19"/>
  <c r="M733" i="3"/>
  <c r="M734" i="3" s="1"/>
  <c r="M768" i="3"/>
  <c r="M755" i="3"/>
  <c r="M757" i="3" s="1"/>
  <c r="M592" i="19"/>
  <c r="M725" i="3"/>
  <c r="E44" i="6" l="1"/>
  <c r="E43" i="6" s="1"/>
  <c r="M618" i="19"/>
  <c r="M729" i="3"/>
  <c r="D24" i="6" s="1"/>
  <c r="E36" i="6"/>
  <c r="M753" i="3"/>
  <c r="M596" i="19"/>
  <c r="E27" i="6"/>
  <c r="M614" i="19"/>
  <c r="M730" i="3" l="1"/>
  <c r="M777" i="3" s="1"/>
  <c r="H89" i="7"/>
  <c r="H88" i="7" s="1"/>
  <c r="I266" i="18" l="1"/>
  <c r="I265" i="18" s="1"/>
  <c r="I264" i="18" s="1"/>
  <c r="H266" i="18"/>
  <c r="H265" i="18" s="1"/>
  <c r="H264" i="18" s="1"/>
  <c r="H72" i="7" l="1"/>
  <c r="H73" i="7"/>
  <c r="H71" i="7" l="1"/>
  <c r="H212" i="7" l="1"/>
  <c r="H211" i="7" s="1"/>
  <c r="H210" i="7" l="1"/>
  <c r="H209" i="7" s="1"/>
  <c r="H468" i="7" l="1"/>
  <c r="H235" i="7" l="1"/>
  <c r="H104" i="18" l="1"/>
  <c r="H103" i="18" s="1"/>
  <c r="H100" i="18" s="1"/>
  <c r="I104" i="18"/>
  <c r="I103" i="18" s="1"/>
  <c r="I100" i="18" s="1"/>
  <c r="H43" i="7" l="1"/>
  <c r="H21" i="7" l="1"/>
  <c r="H20" i="7" s="1"/>
  <c r="H44" i="7"/>
  <c r="H42" i="7" s="1"/>
  <c r="H142" i="7" l="1"/>
  <c r="H141" i="7" s="1"/>
  <c r="F54" i="6" l="1"/>
  <c r="H413" i="7"/>
  <c r="H412" i="7" s="1"/>
  <c r="I26" i="18" l="1"/>
  <c r="I27" i="18"/>
  <c r="I29" i="18"/>
  <c r="I28" i="18" s="1"/>
  <c r="I31" i="18"/>
  <c r="I30" i="18" s="1"/>
  <c r="I34" i="18"/>
  <c r="I37" i="18"/>
  <c r="I49" i="18"/>
  <c r="I50" i="18"/>
  <c r="I51" i="18"/>
  <c r="I57" i="18"/>
  <c r="I58" i="18"/>
  <c r="I83" i="18"/>
  <c r="I88" i="18"/>
  <c r="I89" i="18"/>
  <c r="I90" i="18"/>
  <c r="I93" i="18"/>
  <c r="I94" i="18"/>
  <c r="I95" i="18"/>
  <c r="I97" i="18"/>
  <c r="I99" i="18"/>
  <c r="I127" i="18"/>
  <c r="I126" i="18" s="1"/>
  <c r="I125" i="18" s="1"/>
  <c r="I130" i="18"/>
  <c r="I131" i="18"/>
  <c r="I132" i="18"/>
  <c r="I142" i="18"/>
  <c r="I141" i="18" s="1"/>
  <c r="I137" i="18" s="1"/>
  <c r="I146" i="18"/>
  <c r="I147" i="18"/>
  <c r="I148" i="18"/>
  <c r="I150" i="18"/>
  <c r="I152" i="18"/>
  <c r="I161" i="18"/>
  <c r="I160" i="18" s="1"/>
  <c r="I159" i="18" s="1"/>
  <c r="I158" i="18" s="1"/>
  <c r="I172" i="18"/>
  <c r="I173" i="18"/>
  <c r="I174" i="18"/>
  <c r="I177" i="18"/>
  <c r="I178" i="18"/>
  <c r="I179" i="18"/>
  <c r="I183" i="18"/>
  <c r="I182" i="18" s="1"/>
  <c r="I198" i="18"/>
  <c r="I199" i="18"/>
  <c r="I204" i="18"/>
  <c r="I205" i="18"/>
  <c r="I206" i="18"/>
  <c r="I221" i="18"/>
  <c r="I220" i="18" s="1"/>
  <c r="I223" i="18"/>
  <c r="I222" i="18" s="1"/>
  <c r="I237" i="18"/>
  <c r="I238" i="18"/>
  <c r="I239" i="18"/>
  <c r="I249" i="18"/>
  <c r="I250" i="18"/>
  <c r="I251" i="18"/>
  <c r="I254" i="18"/>
  <c r="I253" i="18" s="1"/>
  <c r="I252" i="18" s="1"/>
  <c r="I270" i="18"/>
  <c r="I271" i="18"/>
  <c r="I272" i="18"/>
  <c r="I274" i="18"/>
  <c r="I275" i="18"/>
  <c r="I276" i="18"/>
  <c r="I290" i="18"/>
  <c r="I291" i="18"/>
  <c r="I293" i="18"/>
  <c r="I294" i="18"/>
  <c r="I296" i="18"/>
  <c r="I297" i="18"/>
  <c r="I299" i="18"/>
  <c r="I300" i="18"/>
  <c r="I303" i="18"/>
  <c r="I302" i="18" s="1"/>
  <c r="I301" i="18" s="1"/>
  <c r="I308" i="18"/>
  <c r="I309" i="18"/>
  <c r="I311" i="18"/>
  <c r="I312" i="18"/>
  <c r="I314" i="18"/>
  <c r="I315" i="18"/>
  <c r="I318" i="18"/>
  <c r="I317" i="18" s="1"/>
  <c r="I316" i="18" s="1"/>
  <c r="I330" i="18"/>
  <c r="I329" i="18" s="1"/>
  <c r="I328" i="18" s="1"/>
  <c r="I333" i="18"/>
  <c r="I332" i="18" s="1"/>
  <c r="I331" i="18" s="1"/>
  <c r="I339" i="18"/>
  <c r="I338" i="18" s="1"/>
  <c r="I337" i="18" s="1"/>
  <c r="I336" i="18" s="1"/>
  <c r="I335" i="18" s="1"/>
  <c r="I349" i="18"/>
  <c r="I348" i="18" s="1"/>
  <c r="I347" i="18" s="1"/>
  <c r="I346" i="18" s="1"/>
  <c r="I341" i="18" s="1"/>
  <c r="I357" i="18"/>
  <c r="I356" i="18" s="1"/>
  <c r="I369" i="18"/>
  <c r="I368" i="18" s="1"/>
  <c r="I367" i="18" s="1"/>
  <c r="I372" i="18"/>
  <c r="I373" i="18"/>
  <c r="I374" i="18"/>
  <c r="I376" i="18"/>
  <c r="I375" i="18" s="1"/>
  <c r="I378" i="18"/>
  <c r="I377" i="18" s="1"/>
  <c r="I380" i="18"/>
  <c r="I379" i="18" s="1"/>
  <c r="I382" i="18"/>
  <c r="I381" i="18" s="1"/>
  <c r="I385" i="18"/>
  <c r="I384" i="18" s="1"/>
  <c r="I391" i="18"/>
  <c r="I390" i="18" s="1"/>
  <c r="I389" i="18" s="1"/>
  <c r="I402" i="18"/>
  <c r="I403" i="18"/>
  <c r="I406" i="18"/>
  <c r="I407" i="18"/>
  <c r="I426" i="18"/>
  <c r="I427" i="18"/>
  <c r="I428" i="18"/>
  <c r="I433" i="18"/>
  <c r="I432" i="18" s="1"/>
  <c r="H99" i="18"/>
  <c r="H98" i="18" s="1"/>
  <c r="H97" i="18"/>
  <c r="H95" i="18"/>
  <c r="H94" i="18"/>
  <c r="H93" i="18"/>
  <c r="H90" i="18"/>
  <c r="H89" i="18"/>
  <c r="H88" i="18"/>
  <c r="H83" i="18"/>
  <c r="H58" i="18"/>
  <c r="H57" i="18"/>
  <c r="H55" i="18"/>
  <c r="H54" i="18"/>
  <c r="H53" i="18"/>
  <c r="H51" i="18"/>
  <c r="H50" i="18"/>
  <c r="H49" i="18"/>
  <c r="H37" i="18"/>
  <c r="H34" i="18"/>
  <c r="H31" i="18"/>
  <c r="H29" i="18"/>
  <c r="H27" i="18"/>
  <c r="H26" i="18"/>
  <c r="I77" i="18"/>
  <c r="I76" i="18"/>
  <c r="I75" i="18"/>
  <c r="I74" i="18"/>
  <c r="I55" i="18"/>
  <c r="I54" i="18"/>
  <c r="I53" i="18"/>
  <c r="I36" i="18"/>
  <c r="I35" i="18"/>
  <c r="I20" i="18"/>
  <c r="I19" i="18" s="1"/>
  <c r="I219" i="18" l="1"/>
  <c r="I218" i="18" s="1"/>
  <c r="I401" i="18"/>
  <c r="I400" i="18" s="1"/>
  <c r="I136" i="18"/>
  <c r="I353" i="18"/>
  <c r="I352" i="18" s="1"/>
  <c r="I351" i="18" s="1"/>
  <c r="I197" i="18"/>
  <c r="I196" i="18" s="1"/>
  <c r="I195" i="18" s="1"/>
  <c r="I425" i="18"/>
  <c r="I424" i="18" s="1"/>
  <c r="I263" i="18"/>
  <c r="I431" i="18"/>
  <c r="I430" i="18" s="1"/>
  <c r="H35" i="18"/>
  <c r="H74" i="18"/>
  <c r="H75" i="18"/>
  <c r="H76" i="18"/>
  <c r="H77" i="18"/>
  <c r="H92" i="18"/>
  <c r="H91" i="18" s="1"/>
  <c r="H20" i="18"/>
  <c r="H36" i="18"/>
  <c r="I228" i="18"/>
  <c r="I225" i="18" s="1"/>
  <c r="I289" i="18"/>
  <c r="I405" i="18"/>
  <c r="I404" i="18" s="1"/>
  <c r="I310" i="18"/>
  <c r="I292" i="18"/>
  <c r="I87" i="18"/>
  <c r="I236" i="18"/>
  <c r="I235" i="18" s="1"/>
  <c r="I234" i="18" s="1"/>
  <c r="I269" i="18"/>
  <c r="I171" i="18"/>
  <c r="I170" i="18" s="1"/>
  <c r="I248" i="18"/>
  <c r="I247" i="18" s="1"/>
  <c r="I203" i="18"/>
  <c r="I202" i="18" s="1"/>
  <c r="I201" i="18" s="1"/>
  <c r="I129" i="18"/>
  <c r="I128" i="18" s="1"/>
  <c r="I96" i="18"/>
  <c r="I48" i="18"/>
  <c r="I33" i="18"/>
  <c r="I25" i="18"/>
  <c r="I18" i="18" s="1"/>
  <c r="I313" i="18"/>
  <c r="I307" i="18"/>
  <c r="I98" i="18"/>
  <c r="I56" i="18"/>
  <c r="I371" i="18"/>
  <c r="I370" i="18" s="1"/>
  <c r="I273" i="18"/>
  <c r="I176" i="18"/>
  <c r="I175" i="18" s="1"/>
  <c r="I52" i="18"/>
  <c r="I295" i="18"/>
  <c r="I298" i="18"/>
  <c r="I145" i="18"/>
  <c r="I73" i="18"/>
  <c r="I72" i="18" s="1"/>
  <c r="I327" i="18"/>
  <c r="I326" i="18" s="1"/>
  <c r="H228" i="18"/>
  <c r="H225" i="18" s="1"/>
  <c r="I92" i="18"/>
  <c r="I91" i="18" s="1"/>
  <c r="I32" i="18" l="1"/>
  <c r="I17" i="18" s="1"/>
  <c r="I288" i="18"/>
  <c r="I71" i="18"/>
  <c r="H224" i="18"/>
  <c r="I169" i="18"/>
  <c r="I157" i="18" s="1"/>
  <c r="I224" i="18"/>
  <c r="I217" i="18" s="1"/>
  <c r="I268" i="18"/>
  <c r="I267" i="18" s="1"/>
  <c r="I262" i="18" s="1"/>
  <c r="I246" i="18"/>
  <c r="I245" i="18" s="1"/>
  <c r="I306" i="18"/>
  <c r="I194" i="18"/>
  <c r="I86" i="18"/>
  <c r="I85" i="18" s="1"/>
  <c r="N608" i="19" l="1"/>
  <c r="F37" i="6" s="1"/>
  <c r="I366" i="18"/>
  <c r="I365" i="18" s="1"/>
  <c r="I287" i="18"/>
  <c r="I286" i="18" s="1"/>
  <c r="I16" i="18"/>
  <c r="H513" i="7"/>
  <c r="H118" i="7"/>
  <c r="H116" i="7"/>
  <c r="H115" i="7" s="1"/>
  <c r="H109" i="7"/>
  <c r="H99" i="7"/>
  <c r="H96" i="7"/>
  <c r="H95" i="7" s="1"/>
  <c r="H87" i="7"/>
  <c r="H86" i="7"/>
  <c r="H67" i="7"/>
  <c r="H66" i="7"/>
  <c r="H64" i="7"/>
  <c r="H63" i="7"/>
  <c r="H62" i="7"/>
  <c r="H60" i="7"/>
  <c r="H59" i="7"/>
  <c r="H58" i="7"/>
  <c r="H38" i="7"/>
  <c r="H33" i="7"/>
  <c r="H31" i="7"/>
  <c r="H29" i="7"/>
  <c r="H28" i="7"/>
  <c r="H105" i="7"/>
  <c r="H83" i="7"/>
  <c r="H82" i="7"/>
  <c r="H47" i="7"/>
  <c r="H46" i="7"/>
  <c r="H40" i="7"/>
  <c r="H39" i="7"/>
  <c r="H85" i="7" l="1"/>
  <c r="N609" i="19"/>
  <c r="F38" i="6" s="1"/>
  <c r="H84" i="7"/>
  <c r="H104" i="7"/>
  <c r="H110" i="7"/>
  <c r="H41" i="7"/>
  <c r="H37" i="7" s="1"/>
  <c r="H81" i="7"/>
  <c r="H108" i="7"/>
  <c r="H19" i="7"/>
  <c r="H23" i="7"/>
  <c r="H49" i="7"/>
  <c r="H107" i="7"/>
  <c r="H103" i="7"/>
  <c r="H117" i="7"/>
  <c r="H433" i="18" l="1"/>
  <c r="H428" i="18"/>
  <c r="H427" i="18"/>
  <c r="H426" i="18"/>
  <c r="H407" i="18"/>
  <c r="H406" i="18"/>
  <c r="H403" i="18"/>
  <c r="H402" i="18"/>
  <c r="H391" i="18"/>
  <c r="H390" i="18" s="1"/>
  <c r="H389" i="18" s="1"/>
  <c r="H385" i="18"/>
  <c r="H382" i="18"/>
  <c r="H381" i="18" s="1"/>
  <c r="H380" i="18"/>
  <c r="H378" i="18"/>
  <c r="H376" i="18"/>
  <c r="H374" i="18"/>
  <c r="H373" i="18"/>
  <c r="H372" i="18"/>
  <c r="H369" i="18"/>
  <c r="H357" i="18"/>
  <c r="H356" i="18" s="1"/>
  <c r="H349" i="18"/>
  <c r="H348" i="18" s="1"/>
  <c r="H347" i="18" s="1"/>
  <c r="H346" i="18" s="1"/>
  <c r="H341" i="18" s="1"/>
  <c r="H339" i="18"/>
  <c r="H333" i="18"/>
  <c r="H330" i="18"/>
  <c r="H318" i="18"/>
  <c r="H317" i="18" s="1"/>
  <c r="H316" i="18" s="1"/>
  <c r="H315" i="18"/>
  <c r="H314" i="18"/>
  <c r="H312" i="18"/>
  <c r="H311" i="18"/>
  <c r="H309" i="18"/>
  <c r="H308" i="18"/>
  <c r="H303" i="18"/>
  <c r="H300" i="18"/>
  <c r="H299" i="18"/>
  <c r="H297" i="18"/>
  <c r="H296" i="18"/>
  <c r="H294" i="18"/>
  <c r="H293" i="18"/>
  <c r="H291" i="18"/>
  <c r="H290" i="18"/>
  <c r="H276" i="18"/>
  <c r="H275" i="18"/>
  <c r="H274" i="18"/>
  <c r="H272" i="18"/>
  <c r="H271" i="18"/>
  <c r="H270" i="18"/>
  <c r="H401" i="18" l="1"/>
  <c r="H353" i="18"/>
  <c r="H352" i="18" s="1"/>
  <c r="H351" i="18" s="1"/>
  <c r="H425" i="18"/>
  <c r="H424" i="18" s="1"/>
  <c r="H263" i="18"/>
  <c r="D37" i="6"/>
  <c r="H371" i="18"/>
  <c r="H269" i="18"/>
  <c r="H254" i="18"/>
  <c r="H251" i="18"/>
  <c r="H250" i="18"/>
  <c r="H249" i="18"/>
  <c r="H239" i="18"/>
  <c r="H238" i="18"/>
  <c r="H237" i="18"/>
  <c r="H223" i="18"/>
  <c r="H222" i="18" s="1"/>
  <c r="H221" i="18"/>
  <c r="H220" i="18" s="1"/>
  <c r="H206" i="18"/>
  <c r="H205" i="18"/>
  <c r="H204" i="18"/>
  <c r="H199" i="18"/>
  <c r="H198" i="18"/>
  <c r="H183" i="18"/>
  <c r="H182" i="18" s="1"/>
  <c r="H179" i="18"/>
  <c r="H178" i="18"/>
  <c r="H177" i="18"/>
  <c r="H174" i="18"/>
  <c r="H173" i="18"/>
  <c r="H172" i="18"/>
  <c r="H161" i="18"/>
  <c r="H160" i="18" s="1"/>
  <c r="H159" i="18" s="1"/>
  <c r="H158" i="18" s="1"/>
  <c r="H152" i="18"/>
  <c r="H151" i="18"/>
  <c r="H150" i="18"/>
  <c r="H148" i="18"/>
  <c r="H147" i="18"/>
  <c r="H146" i="18"/>
  <c r="H142" i="18"/>
  <c r="H141" i="18" s="1"/>
  <c r="H137" i="18" s="1"/>
  <c r="H132" i="18"/>
  <c r="H131" i="18"/>
  <c r="H130" i="18"/>
  <c r="H127" i="18"/>
  <c r="H119" i="18"/>
  <c r="H219" i="18" l="1"/>
  <c r="H136" i="18"/>
  <c r="H197" i="18"/>
  <c r="H236" i="18"/>
  <c r="H149" i="18"/>
  <c r="H129" i="18"/>
  <c r="H145" i="18"/>
  <c r="H527" i="7" l="1"/>
  <c r="H522" i="7"/>
  <c r="H520" i="7"/>
  <c r="H519" i="7"/>
  <c r="H518" i="7"/>
  <c r="H497" i="7"/>
  <c r="H496" i="7"/>
  <c r="H493" i="7"/>
  <c r="H490" i="7"/>
  <c r="H489" i="7"/>
  <c r="H486" i="7"/>
  <c r="H484" i="7"/>
  <c r="H480" i="7"/>
  <c r="H479" i="7" s="1"/>
  <c r="H476" i="7"/>
  <c r="H470" i="7"/>
  <c r="H465" i="7"/>
  <c r="H463" i="7"/>
  <c r="H461" i="7"/>
  <c r="H457" i="7"/>
  <c r="H456" i="7"/>
  <c r="H455" i="7"/>
  <c r="H452" i="7"/>
  <c r="H438" i="7"/>
  <c r="H432" i="7"/>
  <c r="H428" i="7"/>
  <c r="H422" i="7"/>
  <c r="H416" i="7"/>
  <c r="H388" i="7"/>
  <c r="H380" i="7"/>
  <c r="H374" i="7"/>
  <c r="H373" i="7"/>
  <c r="H371" i="7"/>
  <c r="H370" i="7"/>
  <c r="H365" i="7"/>
  <c r="H362" i="7"/>
  <c r="H361" i="7"/>
  <c r="H359" i="7"/>
  <c r="H358" i="7"/>
  <c r="H356" i="7"/>
  <c r="H355" i="7"/>
  <c r="H353" i="7"/>
  <c r="H352" i="7"/>
  <c r="H339" i="7"/>
  <c r="H336" i="7"/>
  <c r="H335" i="7" s="1"/>
  <c r="H334" i="7" s="1"/>
  <c r="H333" i="7"/>
  <c r="H329" i="7"/>
  <c r="H328" i="7"/>
  <c r="H327" i="7"/>
  <c r="H325" i="7"/>
  <c r="H324" i="7"/>
  <c r="H323" i="7"/>
  <c r="H318" i="7"/>
  <c r="H316" i="7"/>
  <c r="H305" i="7"/>
  <c r="H302" i="7"/>
  <c r="H299" i="7"/>
  <c r="H294" i="7"/>
  <c r="H293" i="7"/>
  <c r="H292" i="7"/>
  <c r="H282" i="7"/>
  <c r="H280" i="7"/>
  <c r="H276" i="7"/>
  <c r="H270" i="7"/>
  <c r="H268" i="7"/>
  <c r="H264" i="7"/>
  <c r="H262" i="7"/>
  <c r="H260" i="7"/>
  <c r="H258" i="7"/>
  <c r="H243" i="7"/>
  <c r="H242" i="7"/>
  <c r="H241" i="7"/>
  <c r="H237" i="7"/>
  <c r="H236" i="7" s="1"/>
  <c r="H234" i="7"/>
  <c r="H233" i="7"/>
  <c r="H214" i="7"/>
  <c r="H213" i="7" s="1"/>
  <c r="H208" i="7"/>
  <c r="H206" i="7"/>
  <c r="H205" i="7"/>
  <c r="H204" i="7"/>
  <c r="H201" i="7"/>
  <c r="H200" i="7"/>
  <c r="H199" i="7"/>
  <c r="H195" i="7"/>
  <c r="H194" i="7" s="1"/>
  <c r="H192" i="7"/>
  <c r="H181" i="7"/>
  <c r="H180" i="7"/>
  <c r="H179" i="7"/>
  <c r="H176" i="7"/>
  <c r="H177" i="7"/>
  <c r="H175" i="7"/>
  <c r="H171" i="7"/>
  <c r="H170" i="7" s="1"/>
  <c r="H157" i="7"/>
  <c r="H156" i="7"/>
  <c r="H155" i="7"/>
  <c r="H152" i="7"/>
  <c r="H148" i="7"/>
  <c r="H145" i="7"/>
  <c r="H138" i="7"/>
  <c r="H488" i="7" l="1"/>
  <c r="H203" i="7"/>
  <c r="H338" i="7"/>
  <c r="H337" i="7" s="1"/>
  <c r="H517" i="7"/>
  <c r="H232" i="7"/>
  <c r="I119" i="18" l="1"/>
  <c r="I118" i="18" s="1"/>
  <c r="I117" i="18" l="1"/>
  <c r="I116" i="18" s="1"/>
  <c r="D15" i="8" l="1"/>
  <c r="M584" i="19"/>
  <c r="F34" i="6" l="1"/>
  <c r="F32" i="6" s="1"/>
  <c r="H314" i="7"/>
  <c r="I151" i="18"/>
  <c r="I149" i="18" s="1"/>
  <c r="I144" i="18" s="1"/>
  <c r="I143" i="18" l="1"/>
  <c r="I115" i="18" s="1"/>
  <c r="N591" i="19"/>
  <c r="F24" i="6" s="1"/>
  <c r="N617" i="19"/>
  <c r="F45" i="6" s="1"/>
  <c r="H150" i="7"/>
  <c r="H169" i="7"/>
  <c r="H167" i="7" s="1"/>
  <c r="D45" i="6"/>
  <c r="I447" i="18" l="1"/>
  <c r="D34" i="6"/>
  <c r="D32" i="6" s="1"/>
  <c r="D39" i="6"/>
  <c r="N599" i="19"/>
  <c r="F30" i="6" s="1"/>
  <c r="N588" i="19"/>
  <c r="F21" i="6" s="1"/>
  <c r="D30" i="6"/>
  <c r="D21" i="6"/>
  <c r="D19" i="6"/>
  <c r="N616" i="19" l="1"/>
  <c r="F44" i="6" s="1"/>
  <c r="F43" i="6" s="1"/>
  <c r="N610" i="19"/>
  <c r="F39" i="6" s="1"/>
  <c r="N595" i="19"/>
  <c r="F27" i="6" s="1"/>
  <c r="N586" i="19"/>
  <c r="F19" i="6" s="1"/>
  <c r="N590" i="19"/>
  <c r="F23" i="6" s="1"/>
  <c r="D23" i="6"/>
  <c r="D47" i="6"/>
  <c r="D29" i="6"/>
  <c r="N620" i="19"/>
  <c r="F47" i="6" s="1"/>
  <c r="H281" i="7"/>
  <c r="H440" i="7"/>
  <c r="N598" i="19"/>
  <c r="F29" i="6" s="1"/>
  <c r="N600" i="19" l="1"/>
  <c r="F31" i="6" s="1"/>
  <c r="F28" i="6" s="1"/>
  <c r="D26" i="6"/>
  <c r="D55" i="6"/>
  <c r="D44" i="6"/>
  <c r="N594" i="19"/>
  <c r="F26" i="6" s="1"/>
  <c r="F25" i="6" s="1"/>
  <c r="N587" i="19"/>
  <c r="F20" i="6" s="1"/>
  <c r="E25" i="6" l="1"/>
  <c r="E16" i="6" s="1"/>
  <c r="D31" i="6" l="1"/>
  <c r="D27" i="6"/>
  <c r="N633" i="19"/>
  <c r="F57" i="6" s="1"/>
  <c r="F56" i="6" s="1"/>
  <c r="I423" i="18"/>
  <c r="N627" i="19" l="1"/>
  <c r="F53" i="6" s="1"/>
  <c r="N589" i="19"/>
  <c r="F22" i="6" s="1"/>
  <c r="F18" i="6" s="1"/>
  <c r="N625" i="19"/>
  <c r="F51" i="6" l="1"/>
  <c r="F50" i="6" s="1"/>
  <c r="N613" i="19"/>
  <c r="N612" i="19"/>
  <c r="F42" i="6" l="1"/>
  <c r="F41" i="6" l="1"/>
  <c r="F36" i="6" s="1"/>
  <c r="H16" i="6" l="1"/>
  <c r="N622" i="19"/>
  <c r="F49" i="6" s="1"/>
  <c r="N621" i="19"/>
  <c r="F48" i="6" s="1"/>
  <c r="F46" i="6" l="1"/>
  <c r="D49" i="6"/>
  <c r="D53" i="6" l="1"/>
  <c r="D42" i="6" l="1"/>
  <c r="D52" i="6"/>
  <c r="D48" i="6"/>
  <c r="D46" i="6" s="1"/>
  <c r="D51" i="6" l="1"/>
  <c r="D57" i="6" l="1"/>
  <c r="D56" i="6" s="1"/>
  <c r="D41" i="6"/>
  <c r="H492" i="7"/>
  <c r="H491" i="7" s="1"/>
  <c r="H512" i="7"/>
  <c r="H511" i="7" s="1"/>
  <c r="H510" i="7" s="1"/>
  <c r="H509" i="7" s="1"/>
  <c r="D22" i="6" l="1"/>
  <c r="H405" i="18"/>
  <c r="H404" i="18" s="1"/>
  <c r="H267" i="7"/>
  <c r="H207" i="7"/>
  <c r="H387" i="7"/>
  <c r="H384" i="7" s="1"/>
  <c r="D54" i="6" l="1"/>
  <c r="H439" i="7" l="1"/>
  <c r="H375" i="18" l="1"/>
  <c r="H460" i="7" l="1"/>
  <c r="H22" i="7" l="1"/>
  <c r="H495" i="7" l="1"/>
  <c r="H494" i="7" s="1"/>
  <c r="H96" i="18" l="1"/>
  <c r="H384" i="18"/>
  <c r="H364" i="7" l="1"/>
  <c r="H363" i="7" s="1"/>
  <c r="H98" i="7"/>
  <c r="H97" i="7" s="1"/>
  <c r="H154" i="7" l="1"/>
  <c r="H153" i="7" s="1"/>
  <c r="H469" i="7" l="1"/>
  <c r="H304" i="7" l="1"/>
  <c r="H303" i="7" s="1"/>
  <c r="N631" i="19" l="1"/>
  <c r="H315" i="7" l="1"/>
  <c r="H332" i="7"/>
  <c r="H383" i="7" l="1"/>
  <c r="H382" i="7" s="1"/>
  <c r="I436" i="18" l="1"/>
  <c r="I435" i="18" s="1"/>
  <c r="I15" i="18" s="1"/>
  <c r="H436" i="18"/>
  <c r="H435" i="18" s="1"/>
  <c r="H454" i="18" s="1"/>
  <c r="H302" i="18"/>
  <c r="H301" i="18" s="1"/>
  <c r="H273" i="18"/>
  <c r="H268" i="18" s="1"/>
  <c r="H267" i="18" s="1"/>
  <c r="H248" i="18"/>
  <c r="I454" i="18" l="1"/>
  <c r="H171" i="18"/>
  <c r="H128" i="18"/>
  <c r="H196" i="18" l="1"/>
  <c r="H56" i="18"/>
  <c r="H48" i="18"/>
  <c r="H30" i="18"/>
  <c r="H28" i="18"/>
  <c r="H19" i="18"/>
  <c r="H432" i="18"/>
  <c r="H400" i="18"/>
  <c r="H379" i="18"/>
  <c r="H377" i="18"/>
  <c r="H368" i="18"/>
  <c r="H367" i="18" s="1"/>
  <c r="H338" i="18"/>
  <c r="H337" i="18" s="1"/>
  <c r="H336" i="18" s="1"/>
  <c r="H335" i="18" s="1"/>
  <c r="H332" i="18"/>
  <c r="H331" i="18" s="1"/>
  <c r="H329" i="18"/>
  <c r="H328" i="18" s="1"/>
  <c r="H313" i="18"/>
  <c r="H310" i="18"/>
  <c r="H307" i="18"/>
  <c r="H298" i="18"/>
  <c r="H295" i="18"/>
  <c r="H292" i="18"/>
  <c r="H289" i="18"/>
  <c r="H253" i="18"/>
  <c r="H252" i="18" s="1"/>
  <c r="H247" i="18"/>
  <c r="H235" i="18"/>
  <c r="H234" i="18" s="1"/>
  <c r="H203" i="18"/>
  <c r="H202" i="18" s="1"/>
  <c r="H201" i="18" s="1"/>
  <c r="H176" i="18"/>
  <c r="H175" i="18" s="1"/>
  <c r="H170" i="18"/>
  <c r="H126" i="18"/>
  <c r="H125" i="18" s="1"/>
  <c r="H118" i="18"/>
  <c r="H117" i="18" s="1"/>
  <c r="H370" i="18" l="1"/>
  <c r="H366" i="18" s="1"/>
  <c r="H288" i="18"/>
  <c r="H116" i="18"/>
  <c r="H169" i="18"/>
  <c r="H157" i="18" s="1"/>
  <c r="H246" i="18"/>
  <c r="H431" i="18"/>
  <c r="H430" i="18" s="1"/>
  <c r="H218" i="18"/>
  <c r="H217" i="18" s="1"/>
  <c r="H73" i="18"/>
  <c r="H72" i="18" s="1"/>
  <c r="H33" i="18"/>
  <c r="I451" i="18"/>
  <c r="H423" i="18"/>
  <c r="H144" i="18"/>
  <c r="H143" i="18" s="1"/>
  <c r="H195" i="18"/>
  <c r="H194" i="18" s="1"/>
  <c r="H52" i="18"/>
  <c r="H87" i="18"/>
  <c r="H25" i="18"/>
  <c r="H18" i="18" s="1"/>
  <c r="H327" i="18"/>
  <c r="H326" i="18" s="1"/>
  <c r="H262" i="18"/>
  <c r="H306" i="18"/>
  <c r="H32" i="18" l="1"/>
  <c r="H17" i="18" s="1"/>
  <c r="H115" i="18"/>
  <c r="H71" i="18"/>
  <c r="H451" i="18"/>
  <c r="H287" i="18"/>
  <c r="H286" i="18" s="1"/>
  <c r="H245" i="18"/>
  <c r="H86" i="18"/>
  <c r="H85" i="18" s="1"/>
  <c r="H365" i="18"/>
  <c r="H16" i="18" l="1"/>
  <c r="H15" i="18" s="1"/>
  <c r="K15" i="18" s="1"/>
  <c r="H447" i="18" l="1"/>
  <c r="H456" i="18" s="1"/>
  <c r="I456" i="18"/>
  <c r="H301" i="7"/>
  <c r="H300" i="7" s="1"/>
  <c r="I449" i="18" l="1"/>
  <c r="I455" i="18"/>
  <c r="I452" i="18"/>
  <c r="H455" i="18"/>
  <c r="H452" i="18"/>
  <c r="H449" i="18"/>
  <c r="E15" i="8" l="1"/>
  <c r="L15" i="18"/>
  <c r="N636" i="19"/>
  <c r="F59" i="6" s="1"/>
  <c r="F58" i="6" s="1"/>
  <c r="F16" i="6" s="1"/>
  <c r="I16" i="6" s="1"/>
  <c r="N623" i="19" l="1"/>
  <c r="N634" i="19"/>
  <c r="N596" i="19"/>
  <c r="N606" i="19"/>
  <c r="N601" i="19" l="1"/>
  <c r="N618" i="19"/>
  <c r="N614" i="19"/>
  <c r="N628" i="19"/>
  <c r="N592" i="19"/>
  <c r="H526" i="7" l="1"/>
  <c r="H525" i="7" l="1"/>
  <c r="H524" i="7" s="1"/>
  <c r="H18" i="7"/>
  <c r="H317" i="7" l="1"/>
  <c r="H411" i="7" l="1"/>
  <c r="H261" i="7"/>
  <c r="H269" i="7"/>
  <c r="H266" i="7" s="1"/>
  <c r="H263" i="7"/>
  <c r="H485" i="7" l="1"/>
  <c r="H483" i="7"/>
  <c r="H475" i="7"/>
  <c r="H474" i="7" s="1"/>
  <c r="H462" i="7"/>
  <c r="H482" i="7" l="1"/>
  <c r="H521" i="7"/>
  <c r="H516" i="7" s="1"/>
  <c r="H379" i="7"/>
  <c r="H378" i="7" s="1"/>
  <c r="H445" i="7" l="1"/>
  <c r="H444" i="7" s="1"/>
  <c r="H443" i="7" s="1"/>
  <c r="H442" i="7" s="1"/>
  <c r="H437" i="7"/>
  <c r="H436" i="7" s="1"/>
  <c r="H431" i="7"/>
  <c r="H430" i="7" s="1"/>
  <c r="H429" i="7" s="1"/>
  <c r="H427" i="7"/>
  <c r="H421" i="7"/>
  <c r="H420" i="7" s="1"/>
  <c r="H415" i="7"/>
  <c r="H414" i="7" s="1"/>
  <c r="H360" i="7"/>
  <c r="H357" i="7"/>
  <c r="H354" i="7"/>
  <c r="H351" i="7"/>
  <c r="H350" i="7" l="1"/>
  <c r="H435" i="7"/>
  <c r="H434" i="7" s="1"/>
  <c r="H419" i="7"/>
  <c r="H372" i="7"/>
  <c r="H375" i="7"/>
  <c r="H369" i="7"/>
  <c r="H426" i="7"/>
  <c r="H425" i="7" s="1"/>
  <c r="H313" i="7"/>
  <c r="H312" i="7" s="1"/>
  <c r="H275" i="7"/>
  <c r="H191" i="7"/>
  <c r="H311" i="7" l="1"/>
  <c r="H198" i="7"/>
  <c r="H197" i="7" s="1"/>
  <c r="H178" i="7"/>
  <c r="H240" i="7"/>
  <c r="H239" i="7" s="1"/>
  <c r="H238" i="7" s="1"/>
  <c r="H279" i="7"/>
  <c r="H278" i="7" s="1"/>
  <c r="H277" i="7" s="1"/>
  <c r="H174" i="7"/>
  <c r="H368" i="7"/>
  <c r="H349" i="7" s="1"/>
  <c r="H291" i="7"/>
  <c r="H290" i="7" s="1"/>
  <c r="H151" i="7"/>
  <c r="H149" i="7"/>
  <c r="H144" i="7"/>
  <c r="H143" i="7" s="1"/>
  <c r="H137" i="7"/>
  <c r="H136" i="7" s="1"/>
  <c r="H80" i="7"/>
  <c r="H79" i="7" s="1"/>
  <c r="H65" i="7"/>
  <c r="H57" i="7"/>
  <c r="H45" i="7"/>
  <c r="H32" i="7"/>
  <c r="H30" i="7"/>
  <c r="H257" i="7"/>
  <c r="H78" i="7" l="1"/>
  <c r="H173" i="7"/>
  <c r="H172" i="7" s="1"/>
  <c r="H166" i="7"/>
  <c r="H147" i="7"/>
  <c r="H146" i="7" s="1"/>
  <c r="H27" i="7"/>
  <c r="H17" i="7" s="1"/>
  <c r="H102" i="7"/>
  <c r="H135" i="7" l="1"/>
  <c r="H165" i="7"/>
  <c r="H134" i="7" l="1"/>
  <c r="H487" i="7"/>
  <c r="H322" i="7"/>
  <c r="H326" i="7"/>
  <c r="H321" i="7" l="1"/>
  <c r="H320" i="7" s="1"/>
  <c r="H310" i="7" s="1"/>
  <c r="H202" i="7"/>
  <c r="H196" i="7" s="1"/>
  <c r="H61" i="7" l="1"/>
  <c r="H106" i="7" l="1"/>
  <c r="H101" i="7" s="1"/>
  <c r="H100" i="7" l="1"/>
  <c r="D50" i="6"/>
  <c r="H464" i="7"/>
  <c r="H259" i="7"/>
  <c r="H256" i="7" s="1"/>
  <c r="H255" i="7" s="1"/>
  <c r="H454" i="7"/>
  <c r="D28" i="6" l="1"/>
  <c r="H515" i="7" l="1"/>
  <c r="H541" i="7" s="1"/>
  <c r="D25" i="6"/>
  <c r="H424" i="7"/>
  <c r="H418" i="7"/>
  <c r="H410" i="7"/>
  <c r="H409" i="7" s="1"/>
  <c r="H298" i="7"/>
  <c r="H297" i="7" s="1"/>
  <c r="H274" i="7"/>
  <c r="H231" i="7"/>
  <c r="H230" i="7" s="1"/>
  <c r="H193" i="7"/>
  <c r="H190" i="7"/>
  <c r="H289" i="7" l="1"/>
  <c r="H348" i="7"/>
  <c r="H265" i="7"/>
  <c r="H254" i="7" s="1"/>
  <c r="H189" i="7"/>
  <c r="H188" i="7" s="1"/>
  <c r="H288" i="7" l="1"/>
  <c r="H229" i="7" l="1"/>
  <c r="D43" i="6" l="1"/>
  <c r="H451" i="7" l="1"/>
  <c r="H450" i="7" s="1"/>
  <c r="N584" i="19" l="1"/>
  <c r="H467" i="7" l="1"/>
  <c r="H466" i="7" l="1"/>
  <c r="D20" i="6"/>
  <c r="D18" i="6" s="1"/>
  <c r="H453" i="7" l="1"/>
  <c r="H449" i="7" s="1"/>
  <c r="H448" i="7" s="1"/>
  <c r="H51" i="7"/>
  <c r="H48" i="7" s="1"/>
  <c r="H36" i="7" l="1"/>
  <c r="H16" i="7" s="1"/>
  <c r="H15" i="7" s="1"/>
  <c r="H14" i="7" s="1"/>
  <c r="D38" i="6" l="1"/>
  <c r="D36" i="6" s="1"/>
  <c r="C15" i="8"/>
  <c r="H537" i="7"/>
  <c r="H543" i="7" s="1"/>
  <c r="H542" i="7" s="1"/>
  <c r="D16" i="6" l="1"/>
  <c r="G16" i="6" s="1"/>
  <c r="H539" i="7"/>
  <c r="J14" i="7"/>
</calcChain>
</file>

<file path=xl/sharedStrings.xml><?xml version="1.0" encoding="utf-8"?>
<sst xmlns="http://schemas.openxmlformats.org/spreadsheetml/2006/main" count="14988" uniqueCount="561">
  <si>
    <t>Администрация муниципального образования Апшеронский район</t>
  </si>
  <si>
    <t>902</t>
  </si>
  <si>
    <t>Финансовое управление администрации муниципального образования Апшеронский район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</si>
  <si>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</si>
  <si>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 муниципальных районов</t>
  </si>
  <si>
    <t>Управление имущественных отношений администрации муниципального образования Апшеронский район</t>
  </si>
  <si>
    <t>Управление образования администрации муниципального образования Апшеронский район</t>
  </si>
  <si>
    <t>Отдел культуры администрации муниципального образования Апшеронский район</t>
  </si>
  <si>
    <t>Отдел по физической культуре и спорту администрации муниципального образования Апшеронский район</t>
  </si>
  <si>
    <t>Отдел по делам молодежи администрации муниципального образования Апшеронский район</t>
  </si>
  <si>
    <t>Отдел по вопросам семьи и детства администрации муниципального образования Апшеронский район</t>
  </si>
  <si>
    <t>Код</t>
  </si>
  <si>
    <t>Наименование дохода</t>
  </si>
  <si>
    <t>Сумма</t>
  </si>
  <si>
    <t>2 00 00000 00 0000 000</t>
  </si>
  <si>
    <t>2 02 00000 00 0000 000</t>
  </si>
  <si>
    <t>Безвозмездные поступления от других бюджетов бюджетной системы Российской Федерации</t>
  </si>
  <si>
    <t>(тыс. рублей)</t>
  </si>
  <si>
    <t>№ п\п</t>
  </si>
  <si>
    <t>Наименование</t>
  </si>
  <si>
    <t>Вед</t>
  </si>
  <si>
    <t>РЗ</t>
  </si>
  <si>
    <t>ПР</t>
  </si>
  <si>
    <t>ЦСР</t>
  </si>
  <si>
    <t>ВР</t>
  </si>
  <si>
    <t>3</t>
  </si>
  <si>
    <t>4</t>
  </si>
  <si>
    <t>5</t>
  </si>
  <si>
    <t>6</t>
  </si>
  <si>
    <t>7</t>
  </si>
  <si>
    <t>Контрольно-счетная палата муниципального образования Апшеронский район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</si>
  <si>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</si>
  <si>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</si>
  <si>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</si>
  <si>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</si>
  <si>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муниципального образования Апшеронский район "Организация муниципального управления"</t>
  </si>
  <si>
    <t>17</t>
  </si>
  <si>
    <t>0</t>
  </si>
  <si>
    <t>00</t>
  </si>
  <si>
    <t>00000</t>
  </si>
  <si>
    <t>1</t>
  </si>
  <si>
    <t xml:space="preserve">Обеспечение деятельности высшего должностного лица муниципального образования </t>
  </si>
  <si>
    <t>Расходы на обеспечение функций органов местного самоуправления</t>
  </si>
  <si>
    <t>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</si>
  <si>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</si>
  <si>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</si>
  <si>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</si>
  <si>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</si>
  <si>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муниципального образования  Апшеронский район "Организация муниципального управления"</t>
  </si>
  <si>
    <t>Обеспечение деятельности администрации муниципального образования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</si>
  <si>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</si>
  <si>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</si>
  <si>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</si>
  <si>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</si>
  <si>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</si>
  <si>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</si>
  <si>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60910</t>
  </si>
  <si>
    <t>Развитие муниципального управления</t>
  </si>
  <si>
    <t>03</t>
  </si>
  <si>
    <t>Административная реформа</t>
  </si>
  <si>
    <t>05</t>
  </si>
  <si>
    <t>Резервные фонды</t>
  </si>
  <si>
    <t>11</t>
  </si>
  <si>
    <t>99</t>
  </si>
  <si>
    <t>90010</t>
  </si>
  <si>
    <t>Другие общегосударственные вопросы</t>
  </si>
  <si>
    <t>13</t>
  </si>
  <si>
    <t>Муниципальная программа муниципального образования Апшеронский район "Поддержка социально ориентированных некоммерческих организаций"</t>
  </si>
  <si>
    <t>15</t>
  </si>
  <si>
    <t>Субсидии на поддержку социально ориентированных некоммерческих организаций</t>
  </si>
  <si>
    <t>11600</t>
  </si>
  <si>
    <t>Предоставление субсидий бюджетным, автономным учреждениям и иным некоммерческим организациям</t>
  </si>
  <si>
    <t>600</t>
  </si>
  <si>
    <t>Национальная безопасность и правоохранительная деятельность</t>
  </si>
  <si>
    <t>09</t>
  </si>
  <si>
    <t>Муниципальная программа муниципального образования Апшеронский район "Обеспечение безопасности населения"</t>
  </si>
  <si>
    <t>06</t>
  </si>
  <si>
    <t>Предупреждение и ликвидация чрезвычайных ситуаций, стихийных бедствий и их последствий в муниципальном образовании</t>
  </si>
  <si>
    <t>Обеспечение защиты населения и территории муниципального образования Апшеронский район от чрезвычайных ситуаций природного и техногенного характера</t>
  </si>
  <si>
    <t>10600</t>
  </si>
  <si>
    <t>Реализация мероприятий муниципальной программы "Обеспечение безопасности населения"</t>
  </si>
  <si>
    <t>10660</t>
  </si>
  <si>
    <t>Другие вопросы в области национальной безопасности и правоохранительной деятельности</t>
  </si>
  <si>
    <t>14</t>
  </si>
  <si>
    <t>2</t>
  </si>
  <si>
    <t>10610</t>
  </si>
  <si>
    <t>00590</t>
  </si>
  <si>
    <t>Национальная экономика</t>
  </si>
  <si>
    <t>Сельское хозяйство и рыболовство</t>
  </si>
  <si>
    <t xml:space="preserve">Муниципальная программа муниципального образования  Апшеронский район "Развитие сельского хозяйства" </t>
  </si>
  <si>
    <t>Развитие малых форм хозяйствования в АПК в муниципальном образовании Апшеронский район</t>
  </si>
  <si>
    <t>Обеспечение эпизоотического, ветеринарно-санитарного благополучия в муниципальном образовании Апшеронский район</t>
  </si>
  <si>
    <t>61650</t>
  </si>
  <si>
    <t>Дорожное хозяйство (дорожные фонды)</t>
  </si>
  <si>
    <t>Муниципальная программа муниципального образования Апшеронский район "Поддержка дорожного хозяйства"</t>
  </si>
  <si>
    <t>12</t>
  </si>
  <si>
    <t>Создание устойчивого и безопасного функционирования автомобильных дорог общего пользования местного значения муниципального образования Апшеронский район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</si>
  <si>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проектно-изыскательские работы</t>
  </si>
  <si>
    <t>11300</t>
  </si>
  <si>
    <t>10</t>
  </si>
  <si>
    <t>11820</t>
  </si>
  <si>
    <t>Другие вопросы в области национальной экономики</t>
  </si>
  <si>
    <t>Муниципальная программа муниципального образования Апшеронский район "Экономическое развитие муниципального образования"</t>
  </si>
  <si>
    <t>Развитие малого и среднего предпринимательства в муниципальном образовании</t>
  </si>
  <si>
    <t>Финансовая поддержка субъектов малого и среднего предпринимательства</t>
  </si>
  <si>
    <t>Развитие и поддержка малого и среднего предпринимательства</t>
  </si>
  <si>
    <t>11400</t>
  </si>
  <si>
    <t>Инвестиционное развитие муниципального образования</t>
  </si>
  <si>
    <t>Создание условий для инвестиционного развития муниципального образования Апшеронский район</t>
  </si>
  <si>
    <t>Формирование и продвижение экономически и инвестиционно привлекательного образа муниципального образования Апшеронский район за его пределами</t>
  </si>
  <si>
    <t>11410</t>
  </si>
  <si>
    <t>Муниципальная программа муниципального образования Апшеронский район "Развитие санаторно-курортного и туристского комплекса"</t>
  </si>
  <si>
    <t xml:space="preserve">Реализация мероприятий муниципальной программы "Развитие санаторно-курортного и туристского комплекса" </t>
  </si>
  <si>
    <t>11500</t>
  </si>
  <si>
    <t>Социальная политика</t>
  </si>
  <si>
    <t>Социальное обеспечение и иные выплаты населению</t>
  </si>
  <si>
    <t>300</t>
  </si>
  <si>
    <t>Другие  вопросы в области социальной политики</t>
  </si>
  <si>
    <t>Межбюджетные трансферты</t>
  </si>
  <si>
    <t>500</t>
  </si>
  <si>
    <t>Профилактика терроризма и экстремизма в муниципальном образовании</t>
  </si>
  <si>
    <t>Организация физической охраны в здании администрации муниципального образования Апшеронский район</t>
  </si>
  <si>
    <t>Мероприятия по профилактике терроризма и экстремизма</t>
  </si>
  <si>
    <t>910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</si>
  <si>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</si>
  <si>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Контрольно-счетной палаты муниципального образования</t>
  </si>
  <si>
    <t>51</t>
  </si>
  <si>
    <t>Контрольно-счетная палата муниципального образования</t>
  </si>
  <si>
    <t>20010</t>
  </si>
  <si>
    <t>1 00 00000 00 0000 000</t>
  </si>
  <si>
    <t>Налоговые и неналоговые доходы</t>
  </si>
  <si>
    <t>1 01 01000 00 0000 110</t>
  </si>
  <si>
    <t>Налог на прибыль организаций*</t>
  </si>
  <si>
    <t>1 01 02000 01 0000 110</t>
  </si>
  <si>
    <t>Налог на доходы физических лиц*</t>
  </si>
  <si>
    <t>1 03 02230 01 0000 110
1 03 02240 01 0000 110
1 03 02250 01 0000 110
1 03 02260 01 0000 110</t>
  </si>
  <si>
    <t>1 05 02000 02 0000 110</t>
  </si>
  <si>
    <t>1 05 03000 01 0000 110</t>
  </si>
  <si>
    <t>Единый сельскохозяйственный налог*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</si>
  <si>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</si>
  <si>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</si>
  <si>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</si>
  <si>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пошлина*</t>
  </si>
  <si>
    <t>1 11 01050 05 0000 120</t>
  </si>
  <si>
    <t>1 11 05010 00 0000 120</t>
  </si>
  <si>
    <t>1 11 07015 05 0000 120</t>
  </si>
  <si>
    <t>1 12 01000 01 0000 120</t>
  </si>
  <si>
    <t>Плата за негативное воздействие на окружающую среду*</t>
  </si>
  <si>
    <t>1 14 00000 00 0000 000</t>
  </si>
  <si>
    <t>Доходы от продажи материальных и нематериальных активов*</t>
  </si>
  <si>
    <t>1 16 00000 00 0000 000</t>
  </si>
  <si>
    <t>Штрафы, санкции, возмещение ущерба*</t>
  </si>
  <si>
    <t>Иные межбюджетные трансферты*</t>
  </si>
  <si>
    <t>Всего доходов</t>
  </si>
  <si>
    <t>Распределение бюджетных ассигнований по разделам и подразделам</t>
  </si>
  <si>
    <t>№ п/п</t>
  </si>
  <si>
    <t>Всего расходов</t>
  </si>
  <si>
    <t>в том числе:</t>
  </si>
  <si>
    <t>0100</t>
  </si>
  <si>
    <t>0102</t>
  </si>
  <si>
    <t xml:space="preserve">Функционирование высшего должностного лица субъекта Российской Федерации и муниципального образования   </t>
  </si>
  <si>
    <t>0104</t>
  </si>
  <si>
    <t>0106</t>
  </si>
  <si>
    <t>0111</t>
  </si>
  <si>
    <t>0113</t>
  </si>
  <si>
    <t>0300</t>
  </si>
  <si>
    <t>0314</t>
  </si>
  <si>
    <t>0400</t>
  </si>
  <si>
    <t>0405</t>
  </si>
  <si>
    <t>0409</t>
  </si>
  <si>
    <t>0412</t>
  </si>
  <si>
    <t>0500</t>
  </si>
  <si>
    <t>Жилищно-коммунальное хозяйство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</si>
  <si>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</si>
  <si>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</si>
  <si>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</si>
  <si>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</si>
  <si>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</si>
  <si>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</si>
  <si>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</si>
  <si>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</si>
  <si>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</si>
  <si>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</si>
  <si>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</si>
  <si>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</si>
  <si>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</si>
  <si>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</si>
  <si>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</si>
  <si>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Охрана семьи и детства</t>
  </si>
  <si>
    <t>Другие вопросы в области социальной политики</t>
  </si>
  <si>
    <t xml:space="preserve">Физическая культура и спорт </t>
  </si>
  <si>
    <t>1102</t>
  </si>
  <si>
    <t>Массовый спорт</t>
  </si>
  <si>
    <t>1105</t>
  </si>
  <si>
    <t>Другие вопросы в области физической культуры и спорта</t>
  </si>
  <si>
    <t xml:space="preserve">Межбюджетные трансферты общего характера бюджетам бюджетной системы Российской Федерации </t>
  </si>
  <si>
    <t>Дотации на выравнивание бюджетной обеспеченности субъектов Российской Федерации и муниципальных образований</t>
  </si>
  <si>
    <t>ВСЕГО</t>
  </si>
  <si>
    <t>Капитальные вложения в объекты государственной (муниципальной) собственности</t>
  </si>
  <si>
    <t>400</t>
  </si>
  <si>
    <t>Муниципальная программа муниципального образования Апшеронский район "Развитие образования"</t>
  </si>
  <si>
    <t>Развитие дошкольного и общего образования детей</t>
  </si>
  <si>
    <t>Мероприятия по повышению уровня безопасности  муниципальных образовательных учреждений</t>
  </si>
  <si>
    <t>Реализация мероприятий муниципальной программы "Развитие образования"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</si>
  <si>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</si>
  <si>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Развитие дополнительного образования детей</t>
  </si>
  <si>
    <t>Стипендии главы муниципального образования Апшеронский район для одаренных детей</t>
  </si>
  <si>
    <t>Обеспечение реализации муниципальной программы и прочие мероприятия в области образования</t>
  </si>
  <si>
    <t>Муниципальная программа муниципального образования Апшеронский район "Развитие культуры"</t>
  </si>
  <si>
    <t>Совершенствование деятельности муниципальных учреждений отрасли "Культура и искусство" по предоставлению муниципальных услуг</t>
  </si>
  <si>
    <t>Организация библиотечного обслуживания населения, комплектование библиотечных фондов библиотек поселения</t>
  </si>
  <si>
    <t>Обеспечение реализации муниципальной программы и прочие мероприятия в сфере культуры и искусства</t>
  </si>
  <si>
    <t>Муниципальная программа муниципального образования Апшеронский район "Развитие физической культуры и спорта"</t>
  </si>
  <si>
    <t>Развитие физической культуры и массового спорта</t>
  </si>
  <si>
    <t>Реализация мероприятий муниципальной программы "Развитие физической культуры и спорта"</t>
  </si>
  <si>
    <t>Управление реализацией муниципальной программы</t>
  </si>
  <si>
    <t>Муниципальная программа муниципального образования Апшеронский район "Развитие молодежной политики"</t>
  </si>
  <si>
    <t>Молодежь Апшеронского района</t>
  </si>
  <si>
    <t>Муниципальная программа муниципального образования Апшеронский район "Управление муниципальными финансами"</t>
  </si>
  <si>
    <t>07</t>
  </si>
  <si>
    <t>Муниципальная программа муниципального образования Апшеронский район "Управление муниципальным имуществом"</t>
  </si>
  <si>
    <t>08</t>
  </si>
  <si>
    <t>Повышение эффективности управления муниципальным имуществом и приватизации</t>
  </si>
  <si>
    <t>Оценка недвижимости, признание прав и регулирование отношений по муниципальной собственности</t>
  </si>
  <si>
    <t>Управление реализацией муниципальной программы и прочие мероприятия</t>
  </si>
  <si>
    <t xml:space="preserve">Муниципальная программа муниципального образования Апшеронский район "Социальная поддержка граждан" 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</si>
  <si>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</si>
  <si>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</si>
  <si>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Муниципальная программа муниципального образования Апшеронский район "Доступная среда"</t>
  </si>
  <si>
    <t>20</t>
  </si>
  <si>
    <t>Реализация мероприятий муниципальной программы "Доступная среда"</t>
  </si>
  <si>
    <t>Осуществление внешнего муниципального финансового контроля</t>
  </si>
  <si>
    <t>программы</t>
  </si>
  <si>
    <t>непрограммные</t>
  </si>
  <si>
    <t>(тыс.рублей)</t>
  </si>
  <si>
    <t>000 01 00 00 00 00 0000 000</t>
  </si>
  <si>
    <t>Источники внутреннего финансирования дефицитов бюджетов, всего</t>
  </si>
  <si>
    <t>000 01 05 00 00 00 0000 000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</si>
  <si>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</si>
  <si>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</si>
  <si>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</si>
  <si>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</si>
  <si>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</si>
  <si>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Увеличение прочих остатков денежных средств бюджетов</t>
  </si>
  <si>
    <t>000 01 05 02 01 05 0000 510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</si>
  <si>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</si>
  <si>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</si>
  <si>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</si>
  <si>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</si>
  <si>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</si>
  <si>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</si>
  <si>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000 01 05 02 01 05 0000 610</t>
  </si>
  <si>
    <t>Дотации на выравнивание бюджетной обеспеченности поселений</t>
  </si>
  <si>
    <t>60070</t>
  </si>
  <si>
    <t>Оказание финансовой поддержки социально ориентированным некоммерческим организациям</t>
  </si>
  <si>
    <t>Содействие развитию дошкольного образования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</si>
  <si>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</si>
  <si>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60820</t>
  </si>
  <si>
    <t>60860</t>
  </si>
  <si>
    <t>Обеспечение мероприятий по противодействию терроризму и экстремизму</t>
  </si>
  <si>
    <t>Содействие развитию общего образования</t>
  </si>
  <si>
    <t>10200</t>
  </si>
  <si>
    <t>10210</t>
  </si>
  <si>
    <t>62370</t>
  </si>
  <si>
    <t>Содействие развитию дополнительного образования детей</t>
  </si>
  <si>
    <t>Выявление и поддержка одаренных детей</t>
  </si>
  <si>
    <t xml:space="preserve">Стипендии главы муниципального образования Апшеронский район для одаренных детей </t>
  </si>
  <si>
    <t>00300</t>
  </si>
  <si>
    <t>12100</t>
  </si>
  <si>
    <t>Создание условий для полноценного и безопасного отдыха детей в каникулярное время</t>
  </si>
  <si>
    <t>Совершенствование управления реализацией Программы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</si>
  <si>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 образовательную программу дошкольного образования</t>
  </si>
  <si>
    <t>60710</t>
  </si>
  <si>
    <t>Совершенствование социальной поддержки семьи и детей</t>
  </si>
  <si>
    <t>Создание условий для формирования доступной среды жизнедеятельности для инвалидов и других маломобильных групп населения</t>
  </si>
  <si>
    <t>934</t>
  </si>
  <si>
    <t>Развитие и реализация потенциала молодежи в интересах Кубани, формирование благоприятной среды, обеспечивающей всестороннее развитие личности</t>
  </si>
  <si>
    <t xml:space="preserve">Реализация мероприятий муниципальной программы "Развитие молодежной политики" </t>
  </si>
  <si>
    <t>10500</t>
  </si>
  <si>
    <t>929</t>
  </si>
  <si>
    <t>Формирование здорового образа жизни и гармоничное воспитание здорового,  физически крепкого поколения</t>
  </si>
  <si>
    <t>10400</t>
  </si>
  <si>
    <t xml:space="preserve">Массовый спорт </t>
  </si>
  <si>
    <t>953</t>
  </si>
  <si>
    <t>Муниципальная программа муниципального образования Апшеронский район "Социальная поддержка граждан"</t>
  </si>
  <si>
    <t>Другие вопросы в области социальной политики</t>
  </si>
  <si>
    <t>Создание условий для эффективного управления и распоряжения муниципальным имуществом Апшеронского района в целях увеличения доходной части бюджета муниципального образования</t>
  </si>
  <si>
    <t>10800</t>
  </si>
  <si>
    <t>Повышение эффективности осуществления закупок товаров, работ, услуг для муниципальных нужд и нужд бюджетных учреждений муниципального образования</t>
  </si>
  <si>
    <t>Государственная поддержка решения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</si>
  <si>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Создание условий для эффективного управления в сфере развития системы управления муниципальным имуществом, находящимся в муниципальной собственности</t>
  </si>
  <si>
    <t>905</t>
  </si>
  <si>
    <t>Создание условий для эффективного и ответственного управления муниципальными финансами</t>
  </si>
  <si>
    <t xml:space="preserve">Выравнивание финансовых возможностей бюджетов </t>
  </si>
  <si>
    <t>Субсидии бюджетам бюджетной системы Российской Федерации (межбюджетные субсидии)*</t>
  </si>
  <si>
    <t>Создание условий для развития санаторно-курортного и туристского комплекса муниципального образования Апшеронский район</t>
  </si>
  <si>
    <t>1 11 05075 05 0000 120</t>
  </si>
  <si>
    <t>1 05 01000 00 0000 110</t>
  </si>
  <si>
    <t>Налог, взимаемый в связи с применением упрощенной системы налогообложения*</t>
  </si>
  <si>
    <t>Безвозмездные поступления</t>
  </si>
  <si>
    <t xml:space="preserve">* По видам и подвидам доходов, входящим в соответствующий группировочный код бюджетной классификации, зачисляемым в районный бюджет в соответствии с законодательством Российской Федерации.   </t>
  </si>
  <si>
    <t>926</t>
  </si>
  <si>
    <t>Реализация мероприятий муниципальной программы  "Развитие культуры"</t>
  </si>
  <si>
    <t>10300</t>
  </si>
  <si>
    <t>Содействие развитию библиотечного дела</t>
  </si>
  <si>
    <t>20020</t>
  </si>
  <si>
    <t>Содействие развитию культурно-досуговых организаций</t>
  </si>
  <si>
    <t>Организация, проведение и участие в конкурсах, фестивалях, концертах, выставках, приемах, конференциях, форумах, акциях, праздниках, семинарах, экспедициях в рамках их организации и поддержки</t>
  </si>
  <si>
    <t xml:space="preserve">Другие вопросы в области культуры, кинематографии </t>
  </si>
  <si>
    <t>Физическая культура и спорт</t>
  </si>
  <si>
    <t>Обеспечение деятельности  муниципального казенного учреждения "Ситуационный центр "Комплексное обеспечение безопасности жизнедеятельности"</t>
  </si>
  <si>
    <t>Осуществление части полномочий по решению вопросов местного значения в соответствии с заключенными соглашениями</t>
  </si>
  <si>
    <t>Рз,Пр</t>
  </si>
  <si>
    <t>000 01 05 02 01 00 0000 510</t>
  </si>
  <si>
    <t>Сохранение и развитие традиционной народной культуры муниципального образования</t>
  </si>
  <si>
    <t xml:space="preserve">Сохранение и развитие традиционной народной культуры муниципального образования </t>
  </si>
  <si>
    <t>Единый налог на вмененный доход для отдельных видов деятельности</t>
  </si>
  <si>
    <t>10670</t>
  </si>
  <si>
    <t>10690</t>
  </si>
  <si>
    <t>10680</t>
  </si>
  <si>
    <t>Реализация полномочий в области строительства, архитектуры и градостроительства</t>
  </si>
  <si>
    <t xml:space="preserve">Муниципальная программа муниципального образования Апшеронский район "Развитие топливно-энергетического комплекса и жилищно-коммунального хозяйства" </t>
  </si>
  <si>
    <t>Коммунальное хозяйство</t>
  </si>
  <si>
    <t>Газификация населенных пунктов поселений муниципального образования Апшеронский район</t>
  </si>
  <si>
    <t>0502</t>
  </si>
  <si>
    <t>10820</t>
  </si>
  <si>
    <t>Выполнение других обязательств муниципального образования</t>
  </si>
  <si>
    <t>Содержание имущества, находящегося в муниципальной казне</t>
  </si>
  <si>
    <t>Основные мероприятия муниципальной программы</t>
  </si>
  <si>
    <t>Иные межбюджетные трансферты на организацию участия аварийно-спасательного отряда в ликвидации чрезвычайных ситуаций и иных происшествий на территории сельских поселений Апшеронского района</t>
  </si>
  <si>
    <t>Иные межбюджетные трансферты на реализацию полномочий по участию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</si>
  <si>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Иные межбюджетные трансферты на реализацию полномочий по организации и осуществлению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</si>
  <si>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Субвенции бюджетам бюджетной системы Российской Федерации*</t>
  </si>
  <si>
    <t xml:space="preserve">Дотации бюджетам бюджетной системы Российской Федерации* 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</si>
  <si>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</si>
  <si>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62500</t>
  </si>
  <si>
    <t>1 11 09045 05 0000 120</t>
  </si>
  <si>
    <t>0703</t>
  </si>
  <si>
    <t>Дополнительное образование детей</t>
  </si>
  <si>
    <t xml:space="preserve">Молодежная политика </t>
  </si>
  <si>
    <t>Информатизация деятельности органов местного самоуправления</t>
  </si>
  <si>
    <t>Мероприятия по информатизации администрации муниципального образования, ее отраслевых (функциональных) органов</t>
  </si>
  <si>
    <t>11840</t>
  </si>
  <si>
    <t>Обеспечение информационной открытости и доступности информации о деятельности органов местного самоуправления</t>
  </si>
  <si>
    <t>Пенсионное обеспечение</t>
  </si>
  <si>
    <t>11850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</si>
  <si>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</si>
  <si>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</si>
  <si>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</si>
  <si>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Физическая культура</t>
  </si>
  <si>
    <t>Содействие развитию спортивных организаций</t>
  </si>
  <si>
    <t>Условно утвержденные расходы</t>
  </si>
  <si>
    <t>% УУР</t>
  </si>
  <si>
    <t>УУР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</si>
  <si>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</si>
  <si>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аппарат соцсферы</t>
  </si>
  <si>
    <t>соцкультсфера (без аппарата)</t>
  </si>
  <si>
    <t>Система комплексного обеспечения безопасности жизнедеятельности муниципального образования. Построение и развитие АПК "Безопасный город"</t>
  </si>
  <si>
    <t>10810</t>
  </si>
  <si>
    <t>Мероприятия по землеустройству и землепользованию</t>
  </si>
  <si>
    <t>Обеспечение строительства газопроводов на территории муниципального образования Апшеронский район</t>
  </si>
  <si>
    <t>20030</t>
  </si>
  <si>
    <t>Осуществление части полномочий по исполнению бюджета поселения</t>
  </si>
  <si>
    <t>Прочие обязательства муниципального образования</t>
  </si>
  <si>
    <t>62600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</si>
  <si>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</si>
  <si>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Начальник Финансового управления</t>
  </si>
  <si>
    <t xml:space="preserve">администрации муниципального образования </t>
  </si>
  <si>
    <t>Апшеронский район</t>
  </si>
  <si>
    <t>Обеспечение своевременности и полноты исполнения долговых обязательств муниципального образования</t>
  </si>
  <si>
    <t>Процентные платежи по муниципальному долгу</t>
  </si>
  <si>
    <t>11810</t>
  </si>
  <si>
    <t>Обслуживание государственного (муниципального) долга</t>
  </si>
  <si>
    <t>700</t>
  </si>
  <si>
    <t>11880</t>
  </si>
  <si>
    <t>Материально-техническое обеспечение деятельности органов местного самоуправления муниципального образования</t>
  </si>
  <si>
    <t>09020</t>
  </si>
  <si>
    <t>000 01 03 00 00 00 0000 000</t>
  </si>
  <si>
    <t>000 01 03 01 00 00 0000 000</t>
  </si>
  <si>
    <t>000 01 03 01 00 00 0000 800</t>
  </si>
  <si>
    <t>000 01 03 01 00 05 0000 810</t>
  </si>
  <si>
    <t>1300</t>
  </si>
  <si>
    <t>1301</t>
  </si>
  <si>
    <t>Судебная система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</si>
  <si>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</si>
  <si>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</si>
  <si>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1 13 00000 00 0000 000</t>
  </si>
  <si>
    <t>О.В.Чуйко</t>
  </si>
  <si>
    <t>0105</t>
  </si>
  <si>
    <t>60740</t>
  </si>
  <si>
    <t>2 02 10000 00 0000 150</t>
  </si>
  <si>
    <t>2 02 20000 00 0000 150</t>
  </si>
  <si>
    <t>2 02 30000 00 0000 150</t>
  </si>
  <si>
    <t>Доходы от оказания платных услуг и компенсации затрат государства*</t>
  </si>
  <si>
    <t>10700</t>
  </si>
  <si>
    <t>2 02 40000 00 0000 150</t>
  </si>
  <si>
    <t>2022 год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</si>
  <si>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</si>
  <si>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S2820</t>
  </si>
  <si>
    <t>Совершенствование спортивной инфраструктуры и материально-технической базы для занятий физической культурой и массовым спортом</t>
  </si>
  <si>
    <t>16</t>
  </si>
  <si>
    <t>Создание условий для организации досуга и обеспечения жителей услугами организаций культуры</t>
  </si>
  <si>
    <t>S0560</t>
  </si>
  <si>
    <t>921</t>
  </si>
  <si>
    <t>S0620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</si>
  <si>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</si>
  <si>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С0820</t>
  </si>
  <si>
    <t>925</t>
  </si>
  <si>
    <t>1 06 02000 02 0000 110</t>
  </si>
  <si>
    <t>Налог на имущество организаций*</t>
  </si>
  <si>
    <t>Профилактика терроризма</t>
  </si>
  <si>
    <t>S0460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</si>
  <si>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</si>
  <si>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 xml:space="preserve"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</si>
  <si>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</si>
  <si>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Муниципальная программа муниципального образования Апшеронский район «Развитие образования»</t>
  </si>
  <si>
    <t>Обеспечение условий для развития физической культуры и массового спорта в части оплаты труда инструкторов по спорту</t>
  </si>
  <si>
    <t>63110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</si>
  <si>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</si>
  <si>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 xml:space="preserve"> </t>
  </si>
  <si>
    <t xml:space="preserve">Выплата пенсии за выслугу лет лицам, замещавшим муниципальные должности и должности муниципальной службы в органах местного самоуправления 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</si>
  <si>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чрезвычайной ситуации</t>
  </si>
  <si>
    <t>Резервный фонд администрации муниципального образования</t>
  </si>
  <si>
    <t>Непрограммные расходы органов местного самоуправления</t>
  </si>
  <si>
    <t>Непрограммные расходы</t>
  </si>
  <si>
    <t>Меры государственной поддержки лиц, замещавших муниципальные должности и должности муниципальной службы муниципального образования Апшеронский район</t>
  </si>
  <si>
    <t>Меры государственной поддержки лиц, замещавших муниципальные должности и  должности муниципальной службы муниципального образования Апшеронский район</t>
  </si>
  <si>
    <t xml:space="preserve">Непрограммные расходы органов 
местного самоуправления
</t>
  </si>
  <si>
    <t>Мероприятия по предупреждению и ликвидации чрезвычайных ситуаций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</si>
  <si>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</si>
  <si>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</si>
  <si>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</si>
  <si>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Обслуживание государственного (муниципального) внутреннего долга</t>
  </si>
  <si>
    <t>2023 год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</si>
  <si>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</si>
  <si>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</si>
  <si>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</si>
  <si>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обеспечение деятельности (оказание услуг) муниципальных учреждений</t>
  </si>
  <si>
    <t>Осуществление капитального ремонта</t>
  </si>
  <si>
    <t>Мероприятия по пожарной безопасности</t>
  </si>
  <si>
    <t>10640</t>
  </si>
  <si>
    <t>Пожарная безопасность в органах местного самоуправления</t>
  </si>
  <si>
    <t>Молодежная политика</t>
  </si>
  <si>
    <t>00400</t>
  </si>
  <si>
    <t>Мероприятия по организации отдыха детей в каникулярное время</t>
  </si>
  <si>
    <t>Профилактика терроризма и экстремизма в органах местного самоуправления</t>
  </si>
  <si>
    <t xml:space="preserve">Мероприятия по информатизации администрации муниципального образования, ее отраслевых (функциональных) органов </t>
  </si>
  <si>
    <t xml:space="preserve">Мероприятия по пожарной безопасности </t>
  </si>
  <si>
    <t>F3</t>
  </si>
  <si>
    <t>67483</t>
  </si>
  <si>
    <t>67484</t>
  </si>
  <si>
    <t>Федеральный проект "Обеспечение устойчивого сокращения непригодного для проживания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</si>
  <si>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</si>
  <si>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Жилищное хозяйство</t>
  </si>
  <si>
    <t xml:space="preserve">Доходы от уплаты акцизов на дизельное топливо, моторные масла для дизельных и (или) карбюраторных (инжекторных) двигателей,  автомобильный бензин,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бюджеты*
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</si>
  <si>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</si>
  <si>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</si>
  <si>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</si>
  <si>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</t>
  </si>
  <si>
    <t>Переселение граждан из аварийного жилищного фонда</t>
  </si>
  <si>
    <t>8</t>
  </si>
  <si>
    <t>Наименование кода группы, подгруппы, статьи, элемента, подвида, аналитической группы вида источников финансирования дефицитов бюджетов</t>
  </si>
  <si>
    <t>P5</t>
  </si>
  <si>
    <t>Федеральный проект "Спорт – норма жизни"</t>
  </si>
  <si>
    <t>Оснащение объектов спортивной инфраструктуры спортивно-технологическим оборудованием</t>
  </si>
  <si>
    <t>Укрепление правопорядка, профилактика правонарушений, усиление борьбы с преступностью в муниципальном образовании</t>
  </si>
  <si>
    <t>Повышение эффективности мер, принимаемых для охраны общественного порядка и профилактики правонарушений  в муниципальном образовании</t>
  </si>
  <si>
    <t>1 11 00000 00 0000 000</t>
  </si>
  <si>
    <t>Доходы от использования имущества, находящегося в государственной и муниципальной собственности*, в том числе: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</si>
  <si>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 муниципальным районам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</si>
  <si>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участков*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</si>
  <si>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</si>
  <si>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муниципальными районами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</si>
  <si>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</si>
  <si>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52280</t>
  </si>
  <si>
    <t>Благоустройство</t>
  </si>
  <si>
    <t>Муниципальная программа муниципального образования Апшеронский район "Развитие топливно-энергетического комплекса и жилищно-коммунального хозяйства"</t>
  </si>
  <si>
    <t>Обращение с твердыми коммунальными отходами на территории сельских поселений Апшеронского района</t>
  </si>
  <si>
    <t>Обеспечение мероприятий в области обращения с твердыми коммунальными отходами</t>
  </si>
  <si>
    <t>Создание и содержание мест (площадок) накопления твердых коммунальных отходов</t>
  </si>
  <si>
    <t>11200</t>
  </si>
  <si>
    <t>0503</t>
  </si>
  <si>
    <t>Организация газоснабжения населения (поселений) (строительство подводящих газопроводов, распределительных газопроводов)</t>
  </si>
  <si>
    <t>S0470</t>
  </si>
  <si>
    <t>Строительство, реконструкция (в том числе реконструкция объектов незавершенного строительства) и техническое перевооружение объектов общественной инфраструктуры муниципального значения, приобретение объектов недвижимости</t>
  </si>
  <si>
    <t>11190</t>
  </si>
  <si>
    <t>Обеспечение прочих мероприятий по благоустройству</t>
  </si>
  <si>
    <t xml:space="preserve">Прочие мероприятия по благоустройству </t>
  </si>
  <si>
    <t>Объем поступлений доходов в районный бюджет по кодам видов (подвидов) доходов на 2022 год и плановый период 2023 и 2024 годов</t>
  </si>
  <si>
    <t>Распределение бюджетных ассигнований по целевым статьям (муниципальным программам муниципального образования Апшеронский район и непрограммным направлениям деятельности),  группам видов расходов классификации расходов бюджетов на 2022 год</t>
  </si>
  <si>
    <t>Источники финансирования дефицита районного бюджета,                                                                                                                                                                                                                                                                перечень статей источников финансирования дефицитов бюджетов на 2022 год и плановый период 2023 и 2024 годов</t>
  </si>
  <si>
    <t>2024 год</t>
  </si>
  <si>
    <t>классификации расходов бюджетов на 2022 год и плановый период 2023 и 2024 годов</t>
  </si>
  <si>
    <t>Ведомственная структура расходов районного бюджета на 2022 год</t>
  </si>
  <si>
    <t>Распределение бюджетных ассигнований по целевым статьям (муниципальным программам муниципального образования Апшеронский район и непрограммным направлениям деятельности),  группам видов расходов классификации расходов бюджетов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2023 и 2024 годы</t>
  </si>
  <si>
    <t>Ведомственная структура расходов районного бюджета на 2023 и 2024 годы</t>
  </si>
  <si>
    <t xml:space="preserve">                                Приложение 1 к решению Совета муниципального образования</t>
  </si>
  <si>
    <t xml:space="preserve">                                Приложение 2 к решению Совета муниципального образования</t>
  </si>
  <si>
    <t xml:space="preserve">                                Приложение 3 к решению Совета муниципального образования</t>
  </si>
  <si>
    <t xml:space="preserve">                                Приложение 4 к решению Совета муниципального образования</t>
  </si>
  <si>
    <t xml:space="preserve">                                Приложение 6 к решению Совета муниципального образования</t>
  </si>
  <si>
    <t xml:space="preserve">                                Приложение 7 к решению Совета муниципального образования</t>
  </si>
  <si>
    <t xml:space="preserve">                                Приложение 8 к решению Совета муниципального образования</t>
  </si>
  <si>
    <t xml:space="preserve">                                Приложение 9 к решению Совета муниципального образования</t>
  </si>
  <si>
    <t xml:space="preserve">                                Приложение 10 к решению Совета муниципального образования</t>
  </si>
  <si>
    <t xml:space="preserve">                                Приложение 11 к решению Совета муниципального образования</t>
  </si>
  <si>
    <t>6748S</t>
  </si>
  <si>
    <t>0501</t>
  </si>
  <si>
    <t>Мероприятия по профилактике детского дорожно-транспортного травматизма в муниципальных образовательных учреждениях</t>
  </si>
  <si>
    <t>10220</t>
  </si>
  <si>
    <t>53032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</si>
  <si>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(субвенции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</si>
  <si>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________________________</t>
  </si>
  <si>
    <t>S3350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</si>
  <si>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</si>
  <si>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Защита населения и территории муниципальных образований от чрезвычайных ситуаций природного характера на объектах туристского показа, находящихся в муниципальной собственности</t>
  </si>
  <si>
    <t>10830</t>
  </si>
  <si>
    <t>Внесение вкладов в имущество</t>
  </si>
  <si>
    <t>Внесение вкладов в имущество ООО "Тепловые сети Апшеронского района"</t>
  </si>
  <si>
    <t>до изменений (скрыть)</t>
  </si>
  <si>
    <t>10230</t>
  </si>
  <si>
    <t>Обеспечение функционирования системы персонифицированного финансирования дополнительного образования детей</t>
  </si>
  <si>
    <t>0705</t>
  </si>
  <si>
    <t>Профессиональная подготовка, переподготовка и повышение квалификации</t>
  </si>
  <si>
    <t>10240</t>
  </si>
  <si>
    <t>Мероприятия по переподготовке и повышению квалификации кадров</t>
  </si>
  <si>
    <t>Ремонт и укрепление материально-технической базы, техническое оснащение муниципальных учреждений культуры и (или) детских музыкальных школ, художественных школ, школ искусств, домов детского творчества</t>
  </si>
  <si>
    <t>S0640</t>
  </si>
  <si>
    <t>S2560</t>
  </si>
  <si>
    <t>Подготовка изменений в генеральные планы муниципальных образований Краснодарского края</t>
  </si>
  <si>
    <t>69200</t>
  </si>
  <si>
    <t>69180</t>
  </si>
  <si>
    <t>69190</t>
  </si>
  <si>
    <t>69100</t>
  </si>
  <si>
    <t>69130</t>
  </si>
  <si>
    <t>69110</t>
  </si>
  <si>
    <t>69140</t>
  </si>
  <si>
    <t>69170</t>
  </si>
  <si>
    <t>S3550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</si>
  <si>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</si>
  <si>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63540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</si>
  <si>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</si>
  <si>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</si>
  <si>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S3410</t>
  </si>
  <si>
    <t>R0820</t>
  </si>
  <si>
    <t>Апшеронский район от 23.12.2021 № 89</t>
  </si>
  <si>
    <t>Апшеронский район от___________№___</t>
  </si>
  <si>
    <t xml:space="preserve">                                Приложение 5 к решению Совета муниципального образования</t>
  </si>
  <si>
    <t>изменения</t>
  </si>
  <si>
    <t>с учетом изменений</t>
  </si>
  <si>
    <t>11110</t>
  </si>
  <si>
    <t>Реализация мероприятий по газификации населенных пунктов поселений муниципального образования Апшеронский район</t>
  </si>
  <si>
    <t>2 19 60010 05 0000 150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</si>
  <si>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</si>
  <si>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</si>
  <si>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Содействие развитию физической культуры и спорта</t>
  </si>
  <si>
    <t>Реализация мероприятий в области строительства, архитектуры и градостроительства</t>
  </si>
  <si>
    <t>11420</t>
  </si>
  <si>
    <t>12200</t>
  </si>
  <si>
    <t>Реализация мероприятий по переселению граждан из аварийного жилищного фонда</t>
  </si>
  <si>
    <t xml:space="preserve">Реализация мероприятий муниципальной программы "Развитие топливно-энергетического комплекса и жилищно-коммунального хозяйства"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</si>
</sst>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#,##0.0"/>
    <numFmt numFmtId="168" formatCode="0.00000"/>
    <numFmt numFmtId="169" formatCode="0.0_ ;[Red]\-0.0\ "/>
    <numFmt numFmtId="170" formatCode="#,##0.00000"/>
    <numFmt numFmtId="171" formatCode="0.000000"/>
    <numFmt numFmtId="172" formatCode="0.00000_ ;[Red]\-0.00000\ "/>
    <numFmt numFmtId="173" formatCode="_-* #,##0.00000_р_._-;\-* #,##0.00000_р_._-;_-* &quot;-&quot;?????_р_._-;_-@_-"/>
    <numFmt numFmtId="174" formatCode="0.000"/>
    <numFmt numFmtId="175" formatCode="#,##0.0_ ;\-#,##0.0\ "/>
    <numFmt numFmtId="176" formatCode="#,##0.0_ ;[Red]\-#,##0.0\ "/>
    <numFmt numFmtId="177" formatCode="0.0000"/>
  </numFmts>
  <fonts count="27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</font>
    <font>
      <sz val="14"/>
      <name val="Arial"/>
      <family val="2"/>
      <charset val="204"/>
    </font>
    <font>
      <b/>
      <sz val="12"/>
      <name val="Times New Roman"/>
      <family val="1"/>
    </font>
    <font>
      <sz val="14"/>
      <name val="Arial Cyr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</font>
    <font>
      <sz val="14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rgb="FF8A0000"/>
      <name val="Times New Roman"/>
      <family val="1"/>
    </font>
    <font>
      <sz val="14"/>
      <color rgb="FFC00000"/>
      <name val="Times New Roman"/>
      <family val="1"/>
    </font>
    <font>
      <sz val="11"/>
      <color rgb="FFC00000"/>
      <name val="Calibri"/>
      <family val="2"/>
      <scheme val="minor"/>
    </font>
    <font>
      <sz val="14"/>
      <color rgb="FF8A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0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0" fontId="8" fillId="0" borderId="0"/>
    <xf numFmtId="0" fontId="8" fillId="0" borderId="0"/>
    <xf numFmtId="164" fontId="16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16" fillId="0" borderId="0"/>
    <xf numFmtId="0" fontId="6" fillId="0" borderId="0"/>
    <xf numFmtId="43" fontId="16" fillId="0" borderId="0" applyFont="0" applyFill="0" applyBorder="0" applyAlignment="0" applyProtection="0"/>
  </cellStyleXfs>
  <cellXfs count="666">
    <xf numFmtId="0" fontId="0" fillId="0" borderId="0" xfId="0"/>
    <xf numFmtId="0" fontId="1" fillId="0" borderId="0" xfId="7" applyFont="1" applyFill="1"/>
    <xf numFmtId="0" fontId="1" fillId="0" borderId="0" xfId="3" applyFont="1" applyFill="1"/>
    <xf numFmtId="166" fontId="2" fillId="0" borderId="0" xfId="7" applyNumberFormat="1" applyFont="1" applyFill="1" applyBorder="1" applyAlignment="1"/>
    <xf numFmtId="171" fontId="2" fillId="0" borderId="0" xfId="3" applyNumberFormat="1" applyFont="1" applyFill="1"/>
    <xf numFmtId="0" fontId="3" fillId="0" borderId="0" xfId="0" applyFont="1" applyFill="1"/>
    <xf numFmtId="10" fontId="1" fillId="0" borderId="0" xfId="3" applyNumberFormat="1" applyFont="1" applyFill="1"/>
    <xf numFmtId="0" fontId="15" fillId="2" borderId="0" xfId="0" applyFont="1" applyFill="1"/>
    <xf numFmtId="0" fontId="7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 vertical="top" wrapText="1"/>
    </xf>
    <xf numFmtId="49" fontId="7" fillId="2" borderId="0" xfId="0" applyNumberFormat="1" applyFont="1" applyFill="1" applyBorder="1" applyAlignment="1">
      <alignment horizontal="center"/>
    </xf>
    <xf numFmtId="168" fontId="15" fillId="2" borderId="0" xfId="0" applyNumberFormat="1" applyFont="1" applyFill="1" applyBorder="1" applyAlignment="1"/>
    <xf numFmtId="168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vertical="top" wrapText="1"/>
    </xf>
    <xf numFmtId="49" fontId="1" fillId="2" borderId="1" xfId="6" applyNumberFormat="1" applyFont="1" applyFill="1" applyBorder="1" applyAlignment="1">
      <alignment horizontal="center" vertical="top" wrapText="1"/>
    </xf>
    <xf numFmtId="49" fontId="1" fillId="2" borderId="1" xfId="6" applyNumberFormat="1" applyFont="1" applyFill="1" applyBorder="1" applyAlignment="1">
      <alignment horizontal="center" vertical="top"/>
    </xf>
    <xf numFmtId="49" fontId="1" fillId="2" borderId="2" xfId="6" applyNumberFormat="1" applyFont="1" applyFill="1" applyBorder="1" applyAlignment="1">
      <alignment horizontal="center" vertical="top"/>
    </xf>
    <xf numFmtId="49" fontId="1" fillId="2" borderId="9" xfId="6" applyNumberFormat="1" applyFont="1" applyFill="1" applyBorder="1" applyAlignment="1">
      <alignment horizontal="center" vertical="top"/>
    </xf>
    <xf numFmtId="49" fontId="1" fillId="2" borderId="3" xfId="6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166" fontId="1" fillId="2" borderId="1" xfId="0" applyNumberFormat="1" applyFont="1" applyFill="1" applyBorder="1" applyAlignment="1">
      <alignment horizontal="right"/>
    </xf>
    <xf numFmtId="49" fontId="1" fillId="2" borderId="3" xfId="4" applyNumberFormat="1" applyFont="1" applyFill="1" applyBorder="1" applyAlignment="1" applyProtection="1">
      <alignment horizontal="left" wrapText="1"/>
      <protection hidden="1"/>
    </xf>
    <xf numFmtId="49" fontId="1" fillId="2" borderId="3" xfId="5" applyNumberFormat="1" applyFont="1" applyFill="1" applyBorder="1" applyAlignment="1">
      <alignment horizontal="left" wrapText="1"/>
    </xf>
    <xf numFmtId="49" fontId="1" fillId="2" borderId="3" xfId="6" applyNumberFormat="1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left" wrapText="1"/>
    </xf>
    <xf numFmtId="49" fontId="1" fillId="2" borderId="3" xfId="5" applyNumberFormat="1" applyFont="1" applyFill="1" applyBorder="1" applyAlignment="1">
      <alignment wrapText="1"/>
    </xf>
    <xf numFmtId="49" fontId="1" fillId="2" borderId="1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2" xfId="6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6" fontId="15" fillId="2" borderId="0" xfId="0" applyNumberFormat="1" applyFont="1" applyFill="1"/>
    <xf numFmtId="166" fontId="3" fillId="2" borderId="0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/>
    <xf numFmtId="0" fontId="18" fillId="2" borderId="0" xfId="0" applyFont="1" applyFill="1"/>
    <xf numFmtId="11" fontId="1" fillId="2" borderId="3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left"/>
    </xf>
    <xf numFmtId="49" fontId="9" fillId="2" borderId="0" xfId="7" applyNumberFormat="1" applyFont="1" applyFill="1" applyBorder="1" applyAlignment="1">
      <alignment vertical="top" wrapText="1"/>
    </xf>
    <xf numFmtId="49" fontId="10" fillId="2" borderId="0" xfId="7" applyNumberFormat="1" applyFont="1" applyFill="1" applyBorder="1" applyAlignment="1">
      <alignment horizontal="center"/>
    </xf>
    <xf numFmtId="166" fontId="4" fillId="2" borderId="0" xfId="7" applyNumberFormat="1" applyFont="1" applyFill="1" applyBorder="1" applyAlignment="1"/>
    <xf numFmtId="168" fontId="10" fillId="2" borderId="0" xfId="7" applyNumberFormat="1" applyFont="1" applyFill="1"/>
    <xf numFmtId="0" fontId="10" fillId="2" borderId="0" xfId="7" applyFont="1" applyFill="1"/>
    <xf numFmtId="0" fontId="3" fillId="2" borderId="0" xfId="7" applyFont="1" applyFill="1" applyAlignment="1">
      <alignment horizontal="left"/>
    </xf>
    <xf numFmtId="168" fontId="3" fillId="2" borderId="0" xfId="7" applyNumberFormat="1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 wrapText="1"/>
    </xf>
    <xf numFmtId="166" fontId="1" fillId="2" borderId="1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166" fontId="18" fillId="2" borderId="0" xfId="0" applyNumberFormat="1" applyFont="1" applyFill="1" applyBorder="1"/>
    <xf numFmtId="0" fontId="15" fillId="2" borderId="0" xfId="0" applyFont="1" applyFill="1" applyBorder="1"/>
    <xf numFmtId="166" fontId="3" fillId="2" borderId="0" xfId="0" applyNumberFormat="1" applyFont="1" applyFill="1" applyBorder="1"/>
    <xf numFmtId="166" fontId="15" fillId="2" borderId="0" xfId="0" applyNumberFormat="1" applyFont="1" applyFill="1" applyBorder="1"/>
    <xf numFmtId="0" fontId="7" fillId="2" borderId="0" xfId="7" applyFont="1" applyFill="1"/>
    <xf numFmtId="166" fontId="7" fillId="2" borderId="0" xfId="7" applyNumberFormat="1" applyFont="1" applyFill="1"/>
    <xf numFmtId="49" fontId="13" fillId="2" borderId="0" xfId="7" applyNumberFormat="1" applyFont="1" applyFill="1" applyBorder="1" applyAlignment="1">
      <alignment vertical="top" wrapText="1"/>
    </xf>
    <xf numFmtId="49" fontId="7" fillId="2" borderId="0" xfId="7" applyNumberFormat="1" applyFont="1" applyFill="1" applyBorder="1" applyAlignment="1">
      <alignment horizontal="center"/>
    </xf>
    <xf numFmtId="49" fontId="1" fillId="2" borderId="1" xfId="7" applyNumberFormat="1" applyFont="1" applyFill="1" applyBorder="1" applyAlignment="1">
      <alignment horizontal="center"/>
    </xf>
    <xf numFmtId="0" fontId="1" fillId="2" borderId="1" xfId="7" applyFont="1" applyFill="1" applyBorder="1" applyAlignment="1">
      <alignment horizontal="center" vertical="top"/>
    </xf>
    <xf numFmtId="49" fontId="2" fillId="2" borderId="1" xfId="7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49" fontId="1" fillId="2" borderId="1" xfId="5" applyNumberFormat="1" applyFont="1" applyFill="1" applyBorder="1" applyAlignment="1">
      <alignment horizontal="left" wrapText="1"/>
    </xf>
    <xf numFmtId="49" fontId="1" fillId="2" borderId="19" xfId="11" applyNumberFormat="1" applyFont="1" applyFill="1" applyBorder="1" applyAlignment="1">
      <alignment wrapText="1"/>
    </xf>
    <xf numFmtId="49" fontId="1" fillId="2" borderId="17" xfId="11" applyNumberFormat="1" applyFont="1" applyFill="1" applyBorder="1" applyAlignment="1">
      <alignment horizontal="center"/>
    </xf>
    <xf numFmtId="49" fontId="1" fillId="2" borderId="18" xfId="16" applyNumberFormat="1" applyFont="1" applyFill="1" applyBorder="1" applyAlignment="1">
      <alignment horizontal="center"/>
    </xf>
    <xf numFmtId="49" fontId="1" fillId="2" borderId="19" xfId="16" applyNumberFormat="1" applyFont="1" applyFill="1" applyBorder="1" applyAlignment="1">
      <alignment horizontal="center"/>
    </xf>
    <xf numFmtId="49" fontId="1" fillId="2" borderId="16" xfId="16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wrapText="1"/>
    </xf>
    <xf numFmtId="0" fontId="2" fillId="2" borderId="1" xfId="7" applyFont="1" applyFill="1" applyBorder="1" applyAlignment="1">
      <alignment horizontal="center" vertical="top"/>
    </xf>
    <xf numFmtId="49" fontId="2" fillId="2" borderId="9" xfId="7" applyNumberFormat="1" applyFont="1" applyFill="1" applyBorder="1" applyAlignment="1">
      <alignment horizontal="center"/>
    </xf>
    <xf numFmtId="49" fontId="2" fillId="2" borderId="3" xfId="7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1" fillId="2" borderId="9" xfId="6" applyNumberFormat="1" applyFont="1" applyFill="1" applyBorder="1" applyAlignment="1">
      <alignment horizontal="center"/>
    </xf>
    <xf numFmtId="49" fontId="1" fillId="2" borderId="3" xfId="6" applyNumberFormat="1" applyFont="1" applyFill="1" applyBorder="1" applyAlignment="1">
      <alignment horizontal="center"/>
    </xf>
    <xf numFmtId="49" fontId="1" fillId="2" borderId="1" xfId="6" applyNumberFormat="1" applyFont="1" applyFill="1" applyBorder="1" applyAlignment="1">
      <alignment horizontal="center"/>
    </xf>
    <xf numFmtId="49" fontId="1" fillId="2" borderId="0" xfId="7" applyNumberFormat="1" applyFont="1" applyFill="1" applyBorder="1" applyAlignment="1">
      <alignment horizontal="center"/>
    </xf>
    <xf numFmtId="49" fontId="1" fillId="2" borderId="17" xfId="6" applyNumberFormat="1" applyFont="1" applyFill="1" applyBorder="1" applyAlignment="1">
      <alignment horizontal="center"/>
    </xf>
    <xf numFmtId="49" fontId="1" fillId="2" borderId="18" xfId="14" applyNumberFormat="1" applyFont="1" applyFill="1" applyBorder="1" applyAlignment="1">
      <alignment horizontal="center"/>
    </xf>
    <xf numFmtId="49" fontId="1" fillId="2" borderId="19" xfId="14" applyNumberFormat="1" applyFont="1" applyFill="1" applyBorder="1" applyAlignment="1">
      <alignment horizontal="center"/>
    </xf>
    <xf numFmtId="49" fontId="1" fillId="2" borderId="21" xfId="14" applyNumberFormat="1" applyFont="1" applyFill="1" applyBorder="1" applyAlignment="1">
      <alignment horizontal="center"/>
    </xf>
    <xf numFmtId="49" fontId="1" fillId="2" borderId="16" xfId="14" applyNumberFormat="1" applyFont="1" applyFill="1" applyBorder="1" applyAlignment="1">
      <alignment horizontal="center"/>
    </xf>
    <xf numFmtId="49" fontId="1" fillId="2" borderId="20" xfId="6" applyNumberFormat="1" applyFont="1" applyFill="1" applyBorder="1" applyAlignment="1">
      <alignment horizontal="center"/>
    </xf>
    <xf numFmtId="49" fontId="1" fillId="2" borderId="20" xfId="14" applyNumberFormat="1" applyFont="1" applyFill="1" applyBorder="1" applyAlignment="1">
      <alignment horizontal="center"/>
    </xf>
    <xf numFmtId="49" fontId="1" fillId="2" borderId="19" xfId="5" applyNumberFormat="1" applyFont="1" applyFill="1" applyBorder="1" applyAlignment="1">
      <alignment wrapText="1"/>
    </xf>
    <xf numFmtId="49" fontId="1" fillId="2" borderId="17" xfId="5" applyNumberFormat="1" applyFont="1" applyFill="1" applyBorder="1" applyAlignment="1">
      <alignment horizontal="center"/>
    </xf>
    <xf numFmtId="49" fontId="1" fillId="2" borderId="18" xfId="5" applyNumberFormat="1" applyFont="1" applyFill="1" applyBorder="1" applyAlignment="1">
      <alignment horizontal="center"/>
    </xf>
    <xf numFmtId="49" fontId="1" fillId="2" borderId="19" xfId="5" applyNumberFormat="1" applyFont="1" applyFill="1" applyBorder="1" applyAlignment="1">
      <alignment horizontal="center"/>
    </xf>
    <xf numFmtId="49" fontId="1" fillId="2" borderId="16" xfId="5" applyNumberFormat="1" applyFont="1" applyFill="1" applyBorder="1" applyAlignment="1">
      <alignment horizontal="center"/>
    </xf>
    <xf numFmtId="49" fontId="1" fillId="2" borderId="19" xfId="16" applyNumberFormat="1" applyFont="1" applyFill="1" applyBorder="1" applyAlignment="1">
      <alignment wrapText="1"/>
    </xf>
    <xf numFmtId="49" fontId="1" fillId="2" borderId="19" xfId="16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166" fontId="2" fillId="2" borderId="0" xfId="7" applyNumberFormat="1" applyFont="1" applyFill="1" applyBorder="1" applyAlignment="1"/>
    <xf numFmtId="0" fontId="1" fillId="2" borderId="0" xfId="7" applyFont="1" applyFill="1" applyBorder="1" applyAlignment="1">
      <alignment horizontal="left"/>
    </xf>
    <xf numFmtId="0" fontId="1" fillId="2" borderId="0" xfId="7" applyFont="1" applyFill="1" applyAlignment="1">
      <alignment horizontal="left"/>
    </xf>
    <xf numFmtId="168" fontId="1" fillId="2" borderId="0" xfId="7" applyNumberFormat="1" applyFont="1" applyFill="1" applyAlignment="1">
      <alignment horizontal="right"/>
    </xf>
    <xf numFmtId="166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/>
    </xf>
    <xf numFmtId="0" fontId="13" fillId="2" borderId="0" xfId="0" applyFont="1" applyFill="1"/>
    <xf numFmtId="168" fontId="15" fillId="2" borderId="0" xfId="0" applyNumberFormat="1" applyFont="1" applyFill="1"/>
    <xf numFmtId="168" fontId="3" fillId="2" borderId="0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vertical="top" wrapText="1"/>
    </xf>
    <xf numFmtId="0" fontId="9" fillId="2" borderId="0" xfId="0" applyFont="1" applyFill="1"/>
    <xf numFmtId="0" fontId="10" fillId="2" borderId="0" xfId="0" applyFont="1" applyFill="1"/>
    <xf numFmtId="0" fontId="20" fillId="2" borderId="0" xfId="0" applyFont="1" applyFill="1"/>
    <xf numFmtId="0" fontId="2" fillId="2" borderId="16" xfId="16" applyFont="1" applyFill="1" applyBorder="1" applyAlignment="1">
      <alignment horizontal="center" vertical="top"/>
    </xf>
    <xf numFmtId="49" fontId="2" fillId="2" borderId="19" xfId="16" applyNumberFormat="1" applyFont="1" applyFill="1" applyBorder="1" applyAlignment="1">
      <alignment wrapText="1"/>
    </xf>
    <xf numFmtId="49" fontId="2" fillId="2" borderId="16" xfId="16" applyNumberFormat="1" applyFont="1" applyFill="1" applyBorder="1" applyAlignment="1">
      <alignment horizontal="center" wrapText="1"/>
    </xf>
    <xf numFmtId="49" fontId="2" fillId="2" borderId="16" xfId="16" applyNumberFormat="1" applyFont="1" applyFill="1" applyBorder="1" applyAlignment="1">
      <alignment horizontal="center"/>
    </xf>
    <xf numFmtId="49" fontId="2" fillId="2" borderId="25" xfId="16" applyNumberFormat="1" applyFont="1" applyFill="1" applyBorder="1" applyAlignment="1">
      <alignment horizontal="center"/>
    </xf>
    <xf numFmtId="49" fontId="2" fillId="2" borderId="20" xfId="16" applyNumberFormat="1" applyFont="1" applyFill="1" applyBorder="1" applyAlignment="1">
      <alignment horizontal="center"/>
    </xf>
    <xf numFmtId="49" fontId="2" fillId="2" borderId="26" xfId="16" applyNumberFormat="1" applyFont="1" applyFill="1" applyBorder="1" applyAlignment="1">
      <alignment horizontal="center"/>
    </xf>
    <xf numFmtId="166" fontId="2" fillId="2" borderId="16" xfId="16" applyNumberFormat="1" applyFont="1" applyFill="1" applyBorder="1" applyAlignment="1">
      <alignment horizontal="right"/>
    </xf>
    <xf numFmtId="0" fontId="13" fillId="2" borderId="0" xfId="16" applyFont="1" applyFill="1"/>
    <xf numFmtId="0" fontId="1" fillId="2" borderId="16" xfId="16" applyFont="1" applyFill="1" applyBorder="1" applyAlignment="1">
      <alignment horizontal="center" vertical="top"/>
    </xf>
    <xf numFmtId="49" fontId="1" fillId="2" borderId="16" xfId="11" applyNumberFormat="1" applyFont="1" applyFill="1" applyBorder="1" applyAlignment="1">
      <alignment horizontal="center" wrapText="1"/>
    </xf>
    <xf numFmtId="49" fontId="1" fillId="2" borderId="16" xfId="11" applyNumberFormat="1" applyFont="1" applyFill="1" applyBorder="1" applyAlignment="1">
      <alignment horizontal="center"/>
    </xf>
    <xf numFmtId="49" fontId="1" fillId="2" borderId="17" xfId="16" applyNumberFormat="1" applyFont="1" applyFill="1" applyBorder="1" applyAlignment="1">
      <alignment horizontal="center"/>
    </xf>
    <xf numFmtId="166" fontId="1" fillId="2" borderId="16" xfId="16" applyNumberFormat="1" applyFont="1" applyFill="1" applyBorder="1" applyAlignment="1">
      <alignment horizontal="right"/>
    </xf>
    <xf numFmtId="0" fontId="7" fillId="2" borderId="0" xfId="16" applyFont="1" applyFill="1"/>
    <xf numFmtId="49" fontId="1" fillId="2" borderId="25" xfId="11" applyNumberFormat="1" applyFont="1" applyFill="1" applyBorder="1" applyAlignment="1">
      <alignment horizontal="center"/>
    </xf>
    <xf numFmtId="49" fontId="1" fillId="2" borderId="20" xfId="16" applyNumberFormat="1" applyFont="1" applyFill="1" applyBorder="1" applyAlignment="1">
      <alignment horizontal="center"/>
    </xf>
    <xf numFmtId="49" fontId="1" fillId="2" borderId="26" xfId="16" applyNumberFormat="1" applyFont="1" applyFill="1" applyBorder="1" applyAlignment="1">
      <alignment horizontal="center"/>
    </xf>
    <xf numFmtId="49" fontId="1" fillId="2" borderId="25" xfId="6" applyNumberFormat="1" applyFont="1" applyFill="1" applyBorder="1" applyAlignment="1">
      <alignment horizontal="center"/>
    </xf>
    <xf numFmtId="49" fontId="1" fillId="2" borderId="18" xfId="16" applyNumberFormat="1" applyFont="1" applyFill="1" applyBorder="1" applyAlignment="1">
      <alignment wrapText="1"/>
    </xf>
    <xf numFmtId="49" fontId="1" fillId="2" borderId="18" xfId="6" applyNumberFormat="1" applyFont="1" applyFill="1" applyBorder="1" applyAlignment="1">
      <alignment horizontal="center"/>
    </xf>
    <xf numFmtId="49" fontId="1" fillId="2" borderId="19" xfId="8" applyNumberFormat="1" applyFont="1" applyFill="1" applyBorder="1" applyAlignment="1">
      <alignment wrapText="1"/>
    </xf>
    <xf numFmtId="0" fontId="1" fillId="2" borderId="16" xfId="5" applyFont="1" applyFill="1" applyBorder="1" applyAlignment="1">
      <alignment horizontal="center" vertical="top"/>
    </xf>
    <xf numFmtId="49" fontId="1" fillId="2" borderId="19" xfId="5" applyNumberFormat="1" applyFont="1" applyFill="1" applyBorder="1" applyAlignment="1">
      <alignment horizontal="left" wrapText="1"/>
    </xf>
    <xf numFmtId="49" fontId="1" fillId="2" borderId="16" xfId="5" applyNumberFormat="1" applyFont="1" applyFill="1" applyBorder="1" applyAlignment="1">
      <alignment horizontal="center" wrapText="1"/>
    </xf>
    <xf numFmtId="0" fontId="7" fillId="2" borderId="0" xfId="5" applyFont="1" applyFill="1"/>
    <xf numFmtId="49" fontId="1" fillId="2" borderId="19" xfId="16" applyNumberFormat="1" applyFont="1" applyFill="1" applyBorder="1" applyAlignment="1">
      <alignment horizontal="left" wrapText="1"/>
    </xf>
    <xf numFmtId="0" fontId="13" fillId="2" borderId="0" xfId="5" applyFont="1" applyFill="1"/>
    <xf numFmtId="166" fontId="9" fillId="2" borderId="0" xfId="0" applyNumberFormat="1" applyFont="1" applyFill="1"/>
    <xf numFmtId="166" fontId="10" fillId="2" borderId="0" xfId="0" applyNumberFormat="1" applyFont="1" applyFill="1"/>
    <xf numFmtId="49" fontId="2" fillId="2" borderId="3" xfId="0" applyNumberFormat="1" applyFont="1" applyFill="1" applyBorder="1" applyAlignment="1">
      <alignment horizontal="left" wrapText="1"/>
    </xf>
    <xf numFmtId="49" fontId="1" fillId="2" borderId="1" xfId="6" applyNumberFormat="1" applyFont="1" applyFill="1" applyBorder="1" applyAlignment="1">
      <alignment horizontal="center" wrapText="1"/>
    </xf>
    <xf numFmtId="168" fontId="7" fillId="2" borderId="0" xfId="7" applyNumberFormat="1" applyFont="1" applyFill="1"/>
    <xf numFmtId="0" fontId="17" fillId="2" borderId="0" xfId="0" applyFont="1" applyFill="1"/>
    <xf numFmtId="168" fontId="17" fillId="2" borderId="0" xfId="0" applyNumberFormat="1" applyFont="1" applyFill="1"/>
    <xf numFmtId="166" fontId="10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/>
    </xf>
    <xf numFmtId="168" fontId="3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wrapText="1"/>
    </xf>
    <xf numFmtId="172" fontId="7" fillId="2" borderId="0" xfId="0" applyNumberFormat="1" applyFont="1" applyFill="1"/>
    <xf numFmtId="166" fontId="3" fillId="2" borderId="0" xfId="0" applyNumberFormat="1" applyFont="1" applyFill="1" applyAlignment="1">
      <alignment horizontal="right"/>
    </xf>
    <xf numFmtId="49" fontId="1" fillId="2" borderId="16" xfId="12" applyNumberFormat="1" applyFont="1" applyFill="1" applyBorder="1" applyAlignment="1">
      <alignment horizontal="center" wrapText="1"/>
    </xf>
    <xf numFmtId="49" fontId="1" fillId="2" borderId="16" xfId="12" applyNumberFormat="1" applyFont="1" applyFill="1" applyBorder="1" applyAlignment="1">
      <alignment horizontal="center"/>
    </xf>
    <xf numFmtId="49" fontId="1" fillId="2" borderId="17" xfId="12" applyNumberFormat="1" applyFont="1" applyFill="1" applyBorder="1" applyAlignment="1">
      <alignment horizontal="center"/>
    </xf>
    <xf numFmtId="49" fontId="1" fillId="2" borderId="18" xfId="12" applyNumberFormat="1" applyFont="1" applyFill="1" applyBorder="1" applyAlignment="1">
      <alignment horizontal="center"/>
    </xf>
    <xf numFmtId="49" fontId="1" fillId="2" borderId="19" xfId="12" applyNumberFormat="1" applyFont="1" applyFill="1" applyBorder="1" applyAlignment="1">
      <alignment horizontal="center"/>
    </xf>
    <xf numFmtId="172" fontId="7" fillId="2" borderId="0" xfId="16" applyNumberFormat="1" applyFont="1" applyFill="1"/>
    <xf numFmtId="49" fontId="1" fillId="2" borderId="0" xfId="16" applyNumberFormat="1" applyFont="1" applyFill="1" applyBorder="1" applyAlignment="1">
      <alignment horizontal="center"/>
    </xf>
    <xf numFmtId="0" fontId="1" fillId="2" borderId="21" xfId="14" applyFont="1" applyFill="1" applyBorder="1" applyAlignment="1">
      <alignment horizontal="center" vertical="top"/>
    </xf>
    <xf numFmtId="49" fontId="1" fillId="2" borderId="22" xfId="14" applyNumberFormat="1" applyFont="1" applyFill="1" applyBorder="1" applyAlignment="1">
      <alignment wrapText="1"/>
    </xf>
    <xf numFmtId="49" fontId="1" fillId="2" borderId="27" xfId="11" applyNumberFormat="1" applyFont="1" applyFill="1" applyBorder="1" applyAlignment="1">
      <alignment horizontal="center" wrapText="1"/>
    </xf>
    <xf numFmtId="49" fontId="1" fillId="2" borderId="27" xfId="11" applyNumberFormat="1" applyFont="1" applyFill="1" applyBorder="1" applyAlignment="1">
      <alignment horizontal="center"/>
    </xf>
    <xf numFmtId="166" fontId="1" fillId="2" borderId="21" xfId="14" applyNumberFormat="1" applyFont="1" applyFill="1" applyBorder="1" applyAlignment="1">
      <alignment horizontal="right"/>
    </xf>
    <xf numFmtId="172" fontId="7" fillId="2" borderId="0" xfId="14" applyNumberFormat="1" applyFont="1" applyFill="1"/>
    <xf numFmtId="0" fontId="7" fillId="2" borderId="0" xfId="14" applyFont="1" applyFill="1"/>
    <xf numFmtId="0" fontId="1" fillId="2" borderId="16" xfId="14" applyFont="1" applyFill="1" applyBorder="1" applyAlignment="1">
      <alignment horizontal="center" vertical="top"/>
    </xf>
    <xf numFmtId="49" fontId="1" fillId="2" borderId="18" xfId="14" applyNumberFormat="1" applyFont="1" applyFill="1" applyBorder="1" applyAlignment="1">
      <alignment wrapText="1"/>
    </xf>
    <xf numFmtId="166" fontId="1" fillId="2" borderId="16" xfId="14" applyNumberFormat="1" applyFont="1" applyFill="1" applyBorder="1" applyAlignment="1">
      <alignment horizontal="right"/>
    </xf>
    <xf numFmtId="49" fontId="1" fillId="2" borderId="20" xfId="16" applyNumberFormat="1" applyFont="1" applyFill="1" applyBorder="1" applyAlignment="1">
      <alignment wrapText="1"/>
    </xf>
    <xf numFmtId="49" fontId="1" fillId="2" borderId="26" xfId="14" applyNumberFormat="1" applyFont="1" applyFill="1" applyBorder="1" applyAlignment="1">
      <alignment horizontal="center"/>
    </xf>
    <xf numFmtId="49" fontId="1" fillId="2" borderId="23" xfId="14" applyNumberFormat="1" applyFont="1" applyFill="1" applyBorder="1" applyAlignment="1">
      <alignment horizontal="center"/>
    </xf>
    <xf numFmtId="49" fontId="1" fillId="2" borderId="16" xfId="16" applyNumberFormat="1" applyFont="1" applyFill="1" applyBorder="1" applyAlignment="1">
      <alignment wrapText="1"/>
    </xf>
    <xf numFmtId="0" fontId="1" fillId="2" borderId="23" xfId="14" applyFont="1" applyFill="1" applyBorder="1" applyAlignment="1">
      <alignment horizontal="center" vertical="top"/>
    </xf>
    <xf numFmtId="49" fontId="1" fillId="2" borderId="23" xfId="11" applyNumberFormat="1" applyFont="1" applyFill="1" applyBorder="1" applyAlignment="1">
      <alignment horizontal="center" wrapText="1"/>
    </xf>
    <xf numFmtId="49" fontId="1" fillId="2" borderId="19" xfId="6" applyNumberFormat="1" applyFont="1" applyFill="1" applyBorder="1" applyAlignment="1">
      <alignment horizontal="left" wrapText="1"/>
    </xf>
    <xf numFmtId="166" fontId="1" fillId="2" borderId="16" xfId="5" applyNumberFormat="1" applyFont="1" applyFill="1" applyBorder="1" applyAlignment="1">
      <alignment horizontal="right"/>
    </xf>
    <xf numFmtId="169" fontId="9" fillId="2" borderId="0" xfId="0" applyNumberFormat="1" applyFont="1" applyFill="1"/>
    <xf numFmtId="169" fontId="13" fillId="2" borderId="0" xfId="0" applyNumberFormat="1" applyFont="1" applyFill="1"/>
    <xf numFmtId="0" fontId="1" fillId="2" borderId="0" xfId="0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wrapText="1"/>
    </xf>
    <xf numFmtId="166" fontId="1" fillId="2" borderId="0" xfId="0" applyNumberFormat="1" applyFont="1" applyFill="1" applyBorder="1" applyAlignment="1">
      <alignment horizontal="right"/>
    </xf>
    <xf numFmtId="0" fontId="20" fillId="2" borderId="0" xfId="0" applyFont="1" applyFill="1" applyBorder="1"/>
    <xf numFmtId="166" fontId="10" fillId="2" borderId="0" xfId="0" applyNumberFormat="1" applyFont="1" applyFill="1" applyBorder="1"/>
    <xf numFmtId="166" fontId="9" fillId="2" borderId="0" xfId="0" applyNumberFormat="1" applyFont="1" applyFill="1" applyBorder="1"/>
    <xf numFmtId="170" fontId="1" fillId="2" borderId="0" xfId="1" applyNumberFormat="1" applyFont="1" applyFill="1" applyAlignment="1">
      <alignment horizontal="right"/>
    </xf>
    <xf numFmtId="170" fontId="1" fillId="2" borderId="1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right"/>
    </xf>
    <xf numFmtId="167" fontId="1" fillId="2" borderId="1" xfId="1" applyNumberFormat="1" applyFont="1" applyFill="1" applyBorder="1" applyAlignment="1"/>
    <xf numFmtId="167" fontId="2" fillId="2" borderId="1" xfId="10" applyNumberFormat="1" applyFont="1" applyFill="1" applyBorder="1" applyAlignment="1">
      <alignment vertical="top"/>
    </xf>
    <xf numFmtId="170" fontId="1" fillId="2" borderId="0" xfId="1" applyNumberFormat="1" applyFont="1" applyFill="1"/>
    <xf numFmtId="170" fontId="1" fillId="2" borderId="0" xfId="7" applyNumberFormat="1" applyFont="1" applyFill="1" applyBorder="1"/>
    <xf numFmtId="0" fontId="1" fillId="2" borderId="0" xfId="1" applyFont="1" applyFill="1"/>
    <xf numFmtId="167" fontId="1" fillId="2" borderId="1" xfId="1" applyNumberFormat="1" applyFont="1" applyFill="1" applyBorder="1" applyAlignment="1">
      <alignment horizontal="right" vertical="top"/>
    </xf>
    <xf numFmtId="166" fontId="1" fillId="2" borderId="23" xfId="16" applyNumberFormat="1" applyFont="1" applyFill="1" applyBorder="1" applyAlignment="1">
      <alignment horizontal="right"/>
    </xf>
    <xf numFmtId="166" fontId="1" fillId="2" borderId="1" xfId="3" applyNumberFormat="1" applyFont="1" applyFill="1" applyBorder="1" applyAlignment="1">
      <alignment horizontal="right" wrapText="1"/>
    </xf>
    <xf numFmtId="0" fontId="2" fillId="2" borderId="1" xfId="3" applyFont="1" applyFill="1" applyBorder="1" applyAlignment="1">
      <alignment wrapText="1"/>
    </xf>
    <xf numFmtId="0" fontId="1" fillId="2" borderId="1" xfId="3" applyFont="1" applyFill="1" applyBorder="1" applyAlignment="1">
      <alignment wrapText="1"/>
    </xf>
    <xf numFmtId="49" fontId="3" fillId="2" borderId="1" xfId="3" applyNumberFormat="1" applyFont="1" applyFill="1" applyBorder="1" applyAlignment="1">
      <alignment horizontal="center" vertical="top"/>
    </xf>
    <xf numFmtId="0" fontId="3" fillId="2" borderId="1" xfId="3" applyFont="1" applyFill="1" applyBorder="1" applyAlignment="1">
      <alignment wrapText="1"/>
    </xf>
    <xf numFmtId="166" fontId="3" fillId="2" borderId="1" xfId="3" applyNumberFormat="1" applyFont="1" applyFill="1" applyBorder="1" applyAlignment="1">
      <alignment horizontal="right" wrapText="1"/>
    </xf>
    <xf numFmtId="0" fontId="12" fillId="2" borderId="0" xfId="3" applyFont="1" applyFill="1"/>
    <xf numFmtId="2" fontId="15" fillId="2" borderId="0" xfId="0" applyNumberFormat="1" applyFont="1" applyFill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right"/>
    </xf>
    <xf numFmtId="49" fontId="1" fillId="2" borderId="0" xfId="16" applyNumberFormat="1" applyFont="1" applyFill="1" applyBorder="1" applyAlignment="1">
      <alignment wrapText="1"/>
    </xf>
    <xf numFmtId="49" fontId="1" fillId="2" borderId="0" xfId="12" applyNumberFormat="1" applyFont="1" applyFill="1" applyBorder="1" applyAlignment="1">
      <alignment horizontal="center"/>
    </xf>
    <xf numFmtId="49" fontId="1" fillId="2" borderId="23" xfId="12" applyNumberFormat="1" applyFont="1" applyFill="1" applyBorder="1" applyAlignment="1">
      <alignment horizontal="center"/>
    </xf>
    <xf numFmtId="49" fontId="1" fillId="2" borderId="1" xfId="12" applyNumberFormat="1" applyFont="1" applyFill="1" applyBorder="1" applyAlignment="1">
      <alignment horizontal="center"/>
    </xf>
    <xf numFmtId="49" fontId="1" fillId="2" borderId="28" xfId="12" applyNumberFormat="1" applyFont="1" applyFill="1" applyBorder="1" applyAlignment="1">
      <alignment horizontal="center"/>
    </xf>
    <xf numFmtId="0" fontId="1" fillId="2" borderId="23" xfId="16" applyFont="1" applyFill="1" applyBorder="1" applyAlignment="1">
      <alignment horizontal="center" vertical="top"/>
    </xf>
    <xf numFmtId="49" fontId="1" fillId="2" borderId="26" xfId="16" applyNumberFormat="1" applyFont="1" applyFill="1" applyBorder="1" applyAlignment="1">
      <alignment wrapText="1"/>
    </xf>
    <xf numFmtId="0" fontId="1" fillId="2" borderId="1" xfId="16" applyFont="1" applyFill="1" applyBorder="1" applyAlignment="1">
      <alignment horizontal="center" vertical="top"/>
    </xf>
    <xf numFmtId="49" fontId="1" fillId="3" borderId="3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166" fontId="3" fillId="2" borderId="1" xfId="7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 wrapText="1"/>
    </xf>
    <xf numFmtId="49" fontId="1" fillId="2" borderId="3" xfId="7" applyNumberFormat="1" applyFont="1" applyFill="1" applyBorder="1" applyAlignment="1">
      <alignment wrapText="1"/>
    </xf>
    <xf numFmtId="0" fontId="2" fillId="2" borderId="1" xfId="7" applyFont="1" applyFill="1" applyBorder="1" applyAlignment="1">
      <alignment vertical="top" wrapText="1"/>
    </xf>
    <xf numFmtId="0" fontId="1" fillId="2" borderId="1" xfId="7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1" fillId="2" borderId="0" xfId="1" applyFont="1" applyFill="1"/>
    <xf numFmtId="0" fontId="1" fillId="2" borderId="0" xfId="3" applyFont="1" applyFill="1"/>
    <xf numFmtId="0" fontId="3" fillId="2" borderId="1" xfId="7" applyFont="1" applyFill="1" applyBorder="1" applyAlignment="1">
      <alignment horizontal="center"/>
    </xf>
    <xf numFmtId="1" fontId="3" fillId="2" borderId="1" xfId="7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/>
    </xf>
    <xf numFmtId="166" fontId="4" fillId="2" borderId="1" xfId="3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 vertical="top" wrapText="1"/>
    </xf>
    <xf numFmtId="0" fontId="1" fillId="2" borderId="1" xfId="3" applyFont="1" applyFill="1" applyBorder="1" applyAlignment="1">
      <alignment horizontal="center" vertical="top"/>
    </xf>
    <xf numFmtId="49" fontId="3" fillId="2" borderId="1" xfId="9" applyNumberFormat="1" applyFont="1" applyFill="1" applyBorder="1" applyAlignment="1">
      <alignment wrapText="1"/>
    </xf>
    <xf numFmtId="49" fontId="1" fillId="2" borderId="1" xfId="7" applyNumberFormat="1" applyFont="1" applyFill="1" applyBorder="1" applyAlignment="1">
      <alignment horizontal="left" wrapText="1"/>
    </xf>
    <xf numFmtId="166" fontId="2" fillId="2" borderId="1" xfId="3" applyNumberFormat="1" applyFont="1" applyFill="1" applyBorder="1" applyAlignment="1"/>
    <xf numFmtId="0" fontId="12" fillId="2" borderId="1" xfId="3" applyFont="1" applyFill="1" applyBorder="1" applyAlignment="1">
      <alignment vertical="top"/>
    </xf>
    <xf numFmtId="166" fontId="1" fillId="2" borderId="1" xfId="3" applyNumberFormat="1" applyFont="1" applyFill="1" applyBorder="1" applyAlignment="1"/>
    <xf numFmtId="49" fontId="3" fillId="2" borderId="3" xfId="7" applyNumberFormat="1" applyFont="1" applyFill="1" applyBorder="1" applyAlignment="1">
      <alignment wrapText="1"/>
    </xf>
    <xf numFmtId="49" fontId="3" fillId="2" borderId="1" xfId="7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wrapText="1"/>
    </xf>
    <xf numFmtId="49" fontId="1" fillId="2" borderId="1" xfId="14" applyNumberFormat="1" applyFont="1" applyFill="1" applyBorder="1" applyAlignment="1">
      <alignment wrapText="1"/>
    </xf>
    <xf numFmtId="49" fontId="1" fillId="2" borderId="19" xfId="14" applyNumberFormat="1" applyFont="1" applyFill="1" applyBorder="1" applyAlignment="1">
      <alignment wrapText="1"/>
    </xf>
    <xf numFmtId="49" fontId="1" fillId="2" borderId="30" xfId="14" applyNumberFormat="1" applyFont="1" applyFill="1" applyBorder="1" applyAlignment="1">
      <alignment wrapText="1"/>
    </xf>
    <xf numFmtId="49" fontId="1" fillId="2" borderId="13" xfId="14" applyNumberFormat="1" applyFont="1" applyFill="1" applyBorder="1" applyAlignment="1">
      <alignment wrapText="1"/>
    </xf>
    <xf numFmtId="49" fontId="3" fillId="2" borderId="1" xfId="7" applyNumberFormat="1" applyFont="1" applyFill="1" applyBorder="1" applyAlignment="1">
      <alignment horizontal="left" wrapText="1"/>
    </xf>
    <xf numFmtId="49" fontId="3" fillId="2" borderId="1" xfId="7" applyNumberFormat="1" applyFont="1" applyFill="1" applyBorder="1" applyAlignment="1">
      <alignment horizontal="center" wrapText="1"/>
    </xf>
    <xf numFmtId="49" fontId="2" fillId="2" borderId="2" xfId="7" applyNumberFormat="1" applyFont="1" applyFill="1" applyBorder="1" applyAlignment="1">
      <alignment horizontal="center"/>
    </xf>
    <xf numFmtId="49" fontId="1" fillId="2" borderId="1" xfId="7" applyNumberFormat="1" applyFont="1" applyFill="1" applyBorder="1" applyAlignment="1">
      <alignment horizontal="center" wrapText="1"/>
    </xf>
    <xf numFmtId="170" fontId="1" fillId="2" borderId="0" xfId="7" applyNumberFormat="1" applyFont="1" applyFill="1" applyBorder="1" applyAlignment="1">
      <alignment horizontal="right"/>
    </xf>
    <xf numFmtId="0" fontId="3" fillId="2" borderId="9" xfId="3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 vertical="top"/>
    </xf>
    <xf numFmtId="175" fontId="4" fillId="2" borderId="5" xfId="13" applyNumberFormat="1" applyFont="1" applyFill="1" applyBorder="1" applyAlignment="1">
      <alignment horizontal="right" vertical="center"/>
    </xf>
    <xf numFmtId="0" fontId="4" fillId="2" borderId="12" xfId="3" applyFont="1" applyFill="1" applyBorder="1" applyAlignment="1">
      <alignment horizontal="center" vertical="top"/>
    </xf>
    <xf numFmtId="0" fontId="3" fillId="2" borderId="12" xfId="3" applyFont="1" applyFill="1" applyBorder="1" applyAlignment="1">
      <alignment horizontal="center" vertical="top"/>
    </xf>
    <xf numFmtId="0" fontId="4" fillId="2" borderId="12" xfId="3" applyFont="1" applyFill="1" applyBorder="1" applyAlignment="1">
      <alignment wrapText="1"/>
    </xf>
    <xf numFmtId="0" fontId="3" fillId="2" borderId="12" xfId="3" applyFont="1" applyFill="1" applyBorder="1" applyAlignment="1">
      <alignment wrapText="1"/>
    </xf>
    <xf numFmtId="0" fontId="3" fillId="2" borderId="12" xfId="3" applyFont="1" applyFill="1" applyBorder="1" applyAlignment="1">
      <alignment vertical="top" wrapText="1"/>
    </xf>
    <xf numFmtId="0" fontId="3" fillId="2" borderId="13" xfId="3" applyFont="1" applyFill="1" applyBorder="1" applyAlignment="1">
      <alignment horizontal="center" vertical="top"/>
    </xf>
    <xf numFmtId="0" fontId="3" fillId="2" borderId="13" xfId="3" applyFont="1" applyFill="1" applyBorder="1" applyAlignment="1">
      <alignment vertical="top" wrapText="1"/>
    </xf>
    <xf numFmtId="0" fontId="3" fillId="2" borderId="0" xfId="3" applyFont="1" applyFill="1" applyBorder="1" applyAlignment="1">
      <alignment horizontal="center" vertical="top"/>
    </xf>
    <xf numFmtId="0" fontId="1" fillId="2" borderId="0" xfId="3" applyFont="1" applyFill="1" applyBorder="1" applyAlignment="1">
      <alignment wrapText="1"/>
    </xf>
    <xf numFmtId="175" fontId="1" fillId="2" borderId="0" xfId="3" applyNumberFormat="1" applyFont="1" applyFill="1" applyBorder="1" applyAlignment="1"/>
    <xf numFmtId="166" fontId="4" fillId="2" borderId="1" xfId="7" applyNumberFormat="1" applyFont="1" applyFill="1" applyBorder="1" applyAlignment="1">
      <alignment horizontal="right"/>
    </xf>
    <xf numFmtId="166" fontId="3" fillId="2" borderId="1" xfId="0" applyNumberFormat="1" applyFont="1" applyFill="1" applyBorder="1"/>
    <xf numFmtId="174" fontId="18" fillId="2" borderId="0" xfId="0" applyNumberFormat="1" applyFont="1" applyFill="1"/>
    <xf numFmtId="166" fontId="18" fillId="2" borderId="0" xfId="0" applyNumberFormat="1" applyFont="1" applyFill="1"/>
    <xf numFmtId="166" fontId="2" fillId="2" borderId="1" xfId="19" applyNumberFormat="1" applyFont="1" applyFill="1" applyBorder="1" applyAlignment="1">
      <alignment horizontal="right" vertical="top"/>
    </xf>
    <xf numFmtId="166" fontId="1" fillId="2" borderId="1" xfId="19" applyNumberFormat="1" applyFont="1" applyFill="1" applyBorder="1" applyAlignment="1">
      <alignment horizontal="right"/>
    </xf>
    <xf numFmtId="166" fontId="1" fillId="2" borderId="23" xfId="14" applyNumberFormat="1" applyFont="1" applyFill="1" applyBorder="1" applyAlignment="1">
      <alignment horizontal="right"/>
    </xf>
    <xf numFmtId="166" fontId="1" fillId="2" borderId="1" xfId="16" applyNumberFormat="1" applyFont="1" applyFill="1" applyBorder="1" applyAlignment="1">
      <alignment horizontal="right"/>
    </xf>
    <xf numFmtId="0" fontId="1" fillId="2" borderId="0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 vertical="top"/>
    </xf>
    <xf numFmtId="0" fontId="1" fillId="2" borderId="1" xfId="1" applyFont="1" applyFill="1" applyBorder="1" applyAlignment="1">
      <alignment vertical="top"/>
    </xf>
    <xf numFmtId="0" fontId="1" fillId="2" borderId="0" xfId="7" applyFont="1" applyFill="1" applyBorder="1"/>
    <xf numFmtId="0" fontId="1" fillId="2" borderId="0" xfId="7" applyFont="1" applyFill="1" applyAlignment="1">
      <alignment wrapText="1"/>
    </xf>
    <xf numFmtId="166" fontId="1" fillId="2" borderId="21" xfId="16" applyNumberFormat="1" applyFont="1" applyFill="1" applyBorder="1" applyAlignment="1">
      <alignment horizontal="right"/>
    </xf>
    <xf numFmtId="166" fontId="3" fillId="2" borderId="0" xfId="19" applyNumberFormat="1" applyFont="1" applyFill="1" applyAlignment="1">
      <alignment horizontal="right"/>
    </xf>
    <xf numFmtId="166" fontId="1" fillId="2" borderId="0" xfId="7" applyNumberFormat="1" applyFont="1" applyFill="1" applyAlignment="1">
      <alignment horizontal="right"/>
    </xf>
    <xf numFmtId="166" fontId="19" fillId="2" borderId="1" xfId="0" applyNumberFormat="1" applyFont="1" applyFill="1" applyBorder="1"/>
    <xf numFmtId="2" fontId="10" fillId="2" borderId="1" xfId="0" applyNumberFormat="1" applyFont="1" applyFill="1" applyBorder="1"/>
    <xf numFmtId="177" fontId="10" fillId="2" borderId="1" xfId="0" applyNumberFormat="1" applyFont="1" applyFill="1" applyBorder="1"/>
    <xf numFmtId="166" fontId="1" fillId="2" borderId="19" xfId="16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21" xfId="16" applyFont="1" applyFill="1" applyBorder="1" applyAlignment="1">
      <alignment horizontal="center" vertical="top"/>
    </xf>
    <xf numFmtId="49" fontId="1" fillId="2" borderId="32" xfId="16" applyNumberFormat="1" applyFont="1" applyFill="1" applyBorder="1" applyAlignment="1">
      <alignment horizontal="center"/>
    </xf>
    <xf numFmtId="49" fontId="1" fillId="2" borderId="23" xfId="11" applyNumberFormat="1" applyFont="1" applyFill="1" applyBorder="1" applyAlignment="1">
      <alignment horizontal="center"/>
    </xf>
    <xf numFmtId="49" fontId="1" fillId="2" borderId="22" xfId="16" applyNumberFormat="1" applyFont="1" applyFill="1" applyBorder="1" applyAlignment="1">
      <alignment wrapText="1"/>
    </xf>
    <xf numFmtId="49" fontId="1" fillId="2" borderId="21" xfId="12" applyNumberFormat="1" applyFont="1" applyFill="1" applyBorder="1" applyAlignment="1">
      <alignment horizontal="center" wrapText="1"/>
    </xf>
    <xf numFmtId="49" fontId="1" fillId="2" borderId="21" xfId="12" applyNumberFormat="1" applyFont="1" applyFill="1" applyBorder="1" applyAlignment="1">
      <alignment horizontal="center"/>
    </xf>
    <xf numFmtId="49" fontId="1" fillId="2" borderId="31" xfId="12" applyNumberFormat="1" applyFont="1" applyFill="1" applyBorder="1" applyAlignment="1">
      <alignment horizontal="center"/>
    </xf>
    <xf numFmtId="49" fontId="1" fillId="2" borderId="34" xfId="12" applyNumberFormat="1" applyFont="1" applyFill="1" applyBorder="1" applyAlignment="1">
      <alignment horizontal="center"/>
    </xf>
    <xf numFmtId="49" fontId="1" fillId="2" borderId="22" xfId="12" applyNumberFormat="1" applyFont="1" applyFill="1" applyBorder="1" applyAlignment="1">
      <alignment horizontal="center"/>
    </xf>
    <xf numFmtId="49" fontId="1" fillId="2" borderId="1" xfId="16" applyNumberFormat="1" applyFont="1" applyFill="1" applyBorder="1" applyAlignment="1">
      <alignment wrapText="1"/>
    </xf>
    <xf numFmtId="166" fontId="1" fillId="2" borderId="33" xfId="16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/>
    </xf>
    <xf numFmtId="0" fontId="3" fillId="2" borderId="0" xfId="3" applyFont="1" applyFill="1"/>
    <xf numFmtId="0" fontId="3" fillId="2" borderId="0" xfId="7" applyFont="1" applyFill="1" applyAlignment="1">
      <alignment horizontal="right"/>
    </xf>
    <xf numFmtId="168" fontId="3" fillId="2" borderId="0" xfId="3" applyNumberFormat="1" applyFont="1" applyFill="1"/>
    <xf numFmtId="170" fontId="3" fillId="2" borderId="0" xfId="1" applyNumberFormat="1" applyFont="1" applyFill="1" applyAlignment="1">
      <alignment horizontal="right"/>
    </xf>
    <xf numFmtId="0" fontId="3" fillId="2" borderId="1" xfId="3" applyFont="1" applyFill="1" applyBorder="1"/>
    <xf numFmtId="0" fontId="4" fillId="2" borderId="1" xfId="3" applyFont="1" applyFill="1" applyBorder="1" applyAlignment="1"/>
    <xf numFmtId="166" fontId="4" fillId="2" borderId="1" xfId="10" applyNumberFormat="1" applyFont="1" applyFill="1" applyBorder="1" applyAlignment="1">
      <alignment horizontal="right" wrapText="1"/>
    </xf>
    <xf numFmtId="166" fontId="3" fillId="2" borderId="0" xfId="3" applyNumberFormat="1" applyFont="1" applyFill="1"/>
    <xf numFmtId="0" fontId="3" fillId="2" borderId="1" xfId="3" applyFont="1" applyFill="1" applyBorder="1" applyAlignment="1">
      <alignment horizontal="left"/>
    </xf>
    <xf numFmtId="49" fontId="4" fillId="2" borderId="1" xfId="3" applyNumberFormat="1" applyFont="1" applyFill="1" applyBorder="1" applyAlignment="1">
      <alignment horizontal="center" vertical="top"/>
    </xf>
    <xf numFmtId="0" fontId="4" fillId="2" borderId="1" xfId="3" applyFont="1" applyFill="1" applyBorder="1" applyAlignment="1">
      <alignment wrapText="1"/>
    </xf>
    <xf numFmtId="0" fontId="4" fillId="2" borderId="0" xfId="3" applyFont="1" applyFill="1"/>
    <xf numFmtId="0" fontId="4" fillId="2" borderId="1" xfId="3" applyFont="1" applyFill="1" applyBorder="1" applyAlignment="1">
      <alignment horizontal="center" vertical="top"/>
    </xf>
    <xf numFmtId="0" fontId="3" fillId="2" borderId="1" xfId="3" applyFont="1" applyFill="1" applyBorder="1" applyAlignment="1">
      <alignment horizontal="center" vertical="top"/>
    </xf>
    <xf numFmtId="0" fontId="3" fillId="2" borderId="1" xfId="3" applyFont="1" applyFill="1" applyBorder="1" applyAlignment="1"/>
    <xf numFmtId="49" fontId="4" fillId="2" borderId="1" xfId="7" applyNumberFormat="1" applyFont="1" applyFill="1" applyBorder="1" applyAlignment="1">
      <alignment horizontal="left" wrapText="1"/>
    </xf>
    <xf numFmtId="166" fontId="4" fillId="2" borderId="1" xfId="3" applyNumberFormat="1" applyFont="1" applyFill="1" applyBorder="1" applyAlignment="1"/>
    <xf numFmtId="0" fontId="3" fillId="2" borderId="1" xfId="3" applyFont="1" applyFill="1" applyBorder="1" applyAlignment="1">
      <alignment vertical="top"/>
    </xf>
    <xf numFmtId="166" fontId="3" fillId="2" borderId="1" xfId="3" applyNumberFormat="1" applyFont="1" applyFill="1" applyBorder="1" applyAlignment="1"/>
    <xf numFmtId="0" fontId="21" fillId="2" borderId="1" xfId="3" applyFont="1" applyFill="1" applyBorder="1"/>
    <xf numFmtId="49" fontId="4" fillId="2" borderId="0" xfId="7" applyNumberFormat="1" applyFont="1" applyFill="1" applyBorder="1" applyAlignment="1">
      <alignment vertical="top" wrapText="1"/>
    </xf>
    <xf numFmtId="49" fontId="3" fillId="2" borderId="0" xfId="7" applyNumberFormat="1" applyFont="1" applyFill="1" applyBorder="1" applyAlignment="1">
      <alignment horizontal="center"/>
    </xf>
    <xf numFmtId="168" fontId="3" fillId="2" borderId="0" xfId="7" applyNumberFormat="1" applyFont="1" applyFill="1"/>
    <xf numFmtId="0" fontId="3" fillId="2" borderId="0" xfId="7" applyFont="1" applyFill="1"/>
    <xf numFmtId="0" fontId="3" fillId="2" borderId="1" xfId="3" applyFont="1" applyFill="1" applyBorder="1" applyAlignment="1">
      <alignment horizontal="center"/>
    </xf>
    <xf numFmtId="173" fontId="1" fillId="0" borderId="0" xfId="3" applyNumberFormat="1" applyFont="1" applyFill="1"/>
    <xf numFmtId="173" fontId="2" fillId="0" borderId="0" xfId="3" applyNumberFormat="1" applyFont="1" applyFill="1"/>
    <xf numFmtId="168" fontId="2" fillId="0" borderId="0" xfId="3" applyNumberFormat="1" applyFont="1" applyFill="1" applyAlignment="1">
      <alignment shrinkToFit="1"/>
    </xf>
    <xf numFmtId="0" fontId="2" fillId="0" borderId="0" xfId="3" applyFont="1" applyFill="1"/>
    <xf numFmtId="49" fontId="2" fillId="2" borderId="0" xfId="7" applyNumberFormat="1" applyFont="1" applyFill="1" applyBorder="1" applyAlignment="1">
      <alignment vertical="top" wrapText="1"/>
    </xf>
    <xf numFmtId="49" fontId="1" fillId="0" borderId="0" xfId="7" applyNumberFormat="1" applyFont="1" applyFill="1" applyBorder="1" applyAlignment="1">
      <alignment horizontal="center"/>
    </xf>
    <xf numFmtId="49" fontId="3" fillId="0" borderId="0" xfId="7" applyNumberFormat="1" applyFont="1" applyFill="1" applyBorder="1" applyAlignment="1">
      <alignment horizontal="center"/>
    </xf>
    <xf numFmtId="168" fontId="1" fillId="0" borderId="0" xfId="7" applyNumberFormat="1" applyFont="1" applyFill="1"/>
    <xf numFmtId="175" fontId="3" fillId="2" borderId="15" xfId="0" applyNumberFormat="1" applyFont="1" applyFill="1" applyBorder="1"/>
    <xf numFmtId="175" fontId="3" fillId="2" borderId="15" xfId="0" applyNumberFormat="1" applyFont="1" applyFill="1" applyBorder="1" applyAlignment="1">
      <alignment vertical="top"/>
    </xf>
    <xf numFmtId="175" fontId="3" fillId="2" borderId="14" xfId="0" applyNumberFormat="1" applyFont="1" applyFill="1" applyBorder="1" applyAlignment="1">
      <alignment vertical="top"/>
    </xf>
    <xf numFmtId="167" fontId="4" fillId="2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1" fillId="2" borderId="1" xfId="1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 vertical="top"/>
    </xf>
    <xf numFmtId="167" fontId="1" fillId="2" borderId="1" xfId="0" applyNumberFormat="1" applyFont="1" applyFill="1" applyBorder="1" applyAlignment="1">
      <alignment horizontal="right" vertical="top"/>
    </xf>
    <xf numFmtId="175" fontId="1" fillId="2" borderId="12" xfId="19" applyNumberFormat="1" applyFont="1" applyFill="1" applyBorder="1" applyAlignment="1">
      <alignment vertical="top"/>
    </xf>
    <xf numFmtId="175" fontId="3" fillId="2" borderId="12" xfId="0" applyNumberFormat="1" applyFont="1" applyFill="1" applyBorder="1"/>
    <xf numFmtId="175" fontId="3" fillId="2" borderId="12" xfId="0" applyNumberFormat="1" applyFont="1" applyFill="1" applyBorder="1" applyAlignment="1">
      <alignment vertical="top"/>
    </xf>
    <xf numFmtId="175" fontId="3" fillId="2" borderId="13" xfId="0" applyNumberFormat="1" applyFont="1" applyFill="1" applyBorder="1" applyAlignment="1">
      <alignment vertical="top"/>
    </xf>
    <xf numFmtId="0" fontId="4" fillId="2" borderId="6" xfId="3" applyFont="1" applyFill="1" applyBorder="1" applyAlignment="1">
      <alignment vertical="top" wrapText="1"/>
    </xf>
    <xf numFmtId="0" fontId="4" fillId="2" borderId="0" xfId="3" applyFont="1" applyFill="1" applyBorder="1" applyAlignment="1">
      <alignment vertical="top" wrapText="1"/>
    </xf>
    <xf numFmtId="0" fontId="3" fillId="2" borderId="0" xfId="3" applyFont="1" applyFill="1" applyBorder="1" applyAlignment="1">
      <alignment vertical="top" wrapText="1"/>
    </xf>
    <xf numFmtId="0" fontId="3" fillId="2" borderId="4" xfId="3" applyFont="1" applyFill="1" applyBorder="1" applyAlignment="1">
      <alignment vertical="top" wrapText="1"/>
    </xf>
    <xf numFmtId="0" fontId="3" fillId="2" borderId="5" xfId="3" applyFont="1" applyFill="1" applyBorder="1" applyAlignment="1">
      <alignment horizontal="center" wrapText="1"/>
    </xf>
    <xf numFmtId="175" fontId="4" fillId="2" borderId="12" xfId="13" applyNumberFormat="1" applyFont="1" applyFill="1" applyBorder="1" applyAlignment="1">
      <alignment horizontal="right" vertical="center"/>
    </xf>
    <xf numFmtId="175" fontId="3" fillId="2" borderId="12" xfId="13" applyNumberFormat="1" applyFont="1" applyFill="1" applyBorder="1" applyAlignment="1">
      <alignment horizontal="right" vertical="center"/>
    </xf>
    <xf numFmtId="175" fontId="3" fillId="2" borderId="13" xfId="13" applyNumberFormat="1" applyFont="1" applyFill="1" applyBorder="1" applyAlignment="1">
      <alignment horizontal="right" vertical="center"/>
    </xf>
    <xf numFmtId="175" fontId="4" fillId="2" borderId="6" xfId="13" applyNumberFormat="1" applyFont="1" applyFill="1" applyBorder="1" applyAlignment="1">
      <alignment horizontal="right" vertical="center"/>
    </xf>
    <xf numFmtId="175" fontId="4" fillId="2" borderId="8" xfId="13" applyNumberFormat="1" applyFont="1" applyFill="1" applyBorder="1" applyAlignment="1">
      <alignment horizontal="right" vertical="center"/>
    </xf>
    <xf numFmtId="175" fontId="4" fillId="2" borderId="11" xfId="13" applyNumberFormat="1" applyFont="1" applyFill="1" applyBorder="1" applyAlignment="1">
      <alignment horizontal="right" vertical="center"/>
    </xf>
    <xf numFmtId="175" fontId="3" fillId="2" borderId="11" xfId="13" applyNumberFormat="1" applyFont="1" applyFill="1" applyBorder="1" applyAlignment="1">
      <alignment horizontal="right" vertical="center"/>
    </xf>
    <xf numFmtId="175" fontId="3" fillId="2" borderId="10" xfId="13" applyNumberFormat="1" applyFont="1" applyFill="1" applyBorder="1" applyAlignment="1">
      <alignment horizontal="right" vertical="center"/>
    </xf>
    <xf numFmtId="175" fontId="3" fillId="2" borderId="11" xfId="0" applyNumberFormat="1" applyFont="1" applyFill="1" applyBorder="1"/>
    <xf numFmtId="175" fontId="3" fillId="2" borderId="11" xfId="0" applyNumberFormat="1" applyFont="1" applyFill="1" applyBorder="1" applyAlignment="1">
      <alignment vertical="top"/>
    </xf>
    <xf numFmtId="175" fontId="1" fillId="2" borderId="11" xfId="19" applyNumberFormat="1" applyFont="1" applyFill="1" applyBorder="1" applyAlignment="1">
      <alignment vertical="top"/>
    </xf>
    <xf numFmtId="175" fontId="3" fillId="2" borderId="10" xfId="0" applyNumberFormat="1" applyFont="1" applyFill="1" applyBorder="1" applyAlignment="1">
      <alignment vertical="top"/>
    </xf>
    <xf numFmtId="0" fontId="1" fillId="2" borderId="7" xfId="1" applyFont="1" applyFill="1" applyBorder="1" applyAlignment="1">
      <alignment vertical="top"/>
    </xf>
    <xf numFmtId="0" fontId="2" fillId="2" borderId="7" xfId="7" applyFont="1" applyFill="1" applyBorder="1" applyAlignment="1">
      <alignment vertical="top" wrapText="1"/>
    </xf>
    <xf numFmtId="167" fontId="2" fillId="2" borderId="7" xfId="10" applyNumberFormat="1" applyFont="1" applyFill="1" applyBorder="1" applyAlignment="1">
      <alignment vertical="top"/>
    </xf>
    <xf numFmtId="0" fontId="1" fillId="2" borderId="1" xfId="0" applyFont="1" applyFill="1" applyBorder="1" applyAlignment="1">
      <alignment wrapText="1"/>
    </xf>
    <xf numFmtId="49" fontId="1" fillId="2" borderId="3" xfId="8" applyNumberFormat="1" applyFont="1" applyFill="1" applyBorder="1" applyAlignment="1">
      <alignment wrapText="1"/>
    </xf>
    <xf numFmtId="49" fontId="1" fillId="2" borderId="19" xfId="4" applyNumberFormat="1" applyFont="1" applyFill="1" applyBorder="1" applyAlignment="1">
      <alignment wrapText="1"/>
    </xf>
    <xf numFmtId="166" fontId="3" fillId="2" borderId="1" xfId="0" applyNumberFormat="1" applyFont="1" applyFill="1" applyBorder="1" applyAlignment="1"/>
    <xf numFmtId="49" fontId="1" fillId="2" borderId="18" xfId="5" applyNumberFormat="1" applyFont="1" applyFill="1" applyBorder="1" applyAlignment="1">
      <alignment wrapText="1"/>
    </xf>
    <xf numFmtId="49" fontId="1" fillId="2" borderId="1" xfId="11" applyNumberFormat="1" applyFont="1" applyFill="1" applyBorder="1" applyAlignment="1">
      <alignment horizontal="center" wrapText="1"/>
    </xf>
    <xf numFmtId="49" fontId="1" fillId="2" borderId="1" xfId="11" applyNumberFormat="1" applyFont="1" applyFill="1" applyBorder="1" applyAlignment="1">
      <alignment horizontal="center"/>
    </xf>
    <xf numFmtId="0" fontId="10" fillId="2" borderId="0" xfId="7" applyFont="1" applyFill="1" applyAlignment="1">
      <alignment horizontal="center"/>
    </xf>
    <xf numFmtId="166" fontId="10" fillId="2" borderId="0" xfId="7" applyNumberFormat="1" applyFont="1" applyFill="1"/>
    <xf numFmtId="0" fontId="10" fillId="2" borderId="0" xfId="7" applyFont="1" applyFill="1" applyBorder="1" applyAlignment="1">
      <alignment horizontal="center" vertical="top"/>
    </xf>
    <xf numFmtId="168" fontId="3" fillId="2" borderId="0" xfId="7" applyNumberFormat="1" applyFont="1" applyFill="1" applyBorder="1" applyAlignment="1">
      <alignment horizontal="right"/>
    </xf>
    <xf numFmtId="168" fontId="3" fillId="2" borderId="1" xfId="3" applyNumberFormat="1" applyFont="1" applyFill="1" applyBorder="1" applyAlignment="1">
      <alignment horizontal="center" vertical="center"/>
    </xf>
    <xf numFmtId="49" fontId="3" fillId="2" borderId="1" xfId="7" applyNumberFormat="1" applyFont="1" applyFill="1" applyBorder="1" applyAlignment="1">
      <alignment horizontal="center" vertical="top" wrapText="1"/>
    </xf>
    <xf numFmtId="0" fontId="3" fillId="2" borderId="1" xfId="7" applyFont="1" applyFill="1" applyBorder="1" applyAlignment="1">
      <alignment horizontal="center" vertical="top"/>
    </xf>
    <xf numFmtId="49" fontId="4" fillId="2" borderId="1" xfId="7" applyNumberFormat="1" applyFont="1" applyFill="1" applyBorder="1" applyAlignment="1">
      <alignment horizontal="left" vertical="top" wrapText="1"/>
    </xf>
    <xf numFmtId="49" fontId="3" fillId="2" borderId="9" xfId="7" applyNumberFormat="1" applyFont="1" applyFill="1" applyBorder="1" applyAlignment="1">
      <alignment horizontal="center" vertical="top"/>
    </xf>
    <xf numFmtId="49" fontId="3" fillId="2" borderId="1" xfId="7" applyNumberFormat="1" applyFont="1" applyFill="1" applyBorder="1" applyAlignment="1">
      <alignment horizontal="center" vertical="top"/>
    </xf>
    <xf numFmtId="166" fontId="4" fillId="2" borderId="1" xfId="7" applyNumberFormat="1" applyFont="1" applyFill="1" applyBorder="1" applyAlignment="1">
      <alignment horizontal="right" vertical="top"/>
    </xf>
    <xf numFmtId="172" fontId="22" fillId="2" borderId="0" xfId="7" applyNumberFormat="1" applyFont="1" applyFill="1"/>
    <xf numFmtId="0" fontId="4" fillId="2" borderId="1" xfId="5" applyFont="1" applyFill="1" applyBorder="1" applyAlignment="1">
      <alignment horizontal="center" vertical="top"/>
    </xf>
    <xf numFmtId="49" fontId="4" fillId="2" borderId="4" xfId="7" applyNumberFormat="1" applyFont="1" applyFill="1" applyBorder="1" applyAlignment="1">
      <alignment horizontal="center"/>
    </xf>
    <xf numFmtId="49" fontId="4" fillId="2" borderId="10" xfId="7" applyNumberFormat="1" applyFont="1" applyFill="1" applyBorder="1" applyAlignment="1">
      <alignment horizontal="center"/>
    </xf>
    <xf numFmtId="49" fontId="4" fillId="2" borderId="1" xfId="7" applyNumberFormat="1" applyFont="1" applyFill="1" applyBorder="1" applyAlignment="1">
      <alignment horizontal="center"/>
    </xf>
    <xf numFmtId="0" fontId="9" fillId="2" borderId="0" xfId="7" applyFont="1" applyFill="1"/>
    <xf numFmtId="49" fontId="3" fillId="2" borderId="1" xfId="0" applyNumberFormat="1" applyFont="1" applyFill="1" applyBorder="1" applyAlignment="1">
      <alignment wrapText="1"/>
    </xf>
    <xf numFmtId="49" fontId="3" fillId="2" borderId="17" xfId="11" applyNumberFormat="1" applyFont="1" applyFill="1" applyBorder="1" applyAlignment="1">
      <alignment horizontal="center"/>
    </xf>
    <xf numFmtId="49" fontId="3" fillId="2" borderId="18" xfId="16" applyNumberFormat="1" applyFont="1" applyFill="1" applyBorder="1" applyAlignment="1">
      <alignment horizontal="center"/>
    </xf>
    <xf numFmtId="49" fontId="3" fillId="2" borderId="19" xfId="16" applyNumberFormat="1" applyFont="1" applyFill="1" applyBorder="1" applyAlignment="1">
      <alignment horizontal="center" wrapText="1"/>
    </xf>
    <xf numFmtId="49" fontId="3" fillId="2" borderId="16" xfId="16" applyNumberFormat="1" applyFont="1" applyFill="1" applyBorder="1" applyAlignment="1">
      <alignment horizontal="center"/>
    </xf>
    <xf numFmtId="49" fontId="3" fillId="2" borderId="19" xfId="11" applyNumberFormat="1" applyFont="1" applyFill="1" applyBorder="1" applyAlignment="1">
      <alignment wrapText="1"/>
    </xf>
    <xf numFmtId="49" fontId="3" fillId="2" borderId="1" xfId="5" applyNumberFormat="1" applyFont="1" applyFill="1" applyBorder="1" applyAlignment="1">
      <alignment horizontal="left" wrapText="1"/>
    </xf>
    <xf numFmtId="2" fontId="3" fillId="2" borderId="3" xfId="0" applyNumberFormat="1" applyFont="1" applyFill="1" applyBorder="1" applyAlignment="1">
      <alignment wrapText="1"/>
    </xf>
    <xf numFmtId="49" fontId="3" fillId="2" borderId="1" xfId="7" applyNumberFormat="1" applyFont="1" applyFill="1" applyBorder="1" applyAlignment="1">
      <alignment wrapText="1"/>
    </xf>
    <xf numFmtId="0" fontId="4" fillId="2" borderId="1" xfId="7" applyFont="1" applyFill="1" applyBorder="1" applyAlignment="1">
      <alignment horizontal="center" vertical="top"/>
    </xf>
    <xf numFmtId="49" fontId="4" fillId="2" borderId="9" xfId="7" applyNumberFormat="1" applyFont="1" applyFill="1" applyBorder="1" applyAlignment="1">
      <alignment horizontal="center"/>
    </xf>
    <xf numFmtId="49" fontId="4" fillId="2" borderId="3" xfId="7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wrapText="1"/>
    </xf>
    <xf numFmtId="49" fontId="3" fillId="2" borderId="3" xfId="5" applyNumberFormat="1" applyFont="1" applyFill="1" applyBorder="1" applyAlignment="1">
      <alignment horizontal="left" wrapText="1"/>
    </xf>
    <xf numFmtId="49" fontId="3" fillId="2" borderId="2" xfId="6" applyNumberFormat="1" applyFont="1" applyFill="1" applyBorder="1" applyAlignment="1">
      <alignment horizontal="center"/>
    </xf>
    <xf numFmtId="49" fontId="3" fillId="2" borderId="9" xfId="6" applyNumberFormat="1" applyFont="1" applyFill="1" applyBorder="1" applyAlignment="1">
      <alignment horizontal="center"/>
    </xf>
    <xf numFmtId="49" fontId="3" fillId="2" borderId="3" xfId="6" applyNumberFormat="1" applyFont="1" applyFill="1" applyBorder="1" applyAlignment="1">
      <alignment horizontal="center"/>
    </xf>
    <xf numFmtId="49" fontId="3" fillId="2" borderId="1" xfId="6" applyNumberFormat="1" applyFont="1" applyFill="1" applyBorder="1" applyAlignment="1">
      <alignment horizontal="center"/>
    </xf>
    <xf numFmtId="49" fontId="3" fillId="2" borderId="4" xfId="7" applyNumberFormat="1" applyFont="1" applyFill="1" applyBorder="1" applyAlignment="1">
      <alignment horizontal="center"/>
    </xf>
    <xf numFmtId="49" fontId="3" fillId="2" borderId="11" xfId="7" applyNumberFormat="1" applyFont="1" applyFill="1" applyBorder="1" applyAlignment="1">
      <alignment horizontal="center"/>
    </xf>
    <xf numFmtId="49" fontId="4" fillId="2" borderId="1" xfId="7" applyNumberFormat="1" applyFont="1" applyFill="1" applyBorder="1" applyAlignment="1">
      <alignment wrapText="1"/>
    </xf>
    <xf numFmtId="49" fontId="3" fillId="2" borderId="19" xfId="16" applyNumberFormat="1" applyFont="1" applyFill="1" applyBorder="1" applyAlignment="1">
      <alignment wrapText="1"/>
    </xf>
    <xf numFmtId="49" fontId="3" fillId="2" borderId="16" xfId="6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wrapText="1"/>
    </xf>
    <xf numFmtId="49" fontId="3" fillId="3" borderId="3" xfId="0" applyNumberFormat="1" applyFont="1" applyFill="1" applyBorder="1" applyAlignment="1">
      <alignment horizontal="left" wrapText="1"/>
    </xf>
    <xf numFmtId="49" fontId="3" fillId="2" borderId="10" xfId="7" applyNumberFormat="1" applyFont="1" applyFill="1" applyBorder="1" applyAlignment="1">
      <alignment horizontal="center"/>
    </xf>
    <xf numFmtId="49" fontId="3" fillId="2" borderId="1" xfId="6" applyNumberFormat="1" applyFont="1" applyFill="1" applyBorder="1" applyAlignment="1">
      <alignment horizontal="left" wrapText="1"/>
    </xf>
    <xf numFmtId="49" fontId="3" fillId="2" borderId="3" xfId="4" applyNumberFormat="1" applyFont="1" applyFill="1" applyBorder="1" applyAlignment="1" applyProtection="1">
      <alignment horizontal="left" wrapText="1"/>
      <protection hidden="1"/>
    </xf>
    <xf numFmtId="49" fontId="3" fillId="2" borderId="3" xfId="6" applyNumberFormat="1" applyFont="1" applyFill="1" applyBorder="1" applyAlignment="1">
      <alignment horizontal="left" wrapText="1"/>
    </xf>
    <xf numFmtId="49" fontId="3" fillId="2" borderId="1" xfId="4" applyNumberFormat="1" applyFont="1" applyFill="1" applyBorder="1" applyAlignment="1" applyProtection="1">
      <alignment horizontal="left" wrapText="1"/>
      <protection hidden="1"/>
    </xf>
    <xf numFmtId="49" fontId="3" fillId="2" borderId="30" xfId="14" applyNumberFormat="1" applyFont="1" applyFill="1" applyBorder="1" applyAlignment="1">
      <alignment wrapText="1"/>
    </xf>
    <xf numFmtId="49" fontId="3" fillId="2" borderId="13" xfId="14" applyNumberFormat="1" applyFont="1" applyFill="1" applyBorder="1" applyAlignment="1">
      <alignment wrapText="1"/>
    </xf>
    <xf numFmtId="49" fontId="3" fillId="2" borderId="1" xfId="14" applyNumberFormat="1" applyFont="1" applyFill="1" applyBorder="1" applyAlignment="1">
      <alignment wrapText="1"/>
    </xf>
    <xf numFmtId="49" fontId="3" fillId="2" borderId="19" xfId="14" applyNumberFormat="1" applyFont="1" applyFill="1" applyBorder="1" applyAlignment="1">
      <alignment wrapText="1"/>
    </xf>
    <xf numFmtId="0" fontId="3" fillId="2" borderId="1" xfId="5" applyFont="1" applyFill="1" applyBorder="1" applyAlignment="1">
      <alignment horizontal="center" vertical="top"/>
    </xf>
    <xf numFmtId="49" fontId="3" fillId="2" borderId="9" xfId="5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4" fillId="2" borderId="1" xfId="5" applyNumberFormat="1" applyFont="1" applyFill="1" applyBorder="1" applyAlignment="1">
      <alignment horizontal="left" wrapText="1"/>
    </xf>
    <xf numFmtId="49" fontId="4" fillId="2" borderId="9" xfId="6" applyNumberFormat="1" applyFont="1" applyFill="1" applyBorder="1" applyAlignment="1">
      <alignment horizontal="center"/>
    </xf>
    <xf numFmtId="168" fontId="4" fillId="2" borderId="1" xfId="7" applyNumberFormat="1" applyFont="1" applyFill="1" applyBorder="1" applyAlignment="1">
      <alignment horizontal="center"/>
    </xf>
    <xf numFmtId="49" fontId="3" fillId="2" borderId="25" xfId="11" applyNumberFormat="1" applyFont="1" applyFill="1" applyBorder="1" applyAlignment="1">
      <alignment horizontal="center"/>
    </xf>
    <xf numFmtId="49" fontId="3" fillId="2" borderId="20" xfId="16" applyNumberFormat="1" applyFont="1" applyFill="1" applyBorder="1" applyAlignment="1">
      <alignment horizontal="center"/>
    </xf>
    <xf numFmtId="49" fontId="3" fillId="2" borderId="26" xfId="16" applyNumberFormat="1" applyFont="1" applyFill="1" applyBorder="1" applyAlignment="1">
      <alignment horizontal="center"/>
    </xf>
    <xf numFmtId="49" fontId="3" fillId="2" borderId="19" xfId="5" applyNumberFormat="1" applyFont="1" applyFill="1" applyBorder="1" applyAlignment="1">
      <alignment wrapText="1"/>
    </xf>
    <xf numFmtId="49" fontId="3" fillId="2" borderId="19" xfId="16" applyNumberFormat="1" applyFont="1" applyFill="1" applyBorder="1" applyAlignment="1">
      <alignment horizontal="center"/>
    </xf>
    <xf numFmtId="49" fontId="3" fillId="2" borderId="1" xfId="5" applyNumberFormat="1" applyFont="1" applyFill="1" applyBorder="1" applyAlignment="1">
      <alignment wrapText="1"/>
    </xf>
    <xf numFmtId="49" fontId="3" fillId="2" borderId="3" xfId="5" applyNumberFormat="1" applyFont="1" applyFill="1" applyBorder="1" applyAlignment="1">
      <alignment horizontal="center"/>
    </xf>
    <xf numFmtId="49" fontId="3" fillId="2" borderId="1" xfId="5" applyNumberFormat="1" applyFont="1" applyFill="1" applyBorder="1" applyAlignment="1">
      <alignment horizontal="center"/>
    </xf>
    <xf numFmtId="49" fontId="3" fillId="2" borderId="6" xfId="6" applyNumberFormat="1" applyFont="1" applyFill="1" applyBorder="1" applyAlignment="1">
      <alignment horizontal="center"/>
    </xf>
    <xf numFmtId="49" fontId="3" fillId="2" borderId="7" xfId="5" applyNumberFormat="1" applyFont="1" applyFill="1" applyBorder="1" applyAlignment="1">
      <alignment horizontal="center"/>
    </xf>
    <xf numFmtId="49" fontId="3" fillId="2" borderId="8" xfId="5" applyNumberFormat="1" applyFont="1" applyFill="1" applyBorder="1" applyAlignment="1">
      <alignment horizontal="center"/>
    </xf>
    <xf numFmtId="49" fontId="3" fillId="2" borderId="17" xfId="6" applyNumberFormat="1" applyFont="1" applyFill="1" applyBorder="1" applyAlignment="1">
      <alignment horizontal="center"/>
    </xf>
    <xf numFmtId="49" fontId="3" fillId="2" borderId="3" xfId="5" applyNumberFormat="1" applyFont="1" applyFill="1" applyBorder="1" applyAlignment="1">
      <alignment wrapText="1"/>
    </xf>
    <xf numFmtId="49" fontId="3" fillId="2" borderId="0" xfId="16" applyNumberFormat="1" applyFont="1" applyFill="1" applyBorder="1" applyAlignment="1">
      <alignment horizontal="center"/>
    </xf>
    <xf numFmtId="49" fontId="3" fillId="2" borderId="22" xfId="14" applyNumberFormat="1" applyFont="1" applyFill="1" applyBorder="1" applyAlignment="1">
      <alignment wrapText="1"/>
    </xf>
    <xf numFmtId="49" fontId="3" fillId="2" borderId="18" xfId="14" applyNumberFormat="1" applyFont="1" applyFill="1" applyBorder="1" applyAlignment="1">
      <alignment horizontal="center"/>
    </xf>
    <xf numFmtId="49" fontId="3" fillId="2" borderId="19" xfId="14" applyNumberFormat="1" applyFont="1" applyFill="1" applyBorder="1" applyAlignment="1">
      <alignment horizontal="center"/>
    </xf>
    <xf numFmtId="49" fontId="3" fillId="2" borderId="21" xfId="14" applyNumberFormat="1" applyFont="1" applyFill="1" applyBorder="1" applyAlignment="1">
      <alignment horizontal="center"/>
    </xf>
    <xf numFmtId="49" fontId="3" fillId="2" borderId="29" xfId="14" applyNumberFormat="1" applyFont="1" applyFill="1" applyBorder="1" applyAlignment="1">
      <alignment wrapText="1"/>
    </xf>
    <xf numFmtId="49" fontId="3" fillId="2" borderId="18" xfId="6" applyNumberFormat="1" applyFont="1" applyFill="1" applyBorder="1" applyAlignment="1">
      <alignment horizontal="center"/>
    </xf>
    <xf numFmtId="49" fontId="3" fillId="2" borderId="16" xfId="14" applyNumberFormat="1" applyFont="1" applyFill="1" applyBorder="1" applyAlignment="1">
      <alignment horizontal="center"/>
    </xf>
    <xf numFmtId="49" fontId="3" fillId="2" borderId="29" xfId="16" applyNumberFormat="1" applyFont="1" applyFill="1" applyBorder="1" applyAlignment="1">
      <alignment wrapText="1"/>
    </xf>
    <xf numFmtId="49" fontId="3" fillId="2" borderId="20" xfId="14" applyNumberFormat="1" applyFont="1" applyFill="1" applyBorder="1" applyAlignment="1">
      <alignment horizontal="center"/>
    </xf>
    <xf numFmtId="49" fontId="3" fillId="2" borderId="26" xfId="14" applyNumberFormat="1" applyFont="1" applyFill="1" applyBorder="1" applyAlignment="1">
      <alignment horizontal="center"/>
    </xf>
    <xf numFmtId="49" fontId="3" fillId="2" borderId="23" xfId="14" applyNumberFormat="1" applyFont="1" applyFill="1" applyBorder="1" applyAlignment="1">
      <alignment horizontal="center"/>
    </xf>
    <xf numFmtId="49" fontId="3" fillId="2" borderId="16" xfId="16" applyNumberFormat="1" applyFont="1" applyFill="1" applyBorder="1" applyAlignment="1">
      <alignment wrapText="1"/>
    </xf>
    <xf numFmtId="49" fontId="3" fillId="2" borderId="20" xfId="6" applyNumberFormat="1" applyFont="1" applyFill="1" applyBorder="1" applyAlignment="1">
      <alignment horizontal="center"/>
    </xf>
    <xf numFmtId="49" fontId="3" fillId="2" borderId="2" xfId="11" applyNumberFormat="1" applyFont="1" applyFill="1" applyBorder="1" applyAlignment="1">
      <alignment horizontal="center"/>
    </xf>
    <xf numFmtId="49" fontId="3" fillId="2" borderId="3" xfId="5" applyNumberFormat="1" applyFont="1" applyFill="1" applyBorder="1" applyAlignment="1">
      <alignment horizontal="center" wrapText="1"/>
    </xf>
    <xf numFmtId="49" fontId="3" fillId="2" borderId="17" xfId="5" applyNumberFormat="1" applyFont="1" applyFill="1" applyBorder="1" applyAlignment="1">
      <alignment horizontal="center"/>
    </xf>
    <xf numFmtId="49" fontId="3" fillId="2" borderId="18" xfId="5" applyNumberFormat="1" applyFont="1" applyFill="1" applyBorder="1" applyAlignment="1">
      <alignment horizontal="center"/>
    </xf>
    <xf numFmtId="49" fontId="3" fillId="2" borderId="19" xfId="5" applyNumberFormat="1" applyFont="1" applyFill="1" applyBorder="1" applyAlignment="1">
      <alignment horizontal="center"/>
    </xf>
    <xf numFmtId="49" fontId="3" fillId="2" borderId="16" xfId="5" applyNumberFormat="1" applyFont="1" applyFill="1" applyBorder="1" applyAlignment="1">
      <alignment horizontal="center"/>
    </xf>
    <xf numFmtId="49" fontId="4" fillId="2" borderId="19" xfId="8" applyNumberFormat="1" applyFont="1" applyFill="1" applyBorder="1" applyAlignment="1">
      <alignment wrapText="1"/>
    </xf>
    <xf numFmtId="49" fontId="4" fillId="2" borderId="17" xfId="11" applyNumberFormat="1" applyFont="1" applyFill="1" applyBorder="1" applyAlignment="1">
      <alignment horizontal="center"/>
    </xf>
    <xf numFmtId="49" fontId="4" fillId="2" borderId="18" xfId="16" applyNumberFormat="1" applyFont="1" applyFill="1" applyBorder="1" applyAlignment="1">
      <alignment horizontal="center"/>
    </xf>
    <xf numFmtId="49" fontId="4" fillId="2" borderId="19" xfId="16" applyNumberFormat="1" applyFont="1" applyFill="1" applyBorder="1" applyAlignment="1">
      <alignment horizontal="center" wrapText="1"/>
    </xf>
    <xf numFmtId="49" fontId="4" fillId="2" borderId="16" xfId="16" applyNumberFormat="1" applyFont="1" applyFill="1" applyBorder="1" applyAlignment="1">
      <alignment horizontal="center"/>
    </xf>
    <xf numFmtId="49" fontId="4" fillId="2" borderId="1" xfId="6" applyNumberFormat="1" applyFont="1" applyFill="1" applyBorder="1" applyAlignment="1">
      <alignment horizontal="center"/>
    </xf>
    <xf numFmtId="11" fontId="3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1" xfId="4" applyNumberFormat="1" applyFont="1" applyFill="1" applyBorder="1" applyAlignment="1" applyProtection="1">
      <alignment horizontal="left" wrapText="1"/>
      <protection hidden="1"/>
    </xf>
    <xf numFmtId="49" fontId="4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6" fontId="3" fillId="2" borderId="1" xfId="7" applyNumberFormat="1" applyFont="1" applyFill="1" applyBorder="1"/>
    <xf numFmtId="49" fontId="3" fillId="2" borderId="0" xfId="0" applyNumberFormat="1" applyFont="1" applyFill="1" applyBorder="1" applyAlignment="1">
      <alignment horizontal="left" vertical="top" wrapText="1"/>
    </xf>
    <xf numFmtId="166" fontId="3" fillId="2" borderId="0" xfId="7" applyNumberFormat="1" applyFont="1" applyFill="1" applyBorder="1"/>
    <xf numFmtId="166" fontId="10" fillId="2" borderId="0" xfId="7" applyNumberFormat="1" applyFont="1" applyFill="1" applyAlignment="1">
      <alignment horizontal="center"/>
    </xf>
    <xf numFmtId="49" fontId="10" fillId="2" borderId="0" xfId="7" applyNumberFormat="1" applyFont="1" applyFill="1" applyAlignment="1">
      <alignment vertical="top" wrapText="1"/>
    </xf>
    <xf numFmtId="49" fontId="10" fillId="2" borderId="0" xfId="7" applyNumberFormat="1" applyFont="1" applyFill="1" applyAlignment="1">
      <alignment horizontal="center"/>
    </xf>
    <xf numFmtId="49" fontId="1" fillId="2" borderId="3" xfId="7" applyNumberFormat="1" applyFont="1" applyFill="1" applyBorder="1" applyAlignment="1">
      <alignment horizontal="center"/>
    </xf>
    <xf numFmtId="166" fontId="3" fillId="2" borderId="4" xfId="7" applyNumberFormat="1" applyFont="1" applyFill="1" applyBorder="1" applyAlignment="1">
      <alignment horizontal="right"/>
    </xf>
    <xf numFmtId="166" fontId="3" fillId="2" borderId="1" xfId="7" applyNumberFormat="1" applyFont="1" applyFill="1" applyBorder="1" applyAlignment="1">
      <alignment horizontal="center" vertical="center"/>
    </xf>
    <xf numFmtId="176" fontId="22" fillId="2" borderId="0" xfId="7" applyNumberFormat="1" applyFont="1" applyFill="1"/>
    <xf numFmtId="0" fontId="10" fillId="2" borderId="1" xfId="7" applyFont="1" applyFill="1" applyBorder="1" applyAlignment="1">
      <alignment horizontal="center" vertical="top"/>
    </xf>
    <xf numFmtId="166" fontId="3" fillId="2" borderId="1" xfId="7" applyNumberFormat="1" applyFont="1" applyFill="1" applyBorder="1" applyAlignment="1"/>
    <xf numFmtId="49" fontId="3" fillId="2" borderId="26" xfId="16" applyNumberFormat="1" applyFont="1" applyFill="1" applyBorder="1" applyAlignment="1">
      <alignment wrapText="1"/>
    </xf>
    <xf numFmtId="49" fontId="3" fillId="2" borderId="19" xfId="12" applyNumberFormat="1" applyFont="1" applyFill="1" applyBorder="1" applyAlignment="1">
      <alignment horizontal="center"/>
    </xf>
    <xf numFmtId="49" fontId="3" fillId="2" borderId="23" xfId="12" applyNumberFormat="1" applyFont="1" applyFill="1" applyBorder="1" applyAlignment="1">
      <alignment horizontal="center"/>
    </xf>
    <xf numFmtId="49" fontId="3" fillId="2" borderId="28" xfId="12" applyNumberFormat="1" applyFont="1" applyFill="1" applyBorder="1" applyAlignment="1">
      <alignment horizontal="center"/>
    </xf>
    <xf numFmtId="49" fontId="3" fillId="2" borderId="1" xfId="12" applyNumberFormat="1" applyFont="1" applyFill="1" applyBorder="1" applyAlignment="1">
      <alignment horizontal="center"/>
    </xf>
    <xf numFmtId="49" fontId="3" fillId="2" borderId="6" xfId="11" applyNumberFormat="1" applyFont="1" applyFill="1" applyBorder="1" applyAlignment="1">
      <alignment horizontal="center"/>
    </xf>
    <xf numFmtId="49" fontId="3" fillId="2" borderId="21" xfId="14" applyNumberFormat="1" applyFont="1" applyFill="1" applyBorder="1" applyAlignment="1">
      <alignment wrapText="1"/>
    </xf>
    <xf numFmtId="49" fontId="3" fillId="2" borderId="31" xfId="6" applyNumberFormat="1" applyFont="1" applyFill="1" applyBorder="1" applyAlignment="1">
      <alignment horizontal="center"/>
    </xf>
    <xf numFmtId="49" fontId="3" fillId="2" borderId="34" xfId="14" applyNumberFormat="1" applyFont="1" applyFill="1" applyBorder="1" applyAlignment="1">
      <alignment horizontal="center"/>
    </xf>
    <xf numFmtId="49" fontId="3" fillId="2" borderId="22" xfId="14" applyNumberFormat="1" applyFont="1" applyFill="1" applyBorder="1" applyAlignment="1">
      <alignment horizontal="center"/>
    </xf>
    <xf numFmtId="166" fontId="3" fillId="2" borderId="13" xfId="7" applyNumberFormat="1" applyFont="1" applyFill="1" applyBorder="1" applyAlignment="1">
      <alignment horizontal="right"/>
    </xf>
    <xf numFmtId="49" fontId="3" fillId="2" borderId="16" xfId="14" applyNumberFormat="1" applyFont="1" applyFill="1" applyBorder="1" applyAlignment="1">
      <alignment wrapText="1"/>
    </xf>
    <xf numFmtId="49" fontId="3" fillId="2" borderId="17" xfId="5" applyNumberFormat="1" applyFont="1" applyFill="1" applyBorder="1" applyAlignment="1">
      <alignment wrapText="1"/>
    </xf>
    <xf numFmtId="49" fontId="3" fillId="2" borderId="24" xfId="6" applyNumberFormat="1" applyFont="1" applyFill="1" applyBorder="1" applyAlignment="1">
      <alignment horizontal="center"/>
    </xf>
    <xf numFmtId="49" fontId="3" fillId="2" borderId="9" xfId="14" applyNumberFormat="1" applyFont="1" applyFill="1" applyBorder="1" applyAlignment="1">
      <alignment horizontal="center"/>
    </xf>
    <xf numFmtId="49" fontId="3" fillId="2" borderId="3" xfId="14" applyNumberFormat="1" applyFont="1" applyFill="1" applyBorder="1" applyAlignment="1">
      <alignment horizontal="center"/>
    </xf>
    <xf numFmtId="49" fontId="3" fillId="2" borderId="1" xfId="14" applyNumberFormat="1" applyFont="1" applyFill="1" applyBorder="1" applyAlignment="1">
      <alignment horizontal="center"/>
    </xf>
    <xf numFmtId="49" fontId="3" fillId="2" borderId="7" xfId="14" applyNumberFormat="1" applyFont="1" applyFill="1" applyBorder="1" applyAlignment="1">
      <alignment horizontal="center"/>
    </xf>
    <xf numFmtId="49" fontId="3" fillId="2" borderId="8" xfId="14" applyNumberFormat="1" applyFont="1" applyFill="1" applyBorder="1" applyAlignment="1">
      <alignment horizontal="center"/>
    </xf>
    <xf numFmtId="49" fontId="3" fillId="2" borderId="18" xfId="16" applyNumberFormat="1" applyFont="1" applyFill="1" applyBorder="1" applyAlignment="1">
      <alignment wrapText="1"/>
    </xf>
    <xf numFmtId="49" fontId="3" fillId="2" borderId="35" xfId="11" applyNumberFormat="1" applyFont="1" applyFill="1" applyBorder="1" applyAlignment="1">
      <alignment horizontal="center"/>
    </xf>
    <xf numFmtId="49" fontId="3" fillId="2" borderId="36" xfId="16" applyNumberFormat="1" applyFont="1" applyFill="1" applyBorder="1" applyAlignment="1">
      <alignment horizontal="center"/>
    </xf>
    <xf numFmtId="49" fontId="3" fillId="2" borderId="37" xfId="16" applyNumberFormat="1" applyFont="1" applyFill="1" applyBorder="1" applyAlignment="1">
      <alignment horizontal="center" wrapText="1"/>
    </xf>
    <xf numFmtId="49" fontId="3" fillId="2" borderId="21" xfId="16" applyNumberFormat="1" applyFont="1" applyFill="1" applyBorder="1" applyAlignment="1">
      <alignment horizontal="center"/>
    </xf>
    <xf numFmtId="0" fontId="4" fillId="2" borderId="5" xfId="7" applyFont="1" applyFill="1" applyBorder="1" applyAlignment="1">
      <alignment horizontal="center" vertical="top"/>
    </xf>
    <xf numFmtId="49" fontId="3" fillId="2" borderId="26" xfId="5" applyNumberFormat="1" applyFont="1" applyFill="1" applyBorder="1" applyAlignment="1">
      <alignment wrapText="1"/>
    </xf>
    <xf numFmtId="49" fontId="3" fillId="2" borderId="26" xfId="16" applyNumberFormat="1" applyFont="1" applyFill="1" applyBorder="1" applyAlignment="1">
      <alignment horizontal="center" wrapText="1"/>
    </xf>
    <xf numFmtId="49" fontId="3" fillId="2" borderId="23" xfId="16" applyNumberFormat="1" applyFont="1" applyFill="1" applyBorder="1" applyAlignment="1">
      <alignment horizontal="center"/>
    </xf>
    <xf numFmtId="166" fontId="3" fillId="2" borderId="5" xfId="7" applyNumberFormat="1" applyFont="1" applyFill="1" applyBorder="1" applyAlignment="1">
      <alignment horizontal="right"/>
    </xf>
    <xf numFmtId="49" fontId="3" fillId="2" borderId="1" xfId="16" applyNumberFormat="1" applyFont="1" applyFill="1" applyBorder="1" applyAlignment="1">
      <alignment horizontal="center"/>
    </xf>
    <xf numFmtId="49" fontId="3" fillId="2" borderId="1" xfId="16" applyNumberFormat="1" applyFont="1" applyFill="1" applyBorder="1" applyAlignment="1">
      <alignment wrapText="1"/>
    </xf>
    <xf numFmtId="49" fontId="3" fillId="2" borderId="3" xfId="8" applyNumberFormat="1" applyFont="1" applyFill="1" applyBorder="1" applyAlignment="1">
      <alignment wrapText="1"/>
    </xf>
    <xf numFmtId="49" fontId="4" fillId="2" borderId="1" xfId="4" applyNumberFormat="1" applyFont="1" applyFill="1" applyBorder="1" applyAlignment="1" applyProtection="1">
      <alignment horizontal="left" vertical="top" wrapText="1"/>
      <protection hidden="1"/>
    </xf>
    <xf numFmtId="0" fontId="3" fillId="2" borderId="0" xfId="7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wrapText="1"/>
    </xf>
    <xf numFmtId="166" fontId="3" fillId="2" borderId="0" xfId="7" applyNumberFormat="1" applyFont="1" applyFill="1" applyBorder="1" applyAlignment="1">
      <alignment horizontal="right"/>
    </xf>
    <xf numFmtId="49" fontId="1" fillId="2" borderId="16" xfId="6" applyNumberFormat="1" applyFont="1" applyFill="1" applyBorder="1" applyAlignment="1">
      <alignment horizontal="center"/>
    </xf>
    <xf numFmtId="166" fontId="1" fillId="2" borderId="1" xfId="14" applyNumberFormat="1" applyFont="1" applyFill="1" applyBorder="1" applyAlignment="1">
      <alignment horizontal="right"/>
    </xf>
    <xf numFmtId="166" fontId="1" fillId="2" borderId="17" xfId="16" applyNumberFormat="1" applyFont="1" applyFill="1" applyBorder="1" applyAlignment="1">
      <alignment horizontal="right"/>
    </xf>
    <xf numFmtId="166" fontId="1" fillId="2" borderId="1" xfId="14" applyNumberFormat="1" applyFont="1" applyFill="1" applyBorder="1"/>
    <xf numFmtId="0" fontId="1" fillId="2" borderId="3" xfId="0" applyNumberFormat="1" applyFont="1" applyFill="1" applyBorder="1" applyAlignment="1">
      <alignment wrapText="1"/>
    </xf>
    <xf numFmtId="4" fontId="1" fillId="2" borderId="3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49" fontId="3" fillId="2" borderId="16" xfId="5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171" fontId="22" fillId="2" borderId="0" xfId="7" applyNumberFormat="1" applyFont="1" applyFill="1"/>
    <xf numFmtId="166" fontId="1" fillId="2" borderId="31" xfId="16" applyNumberFormat="1" applyFont="1" applyFill="1" applyBorder="1" applyAlignment="1">
      <alignment horizontal="right"/>
    </xf>
    <xf numFmtId="166" fontId="1" fillId="2" borderId="13" xfId="16" applyNumberFormat="1" applyFont="1" applyFill="1" applyBorder="1" applyAlignment="1">
      <alignment horizontal="right"/>
    </xf>
    <xf numFmtId="166" fontId="1" fillId="2" borderId="38" xfId="16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center" vertical="center" wrapText="1"/>
    </xf>
    <xf numFmtId="166" fontId="3" fillId="2" borderId="1" xfId="19" applyNumberFormat="1" applyFont="1" applyFill="1" applyBorder="1" applyAlignment="1">
      <alignment horizontal="center" wrapText="1"/>
    </xf>
    <xf numFmtId="168" fontId="1" fillId="2" borderId="1" xfId="0" applyNumberFormat="1" applyFont="1" applyFill="1" applyBorder="1" applyAlignment="1">
      <alignment vertical="center" wrapText="1"/>
    </xf>
    <xf numFmtId="169" fontId="3" fillId="2" borderId="1" xfId="0" applyNumberFormat="1" applyFont="1" applyFill="1" applyBorder="1" applyAlignment="1">
      <alignment horizontal="center" wrapText="1"/>
    </xf>
    <xf numFmtId="49" fontId="1" fillId="2" borderId="17" xfId="14" applyNumberFormat="1" applyFont="1" applyFill="1" applyBorder="1" applyAlignment="1">
      <alignment horizontal="center"/>
    </xf>
    <xf numFmtId="49" fontId="1" fillId="2" borderId="1" xfId="14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right"/>
    </xf>
    <xf numFmtId="49" fontId="3" fillId="2" borderId="2" xfId="7" applyNumberFormat="1" applyFont="1" applyFill="1" applyBorder="1" applyAlignment="1">
      <alignment horizontal="center"/>
    </xf>
    <xf numFmtId="49" fontId="3" fillId="2" borderId="9" xfId="7" applyNumberFormat="1" applyFont="1" applyFill="1" applyBorder="1" applyAlignment="1">
      <alignment horizontal="center"/>
    </xf>
    <xf numFmtId="49" fontId="3" fillId="2" borderId="3" xfId="7" applyNumberFormat="1" applyFont="1" applyFill="1" applyBorder="1" applyAlignment="1">
      <alignment horizontal="center"/>
    </xf>
    <xf numFmtId="168" fontId="3" fillId="2" borderId="1" xfId="7" applyNumberFormat="1" applyFont="1" applyFill="1" applyBorder="1" applyAlignment="1">
      <alignment horizontal="center"/>
    </xf>
    <xf numFmtId="49" fontId="3" fillId="2" borderId="1" xfId="7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/>
    </xf>
    <xf numFmtId="1" fontId="2" fillId="2" borderId="0" xfId="2" applyNumberFormat="1" applyFont="1" applyFill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166" fontId="1" fillId="4" borderId="19" xfId="16" applyNumberFormat="1" applyFont="1" applyFill="1" applyBorder="1" applyAlignment="1">
      <alignment horizontal="right"/>
    </xf>
    <xf numFmtId="166" fontId="1" fillId="4" borderId="23" xfId="16" applyNumberFormat="1" applyFont="1" applyFill="1" applyBorder="1" applyAlignment="1">
      <alignment horizontal="right"/>
    </xf>
    <xf numFmtId="166" fontId="1" fillId="4" borderId="16" xfId="16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166" fontId="3" fillId="4" borderId="5" xfId="7" applyNumberFormat="1" applyFont="1" applyFill="1" applyBorder="1" applyAlignment="1">
      <alignment horizontal="right"/>
    </xf>
    <xf numFmtId="166" fontId="1" fillId="4" borderId="17" xfId="16" applyNumberFormat="1" applyFont="1" applyFill="1" applyBorder="1" applyAlignment="1">
      <alignment horizontal="right"/>
    </xf>
    <xf numFmtId="49" fontId="3" fillId="2" borderId="2" xfId="7" applyNumberFormat="1" applyFont="1" applyFill="1" applyBorder="1" applyAlignment="1">
      <alignment horizontal="center"/>
    </xf>
    <xf numFmtId="49" fontId="3" fillId="2" borderId="9" xfId="7" applyNumberFormat="1" applyFont="1" applyFill="1" applyBorder="1" applyAlignment="1">
      <alignment horizontal="center"/>
    </xf>
    <xf numFmtId="49" fontId="3" fillId="2" borderId="3" xfId="7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170" fontId="1" fillId="2" borderId="2" xfId="1" applyNumberFormat="1" applyFont="1" applyFill="1" applyBorder="1" applyAlignment="1">
      <alignment horizontal="center" vertical="center" wrapText="1"/>
    </xf>
    <xf numFmtId="170" fontId="1" fillId="2" borderId="9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Border="1" applyAlignment="1">
      <alignment horizontal="left" wrapText="1"/>
    </xf>
    <xf numFmtId="0" fontId="1" fillId="2" borderId="5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0" fillId="0" borderId="0" xfId="0" applyAlignment="1"/>
    <xf numFmtId="168" fontId="3" fillId="2" borderId="2" xfId="3" applyNumberFormat="1" applyFont="1" applyFill="1" applyBorder="1" applyAlignment="1">
      <alignment horizontal="center" vertical="center"/>
    </xf>
    <xf numFmtId="168" fontId="3" fillId="2" borderId="9" xfId="3" applyNumberFormat="1" applyFont="1" applyFill="1" applyBorder="1" applyAlignment="1">
      <alignment horizontal="center" vertical="center"/>
    </xf>
    <xf numFmtId="168" fontId="3" fillId="2" borderId="3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/>
    </xf>
    <xf numFmtId="0" fontId="3" fillId="2" borderId="5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1" fontId="4" fillId="2" borderId="0" xfId="2" applyNumberFormat="1" applyFont="1" applyFill="1" applyAlignment="1">
      <alignment horizontal="center" wrapText="1"/>
    </xf>
    <xf numFmtId="49" fontId="3" fillId="2" borderId="6" xfId="7" applyNumberFormat="1" applyFont="1" applyFill="1" applyBorder="1" applyAlignment="1">
      <alignment horizontal="center" vertical="center"/>
    </xf>
    <xf numFmtId="49" fontId="3" fillId="2" borderId="7" xfId="7" applyNumberFormat="1" applyFont="1" applyFill="1" applyBorder="1" applyAlignment="1">
      <alignment horizontal="center" vertical="center"/>
    </xf>
    <xf numFmtId="49" fontId="3" fillId="2" borderId="8" xfId="7" applyNumberFormat="1" applyFont="1" applyFill="1" applyBorder="1" applyAlignment="1">
      <alignment horizontal="center" vertical="center"/>
    </xf>
    <xf numFmtId="49" fontId="3" fillId="2" borderId="2" xfId="7" applyNumberFormat="1" applyFont="1" applyFill="1" applyBorder="1" applyAlignment="1">
      <alignment horizontal="center"/>
    </xf>
    <xf numFmtId="49" fontId="3" fillId="2" borderId="9" xfId="7" applyNumberFormat="1" applyFont="1" applyFill="1" applyBorder="1" applyAlignment="1">
      <alignment horizontal="center"/>
    </xf>
    <xf numFmtId="49" fontId="3" fillId="2" borderId="3" xfId="7" applyNumberFormat="1" applyFont="1" applyFill="1" applyBorder="1" applyAlignment="1">
      <alignment horizontal="center"/>
    </xf>
    <xf numFmtId="168" fontId="3" fillId="2" borderId="1" xfId="7" applyNumberFormat="1" applyFont="1" applyFill="1" applyBorder="1" applyAlignment="1">
      <alignment horizontal="center"/>
    </xf>
    <xf numFmtId="49" fontId="3" fillId="2" borderId="1" xfId="7" applyNumberFormat="1" applyFont="1" applyFill="1" applyBorder="1" applyAlignment="1">
      <alignment horizontal="center" vertical="center" wrapText="1"/>
    </xf>
    <xf numFmtId="49" fontId="3" fillId="2" borderId="1" xfId="7" applyNumberFormat="1" applyFont="1" applyFill="1" applyBorder="1" applyAlignment="1">
      <alignment horizontal="center" vertical="center"/>
    </xf>
    <xf numFmtId="1" fontId="2" fillId="2" borderId="0" xfId="2" applyNumberFormat="1" applyFont="1" applyFill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3" applyFont="1" applyFill="1" applyBorder="1" applyAlignment="1">
      <alignment horizontal="center" vertical="center"/>
    </xf>
    <xf numFmtId="0" fontId="1" fillId="2" borderId="13" xfId="3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69" fontId="3" fillId="2" borderId="1" xfId="0" applyNumberFormat="1" applyFont="1" applyFill="1" applyBorder="1" applyAlignment="1">
      <alignment horizontal="center" vertical="center" wrapText="1"/>
    </xf>
    <xf numFmtId="169" fontId="14" fillId="2" borderId="1" xfId="0" applyNumberFormat="1" applyFont="1" applyFill="1" applyBorder="1" applyAlignment="1">
      <alignment horizontal="center" vertical="center" wrapText="1"/>
    </xf>
    <xf numFmtId="169" fontId="3" fillId="2" borderId="6" xfId="0" applyNumberFormat="1" applyFont="1" applyFill="1" applyBorder="1" applyAlignment="1">
      <alignment horizontal="center" vertical="center" wrapText="1"/>
    </xf>
    <xf numFmtId="169" fontId="3" fillId="2" borderId="8" xfId="0" applyNumberFormat="1" applyFont="1" applyFill="1" applyBorder="1" applyAlignment="1">
      <alignment horizontal="center" vertical="center" wrapText="1"/>
    </xf>
    <xf numFmtId="49" fontId="23" fillId="2" borderId="5" xfId="0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</cellXfs>
  <cellStyles count="20">
    <cellStyle name="Excel Built-in Normal" xfId="5"/>
    <cellStyle name="Excel Built-in Normal 1" xfId="11"/>
    <cellStyle name="Excel Built-in Normal 2" xfId="14"/>
    <cellStyle name="Excel Built-in Normal 3" xfId="16"/>
    <cellStyle name="Обычный" xfId="0" builtinId="0"/>
    <cellStyle name="Обычный 2" xfId="7"/>
    <cellStyle name="Обычный 2 2" xfId="8"/>
    <cellStyle name="Обычный 2 2 2" xfId="4"/>
    <cellStyle name="Обычный 2 2 3" xfId="18"/>
    <cellStyle name="Обычный 3" xfId="15"/>
    <cellStyle name="Обычный 3 2" xfId="17"/>
    <cellStyle name="Обычный_ведомственная  и прилож. на 2008 год без краевых-2" xfId="9"/>
    <cellStyle name="Обычный_ведомственная  и прилож. на 2008 год без краевых-2 2" xfId="12"/>
    <cellStyle name="Обычный_ведомственная  и прилож. на 2008 год без краевых-2 2 2" xfId="6"/>
    <cellStyle name="Обычный_Приложение № 2 к проекту бюджета" xfId="1"/>
    <cellStyle name="Обычный_расчеты к бю.джету1" xfId="2"/>
    <cellStyle name="Обычный_Функциональная структура расходов бюджета на 2005 год" xfId="3"/>
    <cellStyle name="Финансовый" xfId="19" builtinId="3"/>
    <cellStyle name="Финансовый [0]" xfId="13" builtinId="6"/>
    <cellStyle name="Финансовый 2" xfId="10"/>
  </cellStyles>
  <dxfs count="0"/>
  <tableStyles count="0" defaultTableStyle="TableStyleMedium2" defaultPivotStyle="PivotStyleMedium9"/>
  <colors>
    <mruColors>
      <color rgb="FFFFFFCC"/>
      <color rgb="FFFFFF99"/>
      <color rgb="FFCCFF99"/>
      <color rgb="FFFFCCCC"/>
      <color rgb="FFCCECFF"/>
      <color rgb="FF0000FF"/>
      <color rgb="FF8A0000"/>
      <color rgb="FF540000"/>
      <color rgb="FF740000"/>
      <color rgb="FF9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135"/>
  <sheetViews>
    <sheetView tabSelected="1" zoomScale="80" zoomScaleNormal="80" zoomScaleSheetLayoutView="50" workbookViewId="0">
      <selection activeCell="G40" sqref="G40"/>
    </sheetView>
  </sheetViews>
  <sheetFormatPr defaultColWidth="9.109375" defaultRowHeight="18" x14ac:dyDescent="0.35"/>
  <cols>
    <col min="1" max="1" width="29.5546875" style="214" customWidth="1"/>
    <col min="2" max="2" width="60.109375" style="297" customWidth="1"/>
    <col min="3" max="3" width="15.5546875" style="212" customWidth="1"/>
    <col min="4" max="4" width="16.6640625" style="214" customWidth="1"/>
    <col min="5" max="5" width="15.6640625" style="214" customWidth="1"/>
    <col min="6" max="16384" width="9.109375" style="214"/>
  </cols>
  <sheetData>
    <row r="1" spans="1:5" s="223" customFormat="1" x14ac:dyDescent="0.35">
      <c r="A1" s="49"/>
      <c r="B1" s="49"/>
      <c r="E1" s="172" t="s">
        <v>496</v>
      </c>
    </row>
    <row r="2" spans="1:5" s="223" customFormat="1" x14ac:dyDescent="0.35">
      <c r="A2" s="49"/>
      <c r="B2" s="49"/>
      <c r="E2" s="172" t="s">
        <v>546</v>
      </c>
    </row>
    <row r="4" spans="1:5" x14ac:dyDescent="0.35">
      <c r="E4" s="53" t="s">
        <v>496</v>
      </c>
    </row>
    <row r="5" spans="1:5" x14ac:dyDescent="0.35">
      <c r="E5" s="172" t="s">
        <v>545</v>
      </c>
    </row>
    <row r="7" spans="1:5" ht="11.25" customHeight="1" x14ac:dyDescent="0.35"/>
    <row r="8" spans="1:5" ht="36" customHeight="1" x14ac:dyDescent="0.35">
      <c r="A8" s="607" t="s">
        <v>488</v>
      </c>
      <c r="B8" s="607"/>
      <c r="C8" s="607"/>
      <c r="D8" s="607"/>
      <c r="E8" s="607"/>
    </row>
    <row r="10" spans="1:5" x14ac:dyDescent="0.35">
      <c r="E10" s="206" t="s">
        <v>17</v>
      </c>
    </row>
    <row r="11" spans="1:5" ht="20.399999999999999" customHeight="1" x14ac:dyDescent="0.35">
      <c r="A11" s="609" t="s">
        <v>11</v>
      </c>
      <c r="B11" s="611" t="s">
        <v>12</v>
      </c>
      <c r="C11" s="604" t="s">
        <v>13</v>
      </c>
      <c r="D11" s="605"/>
      <c r="E11" s="606"/>
    </row>
    <row r="12" spans="1:5" ht="20.399999999999999" customHeight="1" x14ac:dyDescent="0.35">
      <c r="A12" s="610"/>
      <c r="B12" s="612"/>
      <c r="C12" s="207" t="s">
        <v>396</v>
      </c>
      <c r="D12" s="207" t="s">
        <v>433</v>
      </c>
      <c r="E12" s="207" t="s">
        <v>491</v>
      </c>
    </row>
    <row r="13" spans="1:5" x14ac:dyDescent="0.35">
      <c r="A13" s="321">
        <v>1</v>
      </c>
      <c r="B13" s="322">
        <v>2</v>
      </c>
      <c r="C13" s="208">
        <v>3</v>
      </c>
      <c r="D13" s="323">
        <v>4</v>
      </c>
      <c r="E13" s="323">
        <v>5</v>
      </c>
    </row>
    <row r="14" spans="1:5" x14ac:dyDescent="0.35">
      <c r="A14" s="67" t="s">
        <v>129</v>
      </c>
      <c r="B14" s="68" t="s">
        <v>130</v>
      </c>
      <c r="C14" s="360">
        <f>SUM(C15:C33)-C24</f>
        <v>536499.69999999995</v>
      </c>
      <c r="D14" s="360">
        <f>SUM(D15:D33)-D24</f>
        <v>532066.19999999995</v>
      </c>
      <c r="E14" s="360">
        <f>SUM(E15:E33)-E24</f>
        <v>511865.29999999993</v>
      </c>
    </row>
    <row r="15" spans="1:5" x14ac:dyDescent="0.35">
      <c r="A15" s="52" t="s">
        <v>131</v>
      </c>
      <c r="B15" s="64" t="s">
        <v>132</v>
      </c>
      <c r="C15" s="361">
        <v>5720</v>
      </c>
      <c r="D15" s="362">
        <v>5948.8</v>
      </c>
      <c r="E15" s="363">
        <v>6186.8</v>
      </c>
    </row>
    <row r="16" spans="1:5" x14ac:dyDescent="0.35">
      <c r="A16" s="63" t="s">
        <v>133</v>
      </c>
      <c r="B16" s="69" t="s">
        <v>134</v>
      </c>
      <c r="C16" s="361">
        <f>327306.5+5059.6</f>
        <v>332366.09999999998</v>
      </c>
      <c r="D16" s="362">
        <v>306078.8</v>
      </c>
      <c r="E16" s="363">
        <v>306300.40000000002</v>
      </c>
    </row>
    <row r="17" spans="1:5" ht="173.25" customHeight="1" x14ac:dyDescent="0.35">
      <c r="A17" s="51" t="s">
        <v>135</v>
      </c>
      <c r="B17" s="71" t="s">
        <v>454</v>
      </c>
      <c r="C17" s="364">
        <v>6255.7</v>
      </c>
      <c r="D17" s="365">
        <v>6443.4</v>
      </c>
      <c r="E17" s="215">
        <v>6701.1</v>
      </c>
    </row>
    <row r="18" spans="1:5" ht="36" x14ac:dyDescent="0.35">
      <c r="A18" s="52" t="s">
        <v>297</v>
      </c>
      <c r="B18" s="65" t="s">
        <v>298</v>
      </c>
      <c r="C18" s="364">
        <f>107656.3+13000</f>
        <v>120656.3</v>
      </c>
      <c r="D18" s="365">
        <f>111962.6+26800</f>
        <v>138762.6</v>
      </c>
      <c r="E18" s="215">
        <v>116441.1</v>
      </c>
    </row>
    <row r="19" spans="1:5" ht="36" x14ac:dyDescent="0.35">
      <c r="A19" s="52" t="s">
        <v>136</v>
      </c>
      <c r="B19" s="65" t="s">
        <v>316</v>
      </c>
      <c r="C19" s="364">
        <v>450</v>
      </c>
      <c r="D19" s="365">
        <v>350</v>
      </c>
      <c r="E19" s="215">
        <v>200</v>
      </c>
    </row>
    <row r="20" spans="1:5" x14ac:dyDescent="0.35">
      <c r="A20" s="52" t="s">
        <v>137</v>
      </c>
      <c r="B20" s="69" t="s">
        <v>138</v>
      </c>
      <c r="C20" s="364">
        <v>198</v>
      </c>
      <c r="D20" s="365">
        <v>217.8</v>
      </c>
      <c r="E20" s="215">
        <v>239.6</v>
      </c>
    </row>
    <row r="21" spans="1:5" ht="36" x14ac:dyDescent="0.35">
      <c r="A21" s="52" t="s">
        <v>139</v>
      </c>
      <c r="B21" s="65" t="s">
        <v>140</v>
      </c>
      <c r="C21" s="364">
        <v>16905.5</v>
      </c>
      <c r="D21" s="365">
        <v>17243.599999999999</v>
      </c>
      <c r="E21" s="215">
        <v>17588.5</v>
      </c>
    </row>
    <row r="22" spans="1:5" x14ac:dyDescent="0.35">
      <c r="A22" s="52" t="s">
        <v>408</v>
      </c>
      <c r="B22" s="65" t="s">
        <v>409</v>
      </c>
      <c r="C22" s="364">
        <v>3737</v>
      </c>
      <c r="D22" s="365">
        <v>3774.4</v>
      </c>
      <c r="E22" s="215">
        <v>3812.1</v>
      </c>
    </row>
    <row r="23" spans="1:5" x14ac:dyDescent="0.35">
      <c r="A23" s="52" t="s">
        <v>141</v>
      </c>
      <c r="B23" s="69" t="s">
        <v>142</v>
      </c>
      <c r="C23" s="364">
        <v>9332.4</v>
      </c>
      <c r="D23" s="365">
        <v>9425.7000000000007</v>
      </c>
      <c r="E23" s="215">
        <v>9520</v>
      </c>
    </row>
    <row r="24" spans="1:5" ht="62.25" customHeight="1" x14ac:dyDescent="0.35">
      <c r="A24" s="52" t="s">
        <v>467</v>
      </c>
      <c r="B24" s="65" t="s">
        <v>468</v>
      </c>
      <c r="C24" s="364">
        <f>C25+C26+C27+C28+C29</f>
        <v>27142</v>
      </c>
      <c r="D24" s="365">
        <f>D25+D26+D27+D28+D29</f>
        <v>31192</v>
      </c>
      <c r="E24" s="365">
        <f>E25+E26+E27+E28+E29</f>
        <v>31901</v>
      </c>
    </row>
    <row r="25" spans="1:5" ht="78" customHeight="1" x14ac:dyDescent="0.35">
      <c r="A25" s="52" t="s">
        <v>143</v>
      </c>
      <c r="B25" s="70" t="s">
        <v>469</v>
      </c>
      <c r="C25" s="364">
        <v>287</v>
      </c>
      <c r="D25" s="365">
        <v>287</v>
      </c>
      <c r="E25" s="215">
        <v>287</v>
      </c>
    </row>
    <row r="26" spans="1:5" ht="99" customHeight="1" x14ac:dyDescent="0.35">
      <c r="A26" s="52" t="s">
        <v>144</v>
      </c>
      <c r="B26" s="65" t="s">
        <v>470</v>
      </c>
      <c r="C26" s="364">
        <v>25700</v>
      </c>
      <c r="D26" s="365">
        <v>29750</v>
      </c>
      <c r="E26" s="215">
        <v>30600</v>
      </c>
    </row>
    <row r="27" spans="1:5" ht="63" customHeight="1" x14ac:dyDescent="0.35">
      <c r="A27" s="52" t="s">
        <v>296</v>
      </c>
      <c r="B27" s="65" t="s">
        <v>471</v>
      </c>
      <c r="C27" s="364">
        <v>1021</v>
      </c>
      <c r="D27" s="365">
        <v>1021</v>
      </c>
      <c r="E27" s="215">
        <v>880</v>
      </c>
    </row>
    <row r="28" spans="1:5" ht="96.75" customHeight="1" x14ac:dyDescent="0.35">
      <c r="A28" s="52" t="s">
        <v>145</v>
      </c>
      <c r="B28" s="65" t="s">
        <v>472</v>
      </c>
      <c r="C28" s="364">
        <v>10</v>
      </c>
      <c r="D28" s="365">
        <v>10</v>
      </c>
      <c r="E28" s="215">
        <v>10</v>
      </c>
    </row>
    <row r="29" spans="1:5" ht="122.25" customHeight="1" x14ac:dyDescent="0.35">
      <c r="A29" s="52" t="s">
        <v>336</v>
      </c>
      <c r="B29" s="65" t="s">
        <v>473</v>
      </c>
      <c r="C29" s="364">
        <v>124</v>
      </c>
      <c r="D29" s="365">
        <v>124</v>
      </c>
      <c r="E29" s="215">
        <v>124</v>
      </c>
    </row>
    <row r="30" spans="1:5" ht="36" x14ac:dyDescent="0.35">
      <c r="A30" s="52" t="s">
        <v>146</v>
      </c>
      <c r="B30" s="65" t="s">
        <v>147</v>
      </c>
      <c r="C30" s="364">
        <v>555.5</v>
      </c>
      <c r="D30" s="365">
        <v>561.1</v>
      </c>
      <c r="E30" s="215">
        <v>566.70000000000005</v>
      </c>
    </row>
    <row r="31" spans="1:5" ht="36" x14ac:dyDescent="0.35">
      <c r="A31" s="52" t="s">
        <v>386</v>
      </c>
      <c r="B31" s="225" t="s">
        <v>393</v>
      </c>
      <c r="C31" s="364">
        <f>1995+194.1</f>
        <v>2189.1</v>
      </c>
      <c r="D31" s="365">
        <v>878</v>
      </c>
      <c r="E31" s="215">
        <v>878</v>
      </c>
    </row>
    <row r="32" spans="1:5" ht="36" x14ac:dyDescent="0.35">
      <c r="A32" s="52" t="s">
        <v>148</v>
      </c>
      <c r="B32" s="65" t="s">
        <v>149</v>
      </c>
      <c r="C32" s="364">
        <v>7870</v>
      </c>
      <c r="D32" s="365">
        <v>7900</v>
      </c>
      <c r="E32" s="215">
        <v>7940</v>
      </c>
    </row>
    <row r="33" spans="1:8" ht="22.5" customHeight="1" x14ac:dyDescent="0.35">
      <c r="A33" s="51" t="s">
        <v>150</v>
      </c>
      <c r="B33" s="65" t="s">
        <v>151</v>
      </c>
      <c r="C33" s="364">
        <v>3122.1</v>
      </c>
      <c r="D33" s="365">
        <v>3290</v>
      </c>
      <c r="E33" s="215">
        <v>3590</v>
      </c>
    </row>
    <row r="34" spans="1:8" x14ac:dyDescent="0.35">
      <c r="A34" s="93" t="s">
        <v>14</v>
      </c>
      <c r="B34" s="245" t="s">
        <v>299</v>
      </c>
      <c r="C34" s="209">
        <v>1299444.5</v>
      </c>
      <c r="D34" s="209">
        <v>1061100.5000000002</v>
      </c>
      <c r="E34" s="209">
        <v>1085541</v>
      </c>
    </row>
    <row r="35" spans="1:8" ht="40.5" customHeight="1" x14ac:dyDescent="0.35">
      <c r="A35" s="83" t="s">
        <v>15</v>
      </c>
      <c r="B35" s="246" t="s">
        <v>16</v>
      </c>
      <c r="C35" s="363">
        <v>1299638.6000000001</v>
      </c>
      <c r="D35" s="363">
        <v>1061100.5000000002</v>
      </c>
      <c r="E35" s="363">
        <v>1085541</v>
      </c>
    </row>
    <row r="36" spans="1:8" s="248" customFormat="1" ht="36" x14ac:dyDescent="0.35">
      <c r="A36" s="83" t="s">
        <v>390</v>
      </c>
      <c r="B36" s="247" t="s">
        <v>333</v>
      </c>
      <c r="C36" s="363">
        <v>207780.1</v>
      </c>
      <c r="D36" s="363">
        <v>161147.20000000001</v>
      </c>
      <c r="E36" s="363">
        <v>179169.5</v>
      </c>
    </row>
    <row r="37" spans="1:8" s="248" customFormat="1" ht="36" x14ac:dyDescent="0.35">
      <c r="A37" s="17" t="s">
        <v>391</v>
      </c>
      <c r="B37" s="226" t="s">
        <v>294</v>
      </c>
      <c r="C37" s="363">
        <v>264874.10000000003</v>
      </c>
      <c r="D37" s="363">
        <v>72260.900000000009</v>
      </c>
      <c r="E37" s="363">
        <v>70478.8</v>
      </c>
    </row>
    <row r="38" spans="1:8" ht="36" x14ac:dyDescent="0.35">
      <c r="A38" s="298" t="s">
        <v>392</v>
      </c>
      <c r="B38" s="247" t="s">
        <v>332</v>
      </c>
      <c r="C38" s="363">
        <v>824699.00000000023</v>
      </c>
      <c r="D38" s="363">
        <v>827692.40000000014</v>
      </c>
      <c r="E38" s="363">
        <v>835892.70000000007</v>
      </c>
    </row>
    <row r="39" spans="1:8" x14ac:dyDescent="0.35">
      <c r="A39" s="83" t="s">
        <v>395</v>
      </c>
      <c r="B39" s="246" t="s">
        <v>152</v>
      </c>
      <c r="C39" s="210">
        <v>2285.4</v>
      </c>
      <c r="D39" s="210">
        <v>0</v>
      </c>
      <c r="E39" s="210">
        <v>0</v>
      </c>
    </row>
    <row r="40" spans="1:8" ht="72" x14ac:dyDescent="0.35">
      <c r="A40" s="403" t="s">
        <v>552</v>
      </c>
      <c r="B40" s="246" t="s">
        <v>553</v>
      </c>
      <c r="C40" s="210">
        <v>194.1</v>
      </c>
      <c r="D40" s="210">
        <v>0</v>
      </c>
      <c r="E40" s="210">
        <v>0</v>
      </c>
    </row>
    <row r="41" spans="1:8" x14ac:dyDescent="0.35">
      <c r="A41" s="299"/>
      <c r="B41" s="245" t="s">
        <v>153</v>
      </c>
      <c r="C41" s="211">
        <v>1835944.2</v>
      </c>
      <c r="D41" s="211">
        <v>1593166.7000000002</v>
      </c>
      <c r="E41" s="211">
        <v>1597406.2999999998</v>
      </c>
    </row>
    <row r="42" spans="1:8" x14ac:dyDescent="0.35">
      <c r="A42" s="387" t="s">
        <v>512</v>
      </c>
      <c r="B42" s="388"/>
      <c r="C42" s="389"/>
      <c r="D42" s="389"/>
      <c r="E42" s="389"/>
    </row>
    <row r="43" spans="1:8" ht="37.5" customHeight="1" x14ac:dyDescent="0.35">
      <c r="A43" s="608" t="s">
        <v>300</v>
      </c>
      <c r="B43" s="608"/>
      <c r="C43" s="608"/>
      <c r="D43" s="608"/>
      <c r="E43" s="608"/>
    </row>
    <row r="44" spans="1:8" x14ac:dyDescent="0.35">
      <c r="A44" s="300"/>
    </row>
    <row r="45" spans="1:8" x14ac:dyDescent="0.35">
      <c r="A45" s="300"/>
    </row>
    <row r="46" spans="1:8" s="78" customFormat="1" x14ac:dyDescent="0.35">
      <c r="A46" s="118" t="s">
        <v>366</v>
      </c>
      <c r="B46" s="80"/>
      <c r="C46" s="81"/>
      <c r="D46" s="81"/>
      <c r="E46" s="81"/>
      <c r="F46" s="57"/>
      <c r="G46" s="117"/>
      <c r="H46" s="162"/>
    </row>
    <row r="47" spans="1:8" s="78" customFormat="1" x14ac:dyDescent="0.35">
      <c r="A47" s="118" t="s">
        <v>367</v>
      </c>
      <c r="B47" s="80"/>
      <c r="C47" s="81"/>
      <c r="D47" s="81"/>
      <c r="E47" s="81"/>
      <c r="F47" s="57"/>
      <c r="G47" s="117"/>
      <c r="H47" s="162"/>
    </row>
    <row r="48" spans="1:8" s="78" customFormat="1" x14ac:dyDescent="0.35">
      <c r="A48" s="119" t="s">
        <v>368</v>
      </c>
      <c r="B48" s="80"/>
      <c r="D48" s="81"/>
      <c r="E48" s="120" t="s">
        <v>387</v>
      </c>
      <c r="F48" s="57"/>
    </row>
    <row r="50" spans="2:3" x14ac:dyDescent="0.35">
      <c r="B50" s="301"/>
      <c r="C50" s="213"/>
    </row>
    <row r="51" spans="2:3" x14ac:dyDescent="0.35">
      <c r="B51" s="301"/>
      <c r="C51" s="213"/>
    </row>
    <row r="58" spans="2:3" x14ac:dyDescent="0.35">
      <c r="B58" s="214"/>
      <c r="C58" s="214"/>
    </row>
    <row r="59" spans="2:3" x14ac:dyDescent="0.35">
      <c r="B59" s="214"/>
      <c r="C59" s="214"/>
    </row>
    <row r="60" spans="2:3" x14ac:dyDescent="0.35">
      <c r="B60" s="214"/>
      <c r="C60" s="214"/>
    </row>
    <row r="61" spans="2:3" x14ac:dyDescent="0.35">
      <c r="B61" s="214"/>
      <c r="C61" s="214"/>
    </row>
    <row r="62" spans="2:3" x14ac:dyDescent="0.35">
      <c r="B62" s="214"/>
      <c r="C62" s="214"/>
    </row>
    <row r="63" spans="2:3" x14ac:dyDescent="0.35">
      <c r="B63" s="214"/>
      <c r="C63" s="214"/>
    </row>
    <row r="64" spans="2:3" x14ac:dyDescent="0.35">
      <c r="B64" s="214"/>
      <c r="C64" s="214"/>
    </row>
    <row r="65" spans="2:3" x14ac:dyDescent="0.35">
      <c r="B65" s="214"/>
      <c r="C65" s="214"/>
    </row>
    <row r="66" spans="2:3" x14ac:dyDescent="0.35">
      <c r="B66" s="214"/>
      <c r="C66" s="214"/>
    </row>
    <row r="67" spans="2:3" x14ac:dyDescent="0.35">
      <c r="B67" s="214"/>
      <c r="C67" s="214"/>
    </row>
    <row r="68" spans="2:3" x14ac:dyDescent="0.35">
      <c r="B68" s="214"/>
      <c r="C68" s="214"/>
    </row>
    <row r="69" spans="2:3" x14ac:dyDescent="0.35">
      <c r="B69" s="214"/>
      <c r="C69" s="214"/>
    </row>
    <row r="70" spans="2:3" x14ac:dyDescent="0.35">
      <c r="B70" s="214"/>
      <c r="C70" s="214"/>
    </row>
    <row r="71" spans="2:3" x14ac:dyDescent="0.35">
      <c r="B71" s="214"/>
      <c r="C71" s="214"/>
    </row>
    <row r="72" spans="2:3" x14ac:dyDescent="0.35">
      <c r="B72" s="214"/>
      <c r="C72" s="214"/>
    </row>
    <row r="73" spans="2:3" x14ac:dyDescent="0.35">
      <c r="B73" s="214"/>
      <c r="C73" s="214"/>
    </row>
    <row r="74" spans="2:3" x14ac:dyDescent="0.35">
      <c r="B74" s="214"/>
      <c r="C74" s="214"/>
    </row>
    <row r="75" spans="2:3" x14ac:dyDescent="0.35">
      <c r="B75" s="214"/>
      <c r="C75" s="214"/>
    </row>
    <row r="76" spans="2:3" x14ac:dyDescent="0.35">
      <c r="B76" s="214"/>
      <c r="C76" s="214"/>
    </row>
    <row r="77" spans="2:3" x14ac:dyDescent="0.35">
      <c r="B77" s="214"/>
      <c r="C77" s="214"/>
    </row>
    <row r="78" spans="2:3" x14ac:dyDescent="0.35">
      <c r="B78" s="214"/>
      <c r="C78" s="214"/>
    </row>
    <row r="79" spans="2:3" x14ac:dyDescent="0.35">
      <c r="B79" s="214"/>
      <c r="C79" s="214"/>
    </row>
    <row r="80" spans="2:3" x14ac:dyDescent="0.35">
      <c r="B80" s="214"/>
      <c r="C80" s="214"/>
    </row>
    <row r="81" spans="2:3" x14ac:dyDescent="0.35">
      <c r="B81" s="214"/>
      <c r="C81" s="214"/>
    </row>
    <row r="82" spans="2:3" x14ac:dyDescent="0.35">
      <c r="B82" s="214"/>
      <c r="C82" s="214"/>
    </row>
    <row r="83" spans="2:3" x14ac:dyDescent="0.35">
      <c r="B83" s="214"/>
      <c r="C83" s="214"/>
    </row>
    <row r="84" spans="2:3" x14ac:dyDescent="0.35">
      <c r="B84" s="214"/>
      <c r="C84" s="214"/>
    </row>
    <row r="85" spans="2:3" x14ac:dyDescent="0.35">
      <c r="B85" s="214"/>
      <c r="C85" s="214"/>
    </row>
    <row r="86" spans="2:3" x14ac:dyDescent="0.35">
      <c r="B86" s="214"/>
      <c r="C86" s="214"/>
    </row>
    <row r="87" spans="2:3" x14ac:dyDescent="0.35">
      <c r="B87" s="214"/>
      <c r="C87" s="214"/>
    </row>
    <row r="88" spans="2:3" x14ac:dyDescent="0.35">
      <c r="B88" s="214"/>
      <c r="C88" s="214"/>
    </row>
    <row r="89" spans="2:3" x14ac:dyDescent="0.35">
      <c r="B89" s="214"/>
      <c r="C89" s="214"/>
    </row>
    <row r="90" spans="2:3" x14ac:dyDescent="0.35">
      <c r="B90" s="214"/>
      <c r="C90" s="214"/>
    </row>
    <row r="91" spans="2:3" x14ac:dyDescent="0.35">
      <c r="B91" s="214"/>
      <c r="C91" s="214"/>
    </row>
    <row r="92" spans="2:3" x14ac:dyDescent="0.35">
      <c r="B92" s="214"/>
      <c r="C92" s="214"/>
    </row>
    <row r="93" spans="2:3" x14ac:dyDescent="0.35">
      <c r="B93" s="214"/>
      <c r="C93" s="214"/>
    </row>
    <row r="94" spans="2:3" x14ac:dyDescent="0.35">
      <c r="B94" s="214"/>
      <c r="C94" s="214"/>
    </row>
    <row r="95" spans="2:3" x14ac:dyDescent="0.35">
      <c r="B95" s="214"/>
      <c r="C95" s="214"/>
    </row>
    <row r="96" spans="2:3" x14ac:dyDescent="0.35">
      <c r="B96" s="214"/>
      <c r="C96" s="214"/>
    </row>
    <row r="97" spans="2:3" x14ac:dyDescent="0.35">
      <c r="B97" s="214"/>
      <c r="C97" s="214"/>
    </row>
    <row r="98" spans="2:3" x14ac:dyDescent="0.35">
      <c r="B98" s="214"/>
      <c r="C98" s="214"/>
    </row>
    <row r="99" spans="2:3" x14ac:dyDescent="0.35">
      <c r="B99" s="214"/>
      <c r="C99" s="214"/>
    </row>
    <row r="100" spans="2:3" x14ac:dyDescent="0.35">
      <c r="B100" s="214"/>
      <c r="C100" s="214"/>
    </row>
    <row r="101" spans="2:3" x14ac:dyDescent="0.35">
      <c r="B101" s="214"/>
      <c r="C101" s="214"/>
    </row>
    <row r="102" spans="2:3" x14ac:dyDescent="0.35">
      <c r="B102" s="214"/>
      <c r="C102" s="214"/>
    </row>
    <row r="103" spans="2:3" x14ac:dyDescent="0.35">
      <c r="B103" s="214"/>
      <c r="C103" s="214"/>
    </row>
    <row r="104" spans="2:3" x14ac:dyDescent="0.35">
      <c r="B104" s="214"/>
      <c r="C104" s="214"/>
    </row>
    <row r="105" spans="2:3" x14ac:dyDescent="0.35">
      <c r="B105" s="214"/>
      <c r="C105" s="214"/>
    </row>
    <row r="106" spans="2:3" x14ac:dyDescent="0.35">
      <c r="B106" s="214"/>
      <c r="C106" s="214"/>
    </row>
    <row r="107" spans="2:3" x14ac:dyDescent="0.35">
      <c r="B107" s="214"/>
      <c r="C107" s="214"/>
    </row>
    <row r="108" spans="2:3" x14ac:dyDescent="0.35">
      <c r="B108" s="214"/>
      <c r="C108" s="214"/>
    </row>
    <row r="109" spans="2:3" x14ac:dyDescent="0.35">
      <c r="B109" s="214"/>
      <c r="C109" s="214"/>
    </row>
    <row r="110" spans="2:3" x14ac:dyDescent="0.35">
      <c r="B110" s="214"/>
      <c r="C110" s="214"/>
    </row>
    <row r="111" spans="2:3" x14ac:dyDescent="0.35">
      <c r="B111" s="214"/>
      <c r="C111" s="214"/>
    </row>
    <row r="112" spans="2:3" x14ac:dyDescent="0.35">
      <c r="B112" s="214"/>
      <c r="C112" s="214"/>
    </row>
    <row r="113" spans="2:3" x14ac:dyDescent="0.35">
      <c r="B113" s="214"/>
      <c r="C113" s="214"/>
    </row>
    <row r="114" spans="2:3" x14ac:dyDescent="0.35">
      <c r="B114" s="214"/>
      <c r="C114" s="214"/>
    </row>
    <row r="115" spans="2:3" x14ac:dyDescent="0.35">
      <c r="B115" s="214"/>
      <c r="C115" s="214"/>
    </row>
    <row r="116" spans="2:3" x14ac:dyDescent="0.35">
      <c r="B116" s="214"/>
      <c r="C116" s="214"/>
    </row>
    <row r="117" spans="2:3" x14ac:dyDescent="0.35">
      <c r="B117" s="214"/>
      <c r="C117" s="214"/>
    </row>
    <row r="118" spans="2:3" x14ac:dyDescent="0.35">
      <c r="B118" s="214"/>
      <c r="C118" s="214"/>
    </row>
    <row r="119" spans="2:3" x14ac:dyDescent="0.35">
      <c r="B119" s="214"/>
      <c r="C119" s="214"/>
    </row>
    <row r="120" spans="2:3" x14ac:dyDescent="0.35">
      <c r="B120" s="214"/>
      <c r="C120" s="214"/>
    </row>
    <row r="121" spans="2:3" x14ac:dyDescent="0.35">
      <c r="B121" s="214"/>
      <c r="C121" s="214"/>
    </row>
    <row r="122" spans="2:3" x14ac:dyDescent="0.35">
      <c r="B122" s="214"/>
      <c r="C122" s="214"/>
    </row>
    <row r="123" spans="2:3" x14ac:dyDescent="0.35">
      <c r="B123" s="214"/>
      <c r="C123" s="214"/>
    </row>
    <row r="124" spans="2:3" x14ac:dyDescent="0.35">
      <c r="B124" s="214"/>
      <c r="C124" s="214"/>
    </row>
    <row r="125" spans="2:3" x14ac:dyDescent="0.35">
      <c r="B125" s="214"/>
      <c r="C125" s="214"/>
    </row>
    <row r="126" spans="2:3" x14ac:dyDescent="0.35">
      <c r="B126" s="214"/>
      <c r="C126" s="214"/>
    </row>
    <row r="127" spans="2:3" x14ac:dyDescent="0.35">
      <c r="B127" s="214"/>
      <c r="C127" s="214"/>
    </row>
    <row r="128" spans="2:3" x14ac:dyDescent="0.35">
      <c r="B128" s="214"/>
      <c r="C128" s="214"/>
    </row>
    <row r="129" spans="2:3" x14ac:dyDescent="0.35">
      <c r="B129" s="214"/>
      <c r="C129" s="214"/>
    </row>
    <row r="130" spans="2:3" x14ac:dyDescent="0.35">
      <c r="B130" s="214"/>
      <c r="C130" s="214"/>
    </row>
    <row r="131" spans="2:3" x14ac:dyDescent="0.35">
      <c r="B131" s="214"/>
      <c r="C131" s="214"/>
    </row>
    <row r="132" spans="2:3" x14ac:dyDescent="0.35">
      <c r="B132" s="214"/>
      <c r="C132" s="214"/>
    </row>
    <row r="133" spans="2:3" x14ac:dyDescent="0.35">
      <c r="B133" s="214"/>
      <c r="C133" s="214"/>
    </row>
    <row r="134" spans="2:3" x14ac:dyDescent="0.35">
      <c r="B134" s="214"/>
      <c r="C134" s="214"/>
    </row>
    <row r="135" spans="2:3" x14ac:dyDescent="0.35">
      <c r="B135" s="214"/>
      <c r="C135" s="214"/>
    </row>
  </sheetData>
  <mergeCells count="5">
    <mergeCell ref="C11:E11"/>
    <mergeCell ref="A8:E8"/>
    <mergeCell ref="A43:E43"/>
    <mergeCell ref="A11:A12"/>
    <mergeCell ref="B11:B12"/>
  </mergeCells>
  <printOptions horizontalCentered="1"/>
  <pageMargins left="1.1811023622047245" right="0.39370078740157483" top="0.78740157480314965" bottom="0.78740157480314965" header="0.39370078740157483" footer="0.39370078740157483"/>
  <pageSetup paperSize="9" scale="62" fitToHeight="0" orientation="portrait" blackAndWhite="1" errors="blank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4"/>
  <sheetViews>
    <sheetView zoomScale="80" zoomScaleNormal="80" zoomScaleSheetLayoutView="80" workbookViewId="0">
      <selection activeCell="L40" sqref="L40"/>
    </sheetView>
  </sheetViews>
  <sheetFormatPr defaultColWidth="9.109375" defaultRowHeight="18" x14ac:dyDescent="0.35"/>
  <cols>
    <col min="1" max="1" width="6.109375" style="324" customWidth="1"/>
    <col min="2" max="2" width="9.109375" style="324" customWidth="1"/>
    <col min="3" max="3" width="59.88671875" style="324" customWidth="1"/>
    <col min="4" max="4" width="14.5546875" style="326" customWidth="1"/>
    <col min="5" max="5" width="17.5546875" style="324" customWidth="1"/>
    <col min="6" max="6" width="16.88671875" style="324" customWidth="1"/>
    <col min="7" max="7" width="11.109375" style="324" hidden="1" customWidth="1"/>
    <col min="8" max="9" width="11.33203125" style="324" hidden="1" customWidth="1"/>
    <col min="10" max="16384" width="9.109375" style="324"/>
  </cols>
  <sheetData>
    <row r="1" spans="1:9" x14ac:dyDescent="0.35">
      <c r="F1" s="172" t="s">
        <v>497</v>
      </c>
    </row>
    <row r="2" spans="1:9" x14ac:dyDescent="0.35">
      <c r="F2" s="172" t="s">
        <v>546</v>
      </c>
    </row>
    <row r="4" spans="1:9" x14ac:dyDescent="0.35">
      <c r="A4" s="48"/>
      <c r="B4" s="48"/>
      <c r="C4" s="48"/>
      <c r="D4" s="324"/>
      <c r="F4" s="172" t="s">
        <v>500</v>
      </c>
    </row>
    <row r="5" spans="1:9" x14ac:dyDescent="0.35">
      <c r="A5" s="48"/>
      <c r="B5" s="48"/>
      <c r="C5" s="48"/>
      <c r="D5" s="324"/>
      <c r="F5" s="172" t="s">
        <v>545</v>
      </c>
    </row>
    <row r="6" spans="1:9" x14ac:dyDescent="0.35">
      <c r="F6" s="326"/>
    </row>
    <row r="7" spans="1:9" x14ac:dyDescent="0.35">
      <c r="D7" s="325"/>
    </row>
    <row r="9" spans="1:9" x14ac:dyDescent="0.35">
      <c r="A9" s="617" t="s">
        <v>154</v>
      </c>
      <c r="B9" s="617"/>
      <c r="C9" s="617"/>
      <c r="D9" s="617"/>
      <c r="E9" s="617"/>
      <c r="F9" s="617"/>
    </row>
    <row r="10" spans="1:9" x14ac:dyDescent="0.35">
      <c r="A10" s="617" t="s">
        <v>492</v>
      </c>
      <c r="B10" s="617"/>
      <c r="C10" s="617"/>
      <c r="D10" s="617"/>
      <c r="E10" s="617"/>
      <c r="F10" s="617"/>
    </row>
    <row r="11" spans="1:9" x14ac:dyDescent="0.35">
      <c r="D11" s="324"/>
    </row>
    <row r="12" spans="1:9" x14ac:dyDescent="0.35">
      <c r="D12" s="324"/>
      <c r="F12" s="327" t="s">
        <v>17</v>
      </c>
    </row>
    <row r="13" spans="1:9" ht="22.95" customHeight="1" x14ac:dyDescent="0.35">
      <c r="A13" s="618" t="s">
        <v>155</v>
      </c>
      <c r="B13" s="620" t="s">
        <v>312</v>
      </c>
      <c r="C13" s="620" t="s">
        <v>19</v>
      </c>
      <c r="D13" s="614" t="s">
        <v>13</v>
      </c>
      <c r="E13" s="615"/>
      <c r="F13" s="616"/>
    </row>
    <row r="14" spans="1:9" x14ac:dyDescent="0.35">
      <c r="A14" s="619"/>
      <c r="B14" s="621"/>
      <c r="C14" s="621"/>
      <c r="D14" s="207" t="s">
        <v>396</v>
      </c>
      <c r="E14" s="207" t="s">
        <v>433</v>
      </c>
      <c r="F14" s="207" t="s">
        <v>491</v>
      </c>
    </row>
    <row r="15" spans="1:9" x14ac:dyDescent="0.35">
      <c r="A15" s="250">
        <v>1</v>
      </c>
      <c r="B15" s="250">
        <v>2</v>
      </c>
      <c r="C15" s="250">
        <v>3</v>
      </c>
      <c r="D15" s="251">
        <v>4</v>
      </c>
      <c r="E15" s="348">
        <v>5</v>
      </c>
      <c r="F15" s="348">
        <v>6</v>
      </c>
    </row>
    <row r="16" spans="1:9" x14ac:dyDescent="0.35">
      <c r="A16" s="276"/>
      <c r="B16" s="276"/>
      <c r="C16" s="329" t="s">
        <v>156</v>
      </c>
      <c r="D16" s="330">
        <f>D18+D25+D28+D32+D36+D43+D46+D56+D50+D54+D58</f>
        <v>1884626.8870000003</v>
      </c>
      <c r="E16" s="330">
        <f>E18+E25+E28+E32+E36+E43+E46+E56+E50+E54+E58</f>
        <v>1593166.7</v>
      </c>
      <c r="F16" s="330">
        <f>F18+F25+F28+F32+F36+F43+F46+F56+F50+F54+F58</f>
        <v>1597406.3</v>
      </c>
      <c r="G16" s="331">
        <f>D16-'прил9 (ведом 22)'!M15</f>
        <v>0</v>
      </c>
      <c r="H16" s="331">
        <f>E16-'прил10 (ведом 23-24)'!M16</f>
        <v>0</v>
      </c>
      <c r="I16" s="331">
        <f>F16-'прил10 (ведом 23-24)'!N16</f>
        <v>0</v>
      </c>
    </row>
    <row r="17" spans="1:6" x14ac:dyDescent="0.35">
      <c r="A17" s="276"/>
      <c r="B17" s="276"/>
      <c r="C17" s="332" t="s">
        <v>157</v>
      </c>
      <c r="D17" s="222"/>
      <c r="E17" s="343"/>
      <c r="F17" s="328"/>
    </row>
    <row r="18" spans="1:6" x14ac:dyDescent="0.35">
      <c r="A18" s="253">
        <v>1</v>
      </c>
      <c r="B18" s="333" t="s">
        <v>158</v>
      </c>
      <c r="C18" s="334" t="s">
        <v>31</v>
      </c>
      <c r="D18" s="255">
        <f>SUM(D19:D24)</f>
        <v>202908.62599999999</v>
      </c>
      <c r="E18" s="255">
        <f>SUM(E19:E24)</f>
        <v>147539.09999999995</v>
      </c>
      <c r="F18" s="255">
        <f>SUM(F19:F24)</f>
        <v>149304.59999999998</v>
      </c>
    </row>
    <row r="19" spans="1:6" ht="54" x14ac:dyDescent="0.35">
      <c r="A19" s="256"/>
      <c r="B19" s="220" t="s">
        <v>159</v>
      </c>
      <c r="C19" s="221" t="s">
        <v>160</v>
      </c>
      <c r="D19" s="222">
        <f>'прил9 (ведом 22)'!M724</f>
        <v>2439.1999999999998</v>
      </c>
      <c r="E19" s="217">
        <f>'прил10 (ведом 23-24)'!M586</f>
        <v>2128.5</v>
      </c>
      <c r="F19" s="217">
        <f>'прил10 (ведом 23-24)'!N586</f>
        <v>2128.5</v>
      </c>
    </row>
    <row r="20" spans="1:6" ht="72" x14ac:dyDescent="0.35">
      <c r="A20" s="256"/>
      <c r="B20" s="220" t="s">
        <v>161</v>
      </c>
      <c r="C20" s="221" t="s">
        <v>46</v>
      </c>
      <c r="D20" s="222">
        <f>'прил9 (ведом 22)'!M725</f>
        <v>85268.426000000007</v>
      </c>
      <c r="E20" s="217">
        <f>'прил10 (ведом 23-24)'!M587</f>
        <v>76352.699999999968</v>
      </c>
      <c r="F20" s="217">
        <f>'прил10 (ведом 23-24)'!N587</f>
        <v>76393.499999999971</v>
      </c>
    </row>
    <row r="21" spans="1:6" x14ac:dyDescent="0.35">
      <c r="A21" s="256"/>
      <c r="B21" s="220" t="s">
        <v>388</v>
      </c>
      <c r="C21" s="240" t="s">
        <v>383</v>
      </c>
      <c r="D21" s="222">
        <f>'прил9 (ведом 22)'!M726</f>
        <v>140</v>
      </c>
      <c r="E21" s="217">
        <f>'прил10 (ведом 23-24)'!M588</f>
        <v>24.700000000000003</v>
      </c>
      <c r="F21" s="217">
        <f>'прил10 (ведом 23-24)'!N588</f>
        <v>21.5</v>
      </c>
    </row>
    <row r="22" spans="1:6" ht="54" x14ac:dyDescent="0.35">
      <c r="A22" s="256"/>
      <c r="B22" s="220" t="s">
        <v>162</v>
      </c>
      <c r="C22" s="221" t="s">
        <v>124</v>
      </c>
      <c r="D22" s="222">
        <f>'прил9 (ведом 22)'!M727</f>
        <v>35225.5</v>
      </c>
      <c r="E22" s="217">
        <f>'прил10 (ведом 23-24)'!M589</f>
        <v>30179.4</v>
      </c>
      <c r="F22" s="217">
        <f>'прил10 (ведом 23-24)'!N589</f>
        <v>30180.2</v>
      </c>
    </row>
    <row r="23" spans="1:6" x14ac:dyDescent="0.35">
      <c r="A23" s="256"/>
      <c r="B23" s="220" t="s">
        <v>163</v>
      </c>
      <c r="C23" s="221" t="s">
        <v>61</v>
      </c>
      <c r="D23" s="222">
        <f>'прил9 (ведом 22)'!M728</f>
        <v>21700</v>
      </c>
      <c r="E23" s="217">
        <f>'прил10 (ведом 23-24)'!M590</f>
        <v>5000</v>
      </c>
      <c r="F23" s="217">
        <f>'прил10 (ведом 23-24)'!N590</f>
        <v>5000</v>
      </c>
    </row>
    <row r="24" spans="1:6" x14ac:dyDescent="0.35">
      <c r="A24" s="256"/>
      <c r="B24" s="220" t="s">
        <v>164</v>
      </c>
      <c r="C24" s="221" t="s">
        <v>65</v>
      </c>
      <c r="D24" s="222">
        <f>'прил9 (ведом 22)'!M729</f>
        <v>58135.499999999993</v>
      </c>
      <c r="E24" s="217">
        <f>'прил10 (ведом 23-24)'!M591</f>
        <v>33853.799999999996</v>
      </c>
      <c r="F24" s="217">
        <f>'прил10 (ведом 23-24)'!N591</f>
        <v>35580.9</v>
      </c>
    </row>
    <row r="25" spans="1:6" ht="35.4" x14ac:dyDescent="0.35">
      <c r="A25" s="253">
        <v>2</v>
      </c>
      <c r="B25" s="333" t="s">
        <v>165</v>
      </c>
      <c r="C25" s="334" t="s">
        <v>73</v>
      </c>
      <c r="D25" s="255">
        <f>SUM(D26:D27)</f>
        <v>19116.8</v>
      </c>
      <c r="E25" s="255">
        <f t="shared" ref="E25:F25" si="0">SUM(E26:E27)</f>
        <v>11858.099999999999</v>
      </c>
      <c r="F25" s="255">
        <f t="shared" si="0"/>
        <v>11858.499999999998</v>
      </c>
    </row>
    <row r="26" spans="1:6" ht="54" x14ac:dyDescent="0.35">
      <c r="A26" s="256"/>
      <c r="B26" s="220" t="s">
        <v>435</v>
      </c>
      <c r="C26" s="221" t="s">
        <v>436</v>
      </c>
      <c r="D26" s="222">
        <f>'прил9 (ведом 22)'!M732</f>
        <v>3610.0000000000005</v>
      </c>
      <c r="E26" s="217">
        <f>'прил10 (ведом 23-24)'!M594</f>
        <v>362.29999999999995</v>
      </c>
      <c r="F26" s="217">
        <f>'прил10 (ведом 23-24)'!N594</f>
        <v>362.29999999999995</v>
      </c>
    </row>
    <row r="27" spans="1:6" ht="36" x14ac:dyDescent="0.35">
      <c r="A27" s="256"/>
      <c r="B27" s="220" t="s">
        <v>166</v>
      </c>
      <c r="C27" s="221" t="s">
        <v>82</v>
      </c>
      <c r="D27" s="222">
        <f>'прил9 (ведом 22)'!M733</f>
        <v>15506.8</v>
      </c>
      <c r="E27" s="217">
        <f>'прил10 (ведом 23-24)'!M595</f>
        <v>11495.8</v>
      </c>
      <c r="F27" s="217">
        <f>'прил10 (ведом 23-24)'!N595</f>
        <v>11496.199999999999</v>
      </c>
    </row>
    <row r="28" spans="1:6" x14ac:dyDescent="0.35">
      <c r="A28" s="253">
        <v>3</v>
      </c>
      <c r="B28" s="333" t="s">
        <v>167</v>
      </c>
      <c r="C28" s="334" t="s">
        <v>87</v>
      </c>
      <c r="D28" s="255">
        <f>SUM(D29:D31)</f>
        <v>52472.299999999996</v>
      </c>
      <c r="E28" s="255">
        <f t="shared" ref="E28:F28" si="1">SUM(E29:E31)</f>
        <v>28289</v>
      </c>
      <c r="F28" s="255">
        <f t="shared" si="1"/>
        <v>31457.599999999999</v>
      </c>
    </row>
    <row r="29" spans="1:6" x14ac:dyDescent="0.35">
      <c r="A29" s="253"/>
      <c r="B29" s="220" t="s">
        <v>168</v>
      </c>
      <c r="C29" s="221" t="s">
        <v>88</v>
      </c>
      <c r="D29" s="222">
        <f>'прил9 (ведом 22)'!M736</f>
        <v>12646.2</v>
      </c>
      <c r="E29" s="217">
        <f>'прил10 (ведом 23-24)'!M598</f>
        <v>12695.300000000001</v>
      </c>
      <c r="F29" s="217">
        <f>'прил10 (ведом 23-24)'!N598</f>
        <v>17253.900000000001</v>
      </c>
    </row>
    <row r="30" spans="1:6" x14ac:dyDescent="0.35">
      <c r="A30" s="256"/>
      <c r="B30" s="220" t="s">
        <v>169</v>
      </c>
      <c r="C30" s="221" t="s">
        <v>93</v>
      </c>
      <c r="D30" s="222">
        <f>'прил9 (ведом 22)'!M737</f>
        <v>6255.7</v>
      </c>
      <c r="E30" s="217">
        <f>'прил10 (ведом 23-24)'!M599</f>
        <v>6443.4</v>
      </c>
      <c r="F30" s="217">
        <f>'прил10 (ведом 23-24)'!N599</f>
        <v>6701.1</v>
      </c>
    </row>
    <row r="31" spans="1:6" ht="36" x14ac:dyDescent="0.35">
      <c r="A31" s="256"/>
      <c r="B31" s="220" t="s">
        <v>170</v>
      </c>
      <c r="C31" s="221" t="s">
        <v>101</v>
      </c>
      <c r="D31" s="222">
        <f>'прил9 (ведом 22)'!M738</f>
        <v>33570.399999999994</v>
      </c>
      <c r="E31" s="217">
        <f>'прил10 (ведом 23-24)'!M600</f>
        <v>9150.2999999999993</v>
      </c>
      <c r="F31" s="217">
        <f>'прил10 (ведом 23-24)'!N600</f>
        <v>7502.6</v>
      </c>
    </row>
    <row r="32" spans="1:6" x14ac:dyDescent="0.35">
      <c r="A32" s="253">
        <v>4</v>
      </c>
      <c r="B32" s="333" t="s">
        <v>171</v>
      </c>
      <c r="C32" s="334" t="s">
        <v>172</v>
      </c>
      <c r="D32" s="255">
        <f>SUM(D33:D35)</f>
        <v>60137.999999999993</v>
      </c>
      <c r="E32" s="255">
        <f t="shared" ref="E32:F32" si="2">SUM(E33:E35)</f>
        <v>3516.2</v>
      </c>
      <c r="F32" s="255">
        <f t="shared" si="2"/>
        <v>0</v>
      </c>
    </row>
    <row r="33" spans="1:6" x14ac:dyDescent="0.35">
      <c r="A33" s="256"/>
      <c r="B33" s="220" t="s">
        <v>507</v>
      </c>
      <c r="C33" s="221" t="s">
        <v>453</v>
      </c>
      <c r="D33" s="222">
        <f>'прил9 (ведом 22)'!M741</f>
        <v>43419.7</v>
      </c>
      <c r="E33" s="222">
        <f>'прил10 (ведом 23-24)'!M603</f>
        <v>0</v>
      </c>
      <c r="F33" s="222">
        <f>'прил10 (ведом 23-24)'!N603</f>
        <v>0</v>
      </c>
    </row>
    <row r="34" spans="1:6" x14ac:dyDescent="0.35">
      <c r="A34" s="253"/>
      <c r="B34" s="220" t="s">
        <v>324</v>
      </c>
      <c r="C34" s="221" t="s">
        <v>322</v>
      </c>
      <c r="D34" s="222">
        <f>'прил9 (ведом 22)'!M742</f>
        <v>13384.6</v>
      </c>
      <c r="E34" s="222">
        <f>'прил10 (ведом 23-24)'!M604</f>
        <v>0</v>
      </c>
      <c r="F34" s="222">
        <f>'прил10 (ведом 23-24)'!N604</f>
        <v>0</v>
      </c>
    </row>
    <row r="35" spans="1:6" x14ac:dyDescent="0.35">
      <c r="A35" s="253"/>
      <c r="B35" s="220" t="s">
        <v>481</v>
      </c>
      <c r="C35" s="221" t="s">
        <v>475</v>
      </c>
      <c r="D35" s="222">
        <f>'прил9 (ведом 22)'!M744</f>
        <v>3333.7</v>
      </c>
      <c r="E35" s="217">
        <f>'прил10 (ведом 23-24)'!M605</f>
        <v>3516.2</v>
      </c>
      <c r="F35" s="217">
        <f>'прил10 (ведом 23-24)'!N605</f>
        <v>0</v>
      </c>
    </row>
    <row r="36" spans="1:6" x14ac:dyDescent="0.35">
      <c r="A36" s="253">
        <v>5</v>
      </c>
      <c r="B36" s="333" t="s">
        <v>173</v>
      </c>
      <c r="C36" s="334" t="s">
        <v>174</v>
      </c>
      <c r="D36" s="255">
        <f>SUM(D37:D42)</f>
        <v>1324130.5610000002</v>
      </c>
      <c r="E36" s="255">
        <f>SUM(E37:E42)</f>
        <v>1159522.6000000001</v>
      </c>
      <c r="F36" s="255">
        <f>SUM(F37:F42)</f>
        <v>1164560.8</v>
      </c>
    </row>
    <row r="37" spans="1:6" x14ac:dyDescent="0.35">
      <c r="A37" s="256"/>
      <c r="B37" s="220" t="s">
        <v>175</v>
      </c>
      <c r="C37" s="221" t="s">
        <v>176</v>
      </c>
      <c r="D37" s="222">
        <f>'прил9 (ведом 22)'!M747</f>
        <v>467104.80000000005</v>
      </c>
      <c r="E37" s="222">
        <f>'прил10 (ведом 23-24)'!M608</f>
        <v>383610.4</v>
      </c>
      <c r="F37" s="222">
        <f>'прил10 (ведом 23-24)'!N608</f>
        <v>338318.30000000005</v>
      </c>
    </row>
    <row r="38" spans="1:6" x14ac:dyDescent="0.35">
      <c r="A38" s="256"/>
      <c r="B38" s="220" t="s">
        <v>177</v>
      </c>
      <c r="C38" s="221" t="s">
        <v>178</v>
      </c>
      <c r="D38" s="222">
        <f>'прил9 (ведом 22)'!M748</f>
        <v>648182.00900000008</v>
      </c>
      <c r="E38" s="222">
        <f>'прил10 (ведом 23-24)'!M609</f>
        <v>622488.40000000014</v>
      </c>
      <c r="F38" s="222">
        <f>'прил10 (ведом 23-24)'!N609</f>
        <v>614556.79999999993</v>
      </c>
    </row>
    <row r="39" spans="1:6" x14ac:dyDescent="0.35">
      <c r="A39" s="256"/>
      <c r="B39" s="220" t="s">
        <v>337</v>
      </c>
      <c r="C39" s="221" t="s">
        <v>338</v>
      </c>
      <c r="D39" s="222">
        <f>'прил9 (ведом 22)'!M749</f>
        <v>122965.48499999999</v>
      </c>
      <c r="E39" s="222">
        <f>'прил10 (ведом 23-24)'!M610</f>
        <v>121543.30000000002</v>
      </c>
      <c r="F39" s="222">
        <f>'прил10 (ведом 23-24)'!N610</f>
        <v>131669.69999999998</v>
      </c>
    </row>
    <row r="40" spans="1:6" ht="36" x14ac:dyDescent="0.35">
      <c r="A40" s="256"/>
      <c r="B40" s="220" t="s">
        <v>522</v>
      </c>
      <c r="C40" s="221" t="s">
        <v>523</v>
      </c>
      <c r="D40" s="222">
        <f>'прил9 (ведом 22)'!M750</f>
        <v>221.2</v>
      </c>
      <c r="E40" s="222">
        <f>'прил10 (ведом 23-24)'!M611</f>
        <v>0</v>
      </c>
      <c r="F40" s="222">
        <f>'прил10 (ведом 23-24)'!N611</f>
        <v>0</v>
      </c>
    </row>
    <row r="41" spans="1:6" x14ac:dyDescent="0.35">
      <c r="A41" s="253"/>
      <c r="B41" s="220" t="s">
        <v>179</v>
      </c>
      <c r="C41" s="221" t="s">
        <v>339</v>
      </c>
      <c r="D41" s="222">
        <f>'прил9 (ведом 22)'!M751</f>
        <v>9711.5999999999985</v>
      </c>
      <c r="E41" s="222">
        <f>'прил10 (ведом 23-24)'!M612</f>
        <v>11998.899999999998</v>
      </c>
      <c r="F41" s="222">
        <f>'прил10 (ведом 23-24)'!N612</f>
        <v>11998.899999999998</v>
      </c>
    </row>
    <row r="42" spans="1:6" x14ac:dyDescent="0.35">
      <c r="A42" s="256"/>
      <c r="B42" s="220" t="s">
        <v>180</v>
      </c>
      <c r="C42" s="221" t="s">
        <v>181</v>
      </c>
      <c r="D42" s="222">
        <f>'прил9 (ведом 22)'!M752</f>
        <v>75945.46699999999</v>
      </c>
      <c r="E42" s="222">
        <f>'прил10 (ведом 23-24)'!M613</f>
        <v>19881.600000000002</v>
      </c>
      <c r="F42" s="222">
        <f>'прил10 (ведом 23-24)'!N613</f>
        <v>68017.100000000006</v>
      </c>
    </row>
    <row r="43" spans="1:6" x14ac:dyDescent="0.35">
      <c r="A43" s="253">
        <v>6</v>
      </c>
      <c r="B43" s="333" t="s">
        <v>182</v>
      </c>
      <c r="C43" s="334" t="s">
        <v>183</v>
      </c>
      <c r="D43" s="255">
        <f>SUM(D44:D45)</f>
        <v>43474.6</v>
      </c>
      <c r="E43" s="255">
        <f t="shared" ref="E43:F43" si="3">SUM(E44:E45)</f>
        <v>33870.400000000001</v>
      </c>
      <c r="F43" s="255">
        <f t="shared" si="3"/>
        <v>36898.1</v>
      </c>
    </row>
    <row r="44" spans="1:6" x14ac:dyDescent="0.35">
      <c r="A44" s="256"/>
      <c r="B44" s="220" t="s">
        <v>184</v>
      </c>
      <c r="C44" s="221" t="s">
        <v>185</v>
      </c>
      <c r="D44" s="222">
        <f>'прил9 (ведом 22)'!M755</f>
        <v>31746.5</v>
      </c>
      <c r="E44" s="222">
        <f>'прил10 (ведом 23-24)'!M616</f>
        <v>24617.300000000003</v>
      </c>
      <c r="F44" s="222">
        <f>'прил10 (ведом 23-24)'!N616</f>
        <v>26988.1</v>
      </c>
    </row>
    <row r="45" spans="1:6" ht="18.75" customHeight="1" x14ac:dyDescent="0.35">
      <c r="A45" s="256"/>
      <c r="B45" s="220" t="s">
        <v>186</v>
      </c>
      <c r="C45" s="221" t="s">
        <v>187</v>
      </c>
      <c r="D45" s="222">
        <f>'прил9 (ведом 22)'!M756</f>
        <v>11728.1</v>
      </c>
      <c r="E45" s="217">
        <f>'прил10 (ведом 23-24)'!M617</f>
        <v>9253.1</v>
      </c>
      <c r="F45" s="217">
        <f>'прил10 (ведом 23-24)'!N617</f>
        <v>9910</v>
      </c>
    </row>
    <row r="46" spans="1:6" s="335" customFormat="1" ht="17.399999999999999" x14ac:dyDescent="0.3">
      <c r="A46" s="253">
        <v>7</v>
      </c>
      <c r="B46" s="253">
        <v>1000</v>
      </c>
      <c r="C46" s="334" t="s">
        <v>114</v>
      </c>
      <c r="D46" s="255">
        <f>SUM(D47:D49)</f>
        <v>129557.5</v>
      </c>
      <c r="E46" s="255">
        <f>SUM(E47:E49)</f>
        <v>129675</v>
      </c>
      <c r="F46" s="255">
        <f>SUM(F47:F49)</f>
        <v>131205.30000000002</v>
      </c>
    </row>
    <row r="47" spans="1:6" x14ac:dyDescent="0.35">
      <c r="A47" s="256"/>
      <c r="B47" s="256">
        <v>1001</v>
      </c>
      <c r="C47" s="221" t="s">
        <v>344</v>
      </c>
      <c r="D47" s="222">
        <f>'прил9 (ведом 22)'!M759</f>
        <v>1200</v>
      </c>
      <c r="E47" s="222">
        <f>'прил10 (ведом 23-24)'!M620</f>
        <v>504</v>
      </c>
      <c r="F47" s="222">
        <f>'прил10 (ведом 23-24)'!N620</f>
        <v>504</v>
      </c>
    </row>
    <row r="48" spans="1:6" x14ac:dyDescent="0.35">
      <c r="A48" s="256"/>
      <c r="B48" s="256">
        <v>1004</v>
      </c>
      <c r="C48" s="221" t="s">
        <v>188</v>
      </c>
      <c r="D48" s="222">
        <f>'прил9 (ведом 22)'!M761</f>
        <v>119634.1</v>
      </c>
      <c r="E48" s="222">
        <f>'прил10 (ведом 23-24)'!M621</f>
        <v>120323.9</v>
      </c>
      <c r="F48" s="222">
        <f>'прил10 (ведом 23-24)'!N621</f>
        <v>121854.20000000001</v>
      </c>
    </row>
    <row r="49" spans="1:8" x14ac:dyDescent="0.35">
      <c r="A49" s="256"/>
      <c r="B49" s="256">
        <v>1006</v>
      </c>
      <c r="C49" s="221" t="s">
        <v>189</v>
      </c>
      <c r="D49" s="222">
        <f>'прил9 (ведом 22)'!M762</f>
        <v>8723.4</v>
      </c>
      <c r="E49" s="222">
        <f>'прил10 (ведом 23-24)'!M622</f>
        <v>8847.1</v>
      </c>
      <c r="F49" s="222">
        <f>'прил10 (ведом 23-24)'!N622</f>
        <v>8847.1</v>
      </c>
    </row>
    <row r="50" spans="1:8" x14ac:dyDescent="0.35">
      <c r="A50" s="253">
        <v>8</v>
      </c>
      <c r="B50" s="336">
        <v>1100</v>
      </c>
      <c r="C50" s="329" t="s">
        <v>190</v>
      </c>
      <c r="D50" s="255">
        <f>SUM(D51:D53)</f>
        <v>45819.1</v>
      </c>
      <c r="E50" s="255">
        <f t="shared" ref="E50:F50" si="4">SUM(E51:E53)</f>
        <v>44503.199999999997</v>
      </c>
      <c r="F50" s="255">
        <f t="shared" si="4"/>
        <v>30569.7</v>
      </c>
    </row>
    <row r="51" spans="1:8" x14ac:dyDescent="0.35">
      <c r="A51" s="256"/>
      <c r="B51" s="337">
        <v>1101</v>
      </c>
      <c r="C51" s="338" t="s">
        <v>349</v>
      </c>
      <c r="D51" s="222">
        <f>'прил9 (ведом 22)'!M765</f>
        <v>42331.3</v>
      </c>
      <c r="E51" s="222">
        <f>'прил10 (ведом 23-24)'!M625</f>
        <v>37696.799999999996</v>
      </c>
      <c r="F51" s="222">
        <f>'прил10 (ведом 23-24)'!N625</f>
        <v>27452.1</v>
      </c>
    </row>
    <row r="52" spans="1:8" x14ac:dyDescent="0.35">
      <c r="A52" s="253"/>
      <c r="B52" s="220" t="s">
        <v>191</v>
      </c>
      <c r="C52" s="258" t="s">
        <v>192</v>
      </c>
      <c r="D52" s="222">
        <f>'прил9 (ведом 22)'!M766</f>
        <v>629.70000000000005</v>
      </c>
      <c r="E52" s="222">
        <f>'прил10 (ведом 23-24)'!M626</f>
        <v>4319.5</v>
      </c>
      <c r="F52" s="222">
        <f>'прил10 (ведом 23-24)'!N626</f>
        <v>629.70000000000005</v>
      </c>
    </row>
    <row r="53" spans="1:8" ht="36" x14ac:dyDescent="0.35">
      <c r="A53" s="256"/>
      <c r="B53" s="220" t="s">
        <v>193</v>
      </c>
      <c r="C53" s="270" t="s">
        <v>194</v>
      </c>
      <c r="D53" s="222">
        <f>'прил9 (ведом 22)'!M767</f>
        <v>2858.1</v>
      </c>
      <c r="E53" s="217">
        <f>'прил10 (ведом 23-24)'!M627</f>
        <v>2486.9</v>
      </c>
      <c r="F53" s="217">
        <f>'прил10 (ведом 23-24)'!N627</f>
        <v>2487.9</v>
      </c>
    </row>
    <row r="54" spans="1:8" ht="35.4" x14ac:dyDescent="0.35">
      <c r="A54" s="253">
        <v>9</v>
      </c>
      <c r="B54" s="333" t="s">
        <v>381</v>
      </c>
      <c r="C54" s="339" t="s">
        <v>372</v>
      </c>
      <c r="D54" s="255">
        <f>D55</f>
        <v>9.4</v>
      </c>
      <c r="E54" s="255">
        <f t="shared" ref="E54:F54" si="5">E55</f>
        <v>0</v>
      </c>
      <c r="F54" s="255">
        <f t="shared" si="5"/>
        <v>0</v>
      </c>
    </row>
    <row r="55" spans="1:8" ht="36" x14ac:dyDescent="0.35">
      <c r="A55" s="256"/>
      <c r="B55" s="220" t="s">
        <v>382</v>
      </c>
      <c r="C55" s="270" t="s">
        <v>432</v>
      </c>
      <c r="D55" s="222">
        <f>'прил9 (ведом 22)'!M770</f>
        <v>9.4</v>
      </c>
      <c r="E55" s="217">
        <v>0</v>
      </c>
      <c r="F55" s="217">
        <v>0</v>
      </c>
    </row>
    <row r="56" spans="1:8" ht="52.8" x14ac:dyDescent="0.35">
      <c r="A56" s="253">
        <v>10</v>
      </c>
      <c r="B56" s="336">
        <v>1400</v>
      </c>
      <c r="C56" s="334" t="s">
        <v>195</v>
      </c>
      <c r="D56" s="340">
        <f>SUM(D57:D57)</f>
        <v>7000</v>
      </c>
      <c r="E56" s="340">
        <f>SUM(E57:E57)</f>
        <v>7000</v>
      </c>
      <c r="F56" s="340">
        <f>SUM(F57:F57)</f>
        <v>7000</v>
      </c>
    </row>
    <row r="57" spans="1:8" ht="54" x14ac:dyDescent="0.35">
      <c r="A57" s="341"/>
      <c r="B57" s="337">
        <v>1401</v>
      </c>
      <c r="C57" s="221" t="s">
        <v>196</v>
      </c>
      <c r="D57" s="342">
        <f>'прил9 (ведом 22)'!M773</f>
        <v>7000</v>
      </c>
      <c r="E57" s="262">
        <f>'прил10 (ведом 23-24)'!M633</f>
        <v>7000</v>
      </c>
      <c r="F57" s="262">
        <f>'прил10 (ведом 23-24)'!N633</f>
        <v>7000</v>
      </c>
    </row>
    <row r="58" spans="1:8" s="223" customFormat="1" ht="17.399999999999999" x14ac:dyDescent="0.3">
      <c r="A58" s="252">
        <v>11</v>
      </c>
      <c r="B58" s="254"/>
      <c r="C58" s="218" t="s">
        <v>351</v>
      </c>
      <c r="D58" s="260">
        <f>SUM(D59:D59)</f>
        <v>0</v>
      </c>
      <c r="E58" s="260">
        <f t="shared" ref="E58:F58" si="6">SUM(E59:E59)</f>
        <v>27393.1</v>
      </c>
      <c r="F58" s="260">
        <f t="shared" si="6"/>
        <v>34551.699999999997</v>
      </c>
    </row>
    <row r="59" spans="1:8" s="223" customFormat="1" x14ac:dyDescent="0.35">
      <c r="A59" s="261"/>
      <c r="B59" s="257"/>
      <c r="C59" s="219" t="s">
        <v>351</v>
      </c>
      <c r="D59" s="262">
        <v>0</v>
      </c>
      <c r="E59" s="262">
        <f>'прил10 (ведом 23-24)'!M636</f>
        <v>27393.1</v>
      </c>
      <c r="F59" s="262">
        <f>'прил10 (ведом 23-24)'!N636</f>
        <v>34551.699999999997</v>
      </c>
    </row>
    <row r="62" spans="1:8" s="347" customFormat="1" x14ac:dyDescent="0.35">
      <c r="A62" s="55" t="s">
        <v>366</v>
      </c>
      <c r="B62" s="344"/>
      <c r="C62" s="345"/>
      <c r="D62" s="345"/>
      <c r="E62" s="345"/>
      <c r="F62" s="345"/>
      <c r="G62" s="58"/>
      <c r="H62" s="346"/>
    </row>
    <row r="63" spans="1:8" s="347" customFormat="1" x14ac:dyDescent="0.35">
      <c r="A63" s="55" t="s">
        <v>367</v>
      </c>
      <c r="B63" s="344"/>
      <c r="C63" s="345"/>
      <c r="D63" s="345"/>
      <c r="E63" s="345"/>
      <c r="F63" s="345"/>
      <c r="G63" s="58"/>
      <c r="H63" s="346"/>
    </row>
    <row r="64" spans="1:8" s="347" customFormat="1" x14ac:dyDescent="0.35">
      <c r="A64" s="61" t="s">
        <v>368</v>
      </c>
      <c r="B64" s="344"/>
      <c r="E64" s="345"/>
      <c r="F64" s="62" t="s">
        <v>387</v>
      </c>
    </row>
  </sheetData>
  <mergeCells count="6">
    <mergeCell ref="D13:F13"/>
    <mergeCell ref="A9:F9"/>
    <mergeCell ref="A10:F10"/>
    <mergeCell ref="A13:A14"/>
    <mergeCell ref="B13:B14"/>
    <mergeCell ref="C13:C14"/>
  </mergeCells>
  <printOptions horizontalCentered="1"/>
  <pageMargins left="1.1811023622047245" right="0.39370078740157483" top="0.78740157480314965" bottom="0.78740157480314965" header="0" footer="0"/>
  <pageSetup paperSize="9" scale="68" fitToHeight="0" orientation="portrait" blackAndWhite="1" r:id="rId1"/>
  <headerFooter differentFirst="1" alignWithMargins="0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545"/>
  <sheetViews>
    <sheetView zoomScale="80" zoomScaleNormal="80" workbookViewId="0">
      <pane xSplit="1" ySplit="4" topLeftCell="B519" activePane="bottomRight" state="frozen"/>
      <selection activeCell="F25" sqref="F25"/>
      <selection pane="topRight" activeCell="F25" sqref="F25"/>
      <selection pane="bottomLeft" activeCell="F25" sqref="F25"/>
      <selection pane="bottomRight" activeCell="K535" sqref="K535"/>
    </sheetView>
  </sheetViews>
  <sheetFormatPr defaultColWidth="9.109375" defaultRowHeight="15.6" x14ac:dyDescent="0.3"/>
  <cols>
    <col min="1" max="1" width="4.5546875" style="397" customWidth="1"/>
    <col min="2" max="2" width="62.44140625" style="507" customWidth="1"/>
    <col min="3" max="3" width="3.109375" style="508" customWidth="1"/>
    <col min="4" max="4" width="2" style="508" customWidth="1"/>
    <col min="5" max="5" width="3.109375" style="508" customWidth="1"/>
    <col min="6" max="6" width="8.6640625" style="508" customWidth="1"/>
    <col min="7" max="7" width="5.5546875" style="506" customWidth="1"/>
    <col min="8" max="8" width="15.6640625" style="398" customWidth="1"/>
    <col min="9" max="9" width="9.109375" style="60"/>
    <col min="10" max="10" width="17.6640625" style="60" hidden="1" customWidth="1"/>
    <col min="11" max="14" width="9.109375" style="60"/>
    <col min="15" max="15" width="58.6640625" style="60" customWidth="1"/>
    <col min="16" max="16384" width="9.109375" style="60"/>
  </cols>
  <sheetData>
    <row r="1" spans="1:12" ht="18" x14ac:dyDescent="0.35">
      <c r="H1" s="172" t="s">
        <v>498</v>
      </c>
    </row>
    <row r="2" spans="1:12" ht="18" x14ac:dyDescent="0.35">
      <c r="H2" s="172" t="s">
        <v>546</v>
      </c>
    </row>
    <row r="4" spans="1:12" s="49" customFormat="1" ht="18" x14ac:dyDescent="0.35">
      <c r="H4" s="172" t="s">
        <v>501</v>
      </c>
      <c r="K4" s="53"/>
      <c r="L4" s="291"/>
    </row>
    <row r="5" spans="1:12" s="49" customFormat="1" ht="18" x14ac:dyDescent="0.35">
      <c r="H5" s="172" t="s">
        <v>545</v>
      </c>
      <c r="K5" s="53"/>
      <c r="L5" s="292"/>
    </row>
    <row r="9" spans="1:12" ht="72" customHeight="1" x14ac:dyDescent="0.3">
      <c r="A9" s="622" t="s">
        <v>489</v>
      </c>
      <c r="B9" s="622"/>
      <c r="C9" s="622"/>
      <c r="D9" s="622"/>
      <c r="E9" s="622"/>
      <c r="F9" s="622"/>
      <c r="G9" s="622"/>
      <c r="H9" s="622"/>
    </row>
    <row r="10" spans="1:12" x14ac:dyDescent="0.3">
      <c r="A10" s="60"/>
      <c r="B10" s="60"/>
      <c r="C10" s="397"/>
      <c r="D10" s="397"/>
      <c r="E10" s="397"/>
      <c r="F10" s="397"/>
      <c r="G10" s="398"/>
    </row>
    <row r="11" spans="1:12" ht="18" x14ac:dyDescent="0.35">
      <c r="A11" s="399"/>
      <c r="B11" s="56"/>
      <c r="C11" s="57"/>
      <c r="D11" s="57"/>
      <c r="E11" s="57"/>
      <c r="F11" s="57"/>
      <c r="G11" s="60"/>
      <c r="H11" s="510" t="s">
        <v>17</v>
      </c>
    </row>
    <row r="12" spans="1:12" ht="37.200000000000003" customHeight="1" x14ac:dyDescent="0.3">
      <c r="A12" s="580" t="s">
        <v>18</v>
      </c>
      <c r="B12" s="581" t="s">
        <v>19</v>
      </c>
      <c r="C12" s="623" t="s">
        <v>23</v>
      </c>
      <c r="D12" s="624"/>
      <c r="E12" s="624"/>
      <c r="F12" s="625"/>
      <c r="G12" s="581" t="s">
        <v>24</v>
      </c>
      <c r="H12" s="511" t="s">
        <v>13</v>
      </c>
    </row>
    <row r="13" spans="1:12" ht="18" x14ac:dyDescent="0.35">
      <c r="A13" s="250">
        <v>1</v>
      </c>
      <c r="B13" s="402">
        <v>2</v>
      </c>
      <c r="C13" s="626" t="s">
        <v>25</v>
      </c>
      <c r="D13" s="627"/>
      <c r="E13" s="627"/>
      <c r="F13" s="628"/>
      <c r="G13" s="264" t="s">
        <v>26</v>
      </c>
      <c r="H13" s="251">
        <v>5</v>
      </c>
    </row>
    <row r="14" spans="1:12" ht="19.5" customHeight="1" x14ac:dyDescent="0.35">
      <c r="A14" s="403"/>
      <c r="B14" s="404" t="s">
        <v>197</v>
      </c>
      <c r="C14" s="405"/>
      <c r="D14" s="405"/>
      <c r="E14" s="405"/>
      <c r="F14" s="405"/>
      <c r="G14" s="406"/>
      <c r="H14" s="407">
        <f>H15+H134+H188+H229+H254+H288+H310+H348+H409+H418+H424+H434+H442+H448+H515+H524+H382+H509</f>
        <v>1884626.8869999996</v>
      </c>
      <c r="J14" s="512">
        <f>H14-'прил9 (ведом 22)'!M15</f>
        <v>0</v>
      </c>
    </row>
    <row r="15" spans="1:12" s="413" customFormat="1" ht="52.2" x14ac:dyDescent="0.3">
      <c r="A15" s="409">
        <v>1</v>
      </c>
      <c r="B15" s="339" t="s">
        <v>200</v>
      </c>
      <c r="C15" s="410" t="s">
        <v>34</v>
      </c>
      <c r="D15" s="410" t="s">
        <v>37</v>
      </c>
      <c r="E15" s="410" t="s">
        <v>38</v>
      </c>
      <c r="F15" s="411" t="s">
        <v>39</v>
      </c>
      <c r="G15" s="412"/>
      <c r="H15" s="289">
        <f>H16+H78+H100</f>
        <v>1254150.2609999999</v>
      </c>
    </row>
    <row r="16" spans="1:12" ht="18.75" customHeight="1" x14ac:dyDescent="0.35">
      <c r="A16" s="403"/>
      <c r="B16" s="414" t="s">
        <v>201</v>
      </c>
      <c r="C16" s="577" t="s">
        <v>34</v>
      </c>
      <c r="D16" s="577" t="s">
        <v>40</v>
      </c>
      <c r="E16" s="577" t="s">
        <v>38</v>
      </c>
      <c r="F16" s="578" t="s">
        <v>39</v>
      </c>
      <c r="G16" s="264"/>
      <c r="H16" s="242">
        <f>H17+H36</f>
        <v>1109041.0090000001</v>
      </c>
    </row>
    <row r="17" spans="1:8" ht="17.25" customHeight="1" x14ac:dyDescent="0.35">
      <c r="A17" s="403"/>
      <c r="B17" s="414" t="s">
        <v>255</v>
      </c>
      <c r="C17" s="227" t="s">
        <v>34</v>
      </c>
      <c r="D17" s="228" t="s">
        <v>40</v>
      </c>
      <c r="E17" s="228" t="s">
        <v>32</v>
      </c>
      <c r="F17" s="229" t="s">
        <v>39</v>
      </c>
      <c r="G17" s="264"/>
      <c r="H17" s="242">
        <f>H27+H30+H32+H18+H22+H24+H20+H34</f>
        <v>471188</v>
      </c>
    </row>
    <row r="18" spans="1:8" ht="36" x14ac:dyDescent="0.35">
      <c r="A18" s="403"/>
      <c r="B18" s="414" t="s">
        <v>437</v>
      </c>
      <c r="C18" s="227" t="s">
        <v>34</v>
      </c>
      <c r="D18" s="228" t="s">
        <v>40</v>
      </c>
      <c r="E18" s="228" t="s">
        <v>32</v>
      </c>
      <c r="F18" s="229" t="s">
        <v>86</v>
      </c>
      <c r="G18" s="41"/>
      <c r="H18" s="242">
        <f>H19</f>
        <v>89086.2</v>
      </c>
    </row>
    <row r="19" spans="1:8" ht="37.5" customHeight="1" x14ac:dyDescent="0.35">
      <c r="A19" s="403"/>
      <c r="B19" s="414" t="s">
        <v>71</v>
      </c>
      <c r="C19" s="227" t="s">
        <v>34</v>
      </c>
      <c r="D19" s="228" t="s">
        <v>40</v>
      </c>
      <c r="E19" s="228" t="s">
        <v>32</v>
      </c>
      <c r="F19" s="229" t="s">
        <v>86</v>
      </c>
      <c r="G19" s="41" t="s">
        <v>72</v>
      </c>
      <c r="H19" s="242">
        <f>'прил9 (ведом 22)'!M382</f>
        <v>89086.2</v>
      </c>
    </row>
    <row r="20" spans="1:8" ht="24.75" customHeight="1" x14ac:dyDescent="0.35">
      <c r="A20" s="403"/>
      <c r="B20" s="240" t="s">
        <v>438</v>
      </c>
      <c r="C20" s="227" t="s">
        <v>34</v>
      </c>
      <c r="D20" s="228" t="s">
        <v>40</v>
      </c>
      <c r="E20" s="228" t="s">
        <v>32</v>
      </c>
      <c r="F20" s="229" t="s">
        <v>376</v>
      </c>
      <c r="G20" s="41"/>
      <c r="H20" s="242">
        <f>H21</f>
        <v>3584.8000000000006</v>
      </c>
    </row>
    <row r="21" spans="1:8" ht="38.25" customHeight="1" x14ac:dyDescent="0.35">
      <c r="A21" s="403"/>
      <c r="B21" s="240" t="s">
        <v>71</v>
      </c>
      <c r="C21" s="227" t="s">
        <v>34</v>
      </c>
      <c r="D21" s="228" t="s">
        <v>40</v>
      </c>
      <c r="E21" s="228" t="s">
        <v>32</v>
      </c>
      <c r="F21" s="229" t="s">
        <v>376</v>
      </c>
      <c r="G21" s="41" t="s">
        <v>72</v>
      </c>
      <c r="H21" s="242">
        <f>'прил9 (ведом 22)'!M384</f>
        <v>3584.8000000000006</v>
      </c>
    </row>
    <row r="22" spans="1:8" ht="38.25" customHeight="1" x14ac:dyDescent="0.35">
      <c r="A22" s="403"/>
      <c r="B22" s="240" t="s">
        <v>202</v>
      </c>
      <c r="C22" s="227" t="s">
        <v>34</v>
      </c>
      <c r="D22" s="228" t="s">
        <v>40</v>
      </c>
      <c r="E22" s="228" t="s">
        <v>32</v>
      </c>
      <c r="F22" s="229" t="s">
        <v>261</v>
      </c>
      <c r="G22" s="41"/>
      <c r="H22" s="242">
        <f>H23</f>
        <v>26718.2</v>
      </c>
    </row>
    <row r="23" spans="1:8" ht="41.25" customHeight="1" x14ac:dyDescent="0.35">
      <c r="A23" s="403"/>
      <c r="B23" s="240" t="s">
        <v>71</v>
      </c>
      <c r="C23" s="227" t="s">
        <v>34</v>
      </c>
      <c r="D23" s="228" t="s">
        <v>40</v>
      </c>
      <c r="E23" s="228" t="s">
        <v>32</v>
      </c>
      <c r="F23" s="229" t="s">
        <v>261</v>
      </c>
      <c r="G23" s="41" t="s">
        <v>72</v>
      </c>
      <c r="H23" s="242">
        <f>'прил9 (ведом 22)'!M386</f>
        <v>26718.2</v>
      </c>
    </row>
    <row r="24" spans="1:8" ht="36" customHeight="1" x14ac:dyDescent="0.35">
      <c r="A24" s="403"/>
      <c r="B24" s="240" t="s">
        <v>203</v>
      </c>
      <c r="C24" s="227" t="s">
        <v>34</v>
      </c>
      <c r="D24" s="228" t="s">
        <v>40</v>
      </c>
      <c r="E24" s="228" t="s">
        <v>32</v>
      </c>
      <c r="F24" s="229" t="s">
        <v>262</v>
      </c>
      <c r="G24" s="41"/>
      <c r="H24" s="242">
        <f>H25+H26</f>
        <v>4071.5</v>
      </c>
    </row>
    <row r="25" spans="1:8" ht="39" customHeight="1" x14ac:dyDescent="0.35">
      <c r="A25" s="403"/>
      <c r="B25" s="419" t="s">
        <v>198</v>
      </c>
      <c r="C25" s="227" t="s">
        <v>34</v>
      </c>
      <c r="D25" s="228" t="s">
        <v>40</v>
      </c>
      <c r="E25" s="228" t="s">
        <v>32</v>
      </c>
      <c r="F25" s="229" t="s">
        <v>262</v>
      </c>
      <c r="G25" s="41" t="s">
        <v>199</v>
      </c>
      <c r="H25" s="242">
        <f>'прил9 (ведом 22)'!M330</f>
        <v>3892.6</v>
      </c>
    </row>
    <row r="26" spans="1:8" ht="39" customHeight="1" x14ac:dyDescent="0.35">
      <c r="A26" s="403"/>
      <c r="B26" s="240" t="s">
        <v>71</v>
      </c>
      <c r="C26" s="227" t="s">
        <v>34</v>
      </c>
      <c r="D26" s="228" t="s">
        <v>40</v>
      </c>
      <c r="E26" s="228" t="s">
        <v>32</v>
      </c>
      <c r="F26" s="229" t="s">
        <v>262</v>
      </c>
      <c r="G26" s="41" t="s">
        <v>72</v>
      </c>
      <c r="H26" s="230">
        <f>'прил9 (ведом 22)'!M388</f>
        <v>178.9</v>
      </c>
    </row>
    <row r="27" spans="1:8" ht="112.5" customHeight="1" x14ac:dyDescent="0.35">
      <c r="A27" s="403"/>
      <c r="B27" s="414" t="s">
        <v>271</v>
      </c>
      <c r="C27" s="227" t="s">
        <v>34</v>
      </c>
      <c r="D27" s="228" t="s">
        <v>40</v>
      </c>
      <c r="E27" s="228" t="s">
        <v>32</v>
      </c>
      <c r="F27" s="229" t="s">
        <v>272</v>
      </c>
      <c r="G27" s="41"/>
      <c r="H27" s="242">
        <f>SUM(H28:H29)</f>
        <v>5452.5</v>
      </c>
    </row>
    <row r="28" spans="1:8" ht="36" x14ac:dyDescent="0.35">
      <c r="A28" s="403"/>
      <c r="B28" s="414" t="s">
        <v>50</v>
      </c>
      <c r="C28" s="227" t="s">
        <v>34</v>
      </c>
      <c r="D28" s="228" t="s">
        <v>40</v>
      </c>
      <c r="E28" s="228" t="s">
        <v>32</v>
      </c>
      <c r="F28" s="229" t="s">
        <v>272</v>
      </c>
      <c r="G28" s="41" t="s">
        <v>51</v>
      </c>
      <c r="H28" s="242">
        <f>'прил9 (ведом 22)'!M516</f>
        <v>80.5</v>
      </c>
    </row>
    <row r="29" spans="1:8" ht="22.5" customHeight="1" x14ac:dyDescent="0.35">
      <c r="A29" s="403"/>
      <c r="B29" s="420" t="s">
        <v>115</v>
      </c>
      <c r="C29" s="227" t="s">
        <v>34</v>
      </c>
      <c r="D29" s="228" t="s">
        <v>40</v>
      </c>
      <c r="E29" s="228" t="s">
        <v>32</v>
      </c>
      <c r="F29" s="229" t="s">
        <v>272</v>
      </c>
      <c r="G29" s="41" t="s">
        <v>116</v>
      </c>
      <c r="H29" s="242">
        <f>'прил9 (ведом 22)'!M517</f>
        <v>5372</v>
      </c>
    </row>
    <row r="30" spans="1:8" ht="162" x14ac:dyDescent="0.35">
      <c r="A30" s="403"/>
      <c r="B30" s="414" t="s">
        <v>256</v>
      </c>
      <c r="C30" s="227" t="s">
        <v>34</v>
      </c>
      <c r="D30" s="228" t="s">
        <v>40</v>
      </c>
      <c r="E30" s="228" t="s">
        <v>32</v>
      </c>
      <c r="F30" s="229" t="s">
        <v>257</v>
      </c>
      <c r="G30" s="41"/>
      <c r="H30" s="242">
        <f>H31</f>
        <v>549.29999999999995</v>
      </c>
    </row>
    <row r="31" spans="1:8" ht="41.25" customHeight="1" x14ac:dyDescent="0.35">
      <c r="A31" s="403"/>
      <c r="B31" s="414" t="s">
        <v>71</v>
      </c>
      <c r="C31" s="227" t="s">
        <v>34</v>
      </c>
      <c r="D31" s="228" t="s">
        <v>40</v>
      </c>
      <c r="E31" s="228" t="s">
        <v>32</v>
      </c>
      <c r="F31" s="229" t="s">
        <v>257</v>
      </c>
      <c r="G31" s="41" t="s">
        <v>72</v>
      </c>
      <c r="H31" s="242">
        <f>'прил9 (ведом 22)'!M390</f>
        <v>549.29999999999995</v>
      </c>
    </row>
    <row r="32" spans="1:8" ht="97.5" customHeight="1" x14ac:dyDescent="0.35">
      <c r="A32" s="403"/>
      <c r="B32" s="414" t="s">
        <v>334</v>
      </c>
      <c r="C32" s="227" t="s">
        <v>34</v>
      </c>
      <c r="D32" s="228" t="s">
        <v>40</v>
      </c>
      <c r="E32" s="228" t="s">
        <v>32</v>
      </c>
      <c r="F32" s="229" t="s">
        <v>258</v>
      </c>
      <c r="G32" s="41"/>
      <c r="H32" s="242">
        <f>H33</f>
        <v>214246.3</v>
      </c>
    </row>
    <row r="33" spans="1:8" ht="39.75" customHeight="1" x14ac:dyDescent="0.35">
      <c r="A33" s="403"/>
      <c r="B33" s="420" t="s">
        <v>71</v>
      </c>
      <c r="C33" s="227" t="s">
        <v>34</v>
      </c>
      <c r="D33" s="228" t="s">
        <v>40</v>
      </c>
      <c r="E33" s="228" t="s">
        <v>32</v>
      </c>
      <c r="F33" s="229" t="s">
        <v>258</v>
      </c>
      <c r="G33" s="41" t="s">
        <v>72</v>
      </c>
      <c r="H33" s="242">
        <f>'прил9 (ведом 22)'!M392</f>
        <v>214246.3</v>
      </c>
    </row>
    <row r="34" spans="1:8" ht="108" x14ac:dyDescent="0.35">
      <c r="A34" s="403"/>
      <c r="B34" s="419" t="s">
        <v>484</v>
      </c>
      <c r="C34" s="227" t="s">
        <v>34</v>
      </c>
      <c r="D34" s="228" t="s">
        <v>40</v>
      </c>
      <c r="E34" s="228" t="s">
        <v>32</v>
      </c>
      <c r="F34" s="229" t="s">
        <v>483</v>
      </c>
      <c r="G34" s="41"/>
      <c r="H34" s="242">
        <f>H35</f>
        <v>127479.2</v>
      </c>
    </row>
    <row r="35" spans="1:8" ht="36" x14ac:dyDescent="0.35">
      <c r="A35" s="403"/>
      <c r="B35" s="419" t="s">
        <v>198</v>
      </c>
      <c r="C35" s="227" t="s">
        <v>34</v>
      </c>
      <c r="D35" s="228" t="s">
        <v>40</v>
      </c>
      <c r="E35" s="228" t="s">
        <v>32</v>
      </c>
      <c r="F35" s="229" t="s">
        <v>483</v>
      </c>
      <c r="G35" s="41" t="s">
        <v>199</v>
      </c>
      <c r="H35" s="242">
        <f>'прил9 (ведом 22)'!M332</f>
        <v>127479.2</v>
      </c>
    </row>
    <row r="36" spans="1:8" ht="18" x14ac:dyDescent="0.35">
      <c r="A36" s="403"/>
      <c r="B36" s="414" t="s">
        <v>260</v>
      </c>
      <c r="C36" s="227" t="s">
        <v>34</v>
      </c>
      <c r="D36" s="228" t="s">
        <v>40</v>
      </c>
      <c r="E36" s="228" t="s">
        <v>34</v>
      </c>
      <c r="F36" s="229" t="s">
        <v>39</v>
      </c>
      <c r="G36" s="41"/>
      <c r="H36" s="242">
        <f>H45+H48+H57+H61+H65+H37+H42+H71+H54+H52+H68+H74</f>
        <v>637853.00900000008</v>
      </c>
    </row>
    <row r="37" spans="1:8" ht="36" x14ac:dyDescent="0.35">
      <c r="A37" s="403"/>
      <c r="B37" s="414" t="s">
        <v>437</v>
      </c>
      <c r="C37" s="227" t="s">
        <v>34</v>
      </c>
      <c r="D37" s="228" t="s">
        <v>40</v>
      </c>
      <c r="E37" s="228" t="s">
        <v>34</v>
      </c>
      <c r="F37" s="229" t="s">
        <v>86</v>
      </c>
      <c r="G37" s="41"/>
      <c r="H37" s="242">
        <f>SUM(H38:H41)</f>
        <v>68209.708999999988</v>
      </c>
    </row>
    <row r="38" spans="1:8" ht="90" x14ac:dyDescent="0.35">
      <c r="A38" s="403"/>
      <c r="B38" s="240" t="s">
        <v>44</v>
      </c>
      <c r="C38" s="227" t="s">
        <v>34</v>
      </c>
      <c r="D38" s="228" t="s">
        <v>40</v>
      </c>
      <c r="E38" s="228" t="s">
        <v>34</v>
      </c>
      <c r="F38" s="229" t="s">
        <v>86</v>
      </c>
      <c r="G38" s="41" t="s">
        <v>45</v>
      </c>
      <c r="H38" s="242">
        <f>'прил9 (ведом 22)'!M408</f>
        <v>325.5</v>
      </c>
    </row>
    <row r="39" spans="1:8" ht="36" x14ac:dyDescent="0.35">
      <c r="A39" s="403"/>
      <c r="B39" s="240" t="s">
        <v>50</v>
      </c>
      <c r="C39" s="227" t="s">
        <v>34</v>
      </c>
      <c r="D39" s="228" t="s">
        <v>40</v>
      </c>
      <c r="E39" s="228" t="s">
        <v>34</v>
      </c>
      <c r="F39" s="229" t="s">
        <v>86</v>
      </c>
      <c r="G39" s="41" t="s">
        <v>51</v>
      </c>
      <c r="H39" s="242">
        <f>'прил9 (ведом 22)'!M409</f>
        <v>5650.6089999999995</v>
      </c>
    </row>
    <row r="40" spans="1:8" ht="40.5" customHeight="1" x14ac:dyDescent="0.35">
      <c r="A40" s="403"/>
      <c r="B40" s="414" t="s">
        <v>71</v>
      </c>
      <c r="C40" s="227" t="s">
        <v>34</v>
      </c>
      <c r="D40" s="228" t="s">
        <v>40</v>
      </c>
      <c r="E40" s="228" t="s">
        <v>34</v>
      </c>
      <c r="F40" s="229" t="s">
        <v>86</v>
      </c>
      <c r="G40" s="41" t="s">
        <v>72</v>
      </c>
      <c r="H40" s="242">
        <f>'прил9 (ведом 22)'!M410</f>
        <v>61667.199999999997</v>
      </c>
    </row>
    <row r="41" spans="1:8" ht="18" x14ac:dyDescent="0.35">
      <c r="A41" s="403"/>
      <c r="B41" s="414" t="s">
        <v>52</v>
      </c>
      <c r="C41" s="227" t="s">
        <v>34</v>
      </c>
      <c r="D41" s="228" t="s">
        <v>40</v>
      </c>
      <c r="E41" s="228" t="s">
        <v>34</v>
      </c>
      <c r="F41" s="229" t="s">
        <v>86</v>
      </c>
      <c r="G41" s="41" t="s">
        <v>53</v>
      </c>
      <c r="H41" s="242">
        <f>'прил9 (ведом 22)'!M411</f>
        <v>566.4</v>
      </c>
    </row>
    <row r="42" spans="1:8" ht="18" x14ac:dyDescent="0.35">
      <c r="A42" s="403"/>
      <c r="B42" s="240" t="s">
        <v>438</v>
      </c>
      <c r="C42" s="227" t="s">
        <v>34</v>
      </c>
      <c r="D42" s="228" t="s">
        <v>40</v>
      </c>
      <c r="E42" s="228" t="s">
        <v>34</v>
      </c>
      <c r="F42" s="229" t="s">
        <v>376</v>
      </c>
      <c r="G42" s="41"/>
      <c r="H42" s="242">
        <f>SUM(H43:H44)</f>
        <v>7184.9000000000005</v>
      </c>
    </row>
    <row r="43" spans="1:8" ht="36" x14ac:dyDescent="0.35">
      <c r="A43" s="403"/>
      <c r="B43" s="240" t="s">
        <v>50</v>
      </c>
      <c r="C43" s="227" t="s">
        <v>34</v>
      </c>
      <c r="D43" s="228" t="s">
        <v>40</v>
      </c>
      <c r="E43" s="228" t="s">
        <v>34</v>
      </c>
      <c r="F43" s="229" t="s">
        <v>376</v>
      </c>
      <c r="G43" s="41" t="s">
        <v>51</v>
      </c>
      <c r="H43" s="242">
        <f>'прил9 (ведом 22)'!M413</f>
        <v>595.79999999999995</v>
      </c>
    </row>
    <row r="44" spans="1:8" ht="43.5" customHeight="1" x14ac:dyDescent="0.35">
      <c r="A44" s="403"/>
      <c r="B44" s="414" t="s">
        <v>71</v>
      </c>
      <c r="C44" s="227" t="s">
        <v>34</v>
      </c>
      <c r="D44" s="228" t="s">
        <v>40</v>
      </c>
      <c r="E44" s="228" t="s">
        <v>34</v>
      </c>
      <c r="F44" s="229" t="s">
        <v>376</v>
      </c>
      <c r="G44" s="41" t="s">
        <v>72</v>
      </c>
      <c r="H44" s="242">
        <f>'прил9 (ведом 22)'!M414</f>
        <v>6589.1</v>
      </c>
    </row>
    <row r="45" spans="1:8" ht="42.75" customHeight="1" x14ac:dyDescent="0.35">
      <c r="A45" s="403"/>
      <c r="B45" s="414" t="s">
        <v>202</v>
      </c>
      <c r="C45" s="227" t="s">
        <v>34</v>
      </c>
      <c r="D45" s="228" t="s">
        <v>40</v>
      </c>
      <c r="E45" s="228" t="s">
        <v>34</v>
      </c>
      <c r="F45" s="229" t="s">
        <v>261</v>
      </c>
      <c r="G45" s="41"/>
      <c r="H45" s="242">
        <f>SUM(H46:H47)</f>
        <v>28981.7</v>
      </c>
    </row>
    <row r="46" spans="1:8" ht="36" x14ac:dyDescent="0.35">
      <c r="A46" s="403"/>
      <c r="B46" s="240" t="s">
        <v>50</v>
      </c>
      <c r="C46" s="227" t="s">
        <v>34</v>
      </c>
      <c r="D46" s="228" t="s">
        <v>40</v>
      </c>
      <c r="E46" s="228" t="s">
        <v>34</v>
      </c>
      <c r="F46" s="229" t="s">
        <v>261</v>
      </c>
      <c r="G46" s="41" t="s">
        <v>51</v>
      </c>
      <c r="H46" s="242">
        <f>'прил9 (ведом 22)'!M416</f>
        <v>4061.3</v>
      </c>
    </row>
    <row r="47" spans="1:8" ht="42" customHeight="1" x14ac:dyDescent="0.35">
      <c r="A47" s="403"/>
      <c r="B47" s="414" t="s">
        <v>71</v>
      </c>
      <c r="C47" s="227" t="s">
        <v>34</v>
      </c>
      <c r="D47" s="228" t="s">
        <v>40</v>
      </c>
      <c r="E47" s="228" t="s">
        <v>34</v>
      </c>
      <c r="F47" s="229" t="s">
        <v>261</v>
      </c>
      <c r="G47" s="41" t="s">
        <v>72</v>
      </c>
      <c r="H47" s="242">
        <f>'прил9 (ведом 22)'!M417</f>
        <v>24920.400000000001</v>
      </c>
    </row>
    <row r="48" spans="1:8" ht="36" x14ac:dyDescent="0.35">
      <c r="A48" s="403"/>
      <c r="B48" s="414" t="s">
        <v>203</v>
      </c>
      <c r="C48" s="227" t="s">
        <v>34</v>
      </c>
      <c r="D48" s="228" t="s">
        <v>40</v>
      </c>
      <c r="E48" s="228" t="s">
        <v>34</v>
      </c>
      <c r="F48" s="229" t="s">
        <v>262</v>
      </c>
      <c r="G48" s="41"/>
      <c r="H48" s="242">
        <f>SUM(H49:H51)</f>
        <v>20574.599999999999</v>
      </c>
    </row>
    <row r="49" spans="1:8" ht="36" x14ac:dyDescent="0.35">
      <c r="A49" s="403"/>
      <c r="B49" s="240" t="s">
        <v>50</v>
      </c>
      <c r="C49" s="227" t="s">
        <v>34</v>
      </c>
      <c r="D49" s="228" t="s">
        <v>40</v>
      </c>
      <c r="E49" s="228" t="s">
        <v>34</v>
      </c>
      <c r="F49" s="229" t="s">
        <v>262</v>
      </c>
      <c r="G49" s="41" t="s">
        <v>51</v>
      </c>
      <c r="H49" s="242">
        <f>'прил9 (ведом 22)'!M419</f>
        <v>343.5</v>
      </c>
    </row>
    <row r="50" spans="1:8" ht="36" x14ac:dyDescent="0.35">
      <c r="A50" s="403"/>
      <c r="B50" s="419" t="s">
        <v>198</v>
      </c>
      <c r="C50" s="227" t="s">
        <v>34</v>
      </c>
      <c r="D50" s="228" t="s">
        <v>40</v>
      </c>
      <c r="E50" s="228" t="s">
        <v>34</v>
      </c>
      <c r="F50" s="229" t="s">
        <v>262</v>
      </c>
      <c r="G50" s="41" t="s">
        <v>199</v>
      </c>
      <c r="H50" s="242">
        <f>'прил9 (ведом 22)'!M420+'прил9 (ведом 22)'!M338</f>
        <v>5797.9</v>
      </c>
    </row>
    <row r="51" spans="1:8" ht="38.4" customHeight="1" x14ac:dyDescent="0.35">
      <c r="A51" s="403"/>
      <c r="B51" s="414" t="s">
        <v>71</v>
      </c>
      <c r="C51" s="227" t="s">
        <v>34</v>
      </c>
      <c r="D51" s="228" t="s">
        <v>40</v>
      </c>
      <c r="E51" s="228" t="s">
        <v>34</v>
      </c>
      <c r="F51" s="229" t="s">
        <v>262</v>
      </c>
      <c r="G51" s="41" t="s">
        <v>72</v>
      </c>
      <c r="H51" s="242">
        <f>'прил9 (ведом 22)'!M421</f>
        <v>14433.2</v>
      </c>
    </row>
    <row r="52" spans="1:8" ht="58.8" customHeight="1" x14ac:dyDescent="0.35">
      <c r="A52" s="403"/>
      <c r="B52" s="240" t="s">
        <v>508</v>
      </c>
      <c r="C52" s="227" t="s">
        <v>34</v>
      </c>
      <c r="D52" s="228" t="s">
        <v>40</v>
      </c>
      <c r="E52" s="228" t="s">
        <v>34</v>
      </c>
      <c r="F52" s="229" t="s">
        <v>509</v>
      </c>
      <c r="G52" s="41"/>
      <c r="H52" s="230">
        <f>H53</f>
        <v>30</v>
      </c>
    </row>
    <row r="53" spans="1:8" ht="38.4" customHeight="1" x14ac:dyDescent="0.35">
      <c r="A53" s="403"/>
      <c r="B53" s="240" t="s">
        <v>71</v>
      </c>
      <c r="C53" s="227" t="s">
        <v>34</v>
      </c>
      <c r="D53" s="228" t="s">
        <v>40</v>
      </c>
      <c r="E53" s="228" t="s">
        <v>34</v>
      </c>
      <c r="F53" s="229" t="s">
        <v>509</v>
      </c>
      <c r="G53" s="41" t="s">
        <v>72</v>
      </c>
      <c r="H53" s="230">
        <f>'прил9 (ведом 22)'!M423</f>
        <v>30</v>
      </c>
    </row>
    <row r="54" spans="1:8" ht="144" x14ac:dyDescent="0.35">
      <c r="A54" s="403"/>
      <c r="B54" s="240" t="s">
        <v>511</v>
      </c>
      <c r="C54" s="227" t="s">
        <v>34</v>
      </c>
      <c r="D54" s="228" t="s">
        <v>40</v>
      </c>
      <c r="E54" s="228" t="s">
        <v>34</v>
      </c>
      <c r="F54" s="229" t="s">
        <v>510</v>
      </c>
      <c r="G54" s="41"/>
      <c r="H54" s="242">
        <f>H55+H56</f>
        <v>33409.299999999996</v>
      </c>
    </row>
    <row r="55" spans="1:8" ht="71.400000000000006" customHeight="1" x14ac:dyDescent="0.35">
      <c r="A55" s="403"/>
      <c r="B55" s="240" t="s">
        <v>44</v>
      </c>
      <c r="C55" s="227" t="s">
        <v>34</v>
      </c>
      <c r="D55" s="228" t="s">
        <v>40</v>
      </c>
      <c r="E55" s="228" t="s">
        <v>34</v>
      </c>
      <c r="F55" s="229" t="s">
        <v>510</v>
      </c>
      <c r="G55" s="41" t="s">
        <v>45</v>
      </c>
      <c r="H55" s="242">
        <f>'прил9 (ведом 22)'!M425</f>
        <v>2734.2</v>
      </c>
    </row>
    <row r="56" spans="1:8" ht="33" customHeight="1" x14ac:dyDescent="0.35">
      <c r="A56" s="403"/>
      <c r="B56" s="240" t="s">
        <v>71</v>
      </c>
      <c r="C56" s="227" t="s">
        <v>34</v>
      </c>
      <c r="D56" s="228" t="s">
        <v>40</v>
      </c>
      <c r="E56" s="228" t="s">
        <v>34</v>
      </c>
      <c r="F56" s="229" t="s">
        <v>510</v>
      </c>
      <c r="G56" s="41" t="s">
        <v>72</v>
      </c>
      <c r="H56" s="242">
        <f>'прил9 (ведом 22)'!M426</f>
        <v>30675.1</v>
      </c>
    </row>
    <row r="57" spans="1:8" ht="162" x14ac:dyDescent="0.35">
      <c r="A57" s="403"/>
      <c r="B57" s="414" t="s">
        <v>256</v>
      </c>
      <c r="C57" s="227" t="s">
        <v>34</v>
      </c>
      <c r="D57" s="228" t="s">
        <v>40</v>
      </c>
      <c r="E57" s="228" t="s">
        <v>34</v>
      </c>
      <c r="F57" s="229" t="s">
        <v>257</v>
      </c>
      <c r="G57" s="41"/>
      <c r="H57" s="242">
        <f>SUM(H58:H60)</f>
        <v>1595.1</v>
      </c>
    </row>
    <row r="58" spans="1:8" ht="90" x14ac:dyDescent="0.35">
      <c r="A58" s="403"/>
      <c r="B58" s="240" t="s">
        <v>44</v>
      </c>
      <c r="C58" s="227" t="s">
        <v>34</v>
      </c>
      <c r="D58" s="228" t="s">
        <v>40</v>
      </c>
      <c r="E58" s="228" t="s">
        <v>34</v>
      </c>
      <c r="F58" s="229" t="s">
        <v>257</v>
      </c>
      <c r="G58" s="41" t="s">
        <v>45</v>
      </c>
      <c r="H58" s="242">
        <f>'прил9 (ведом 22)'!M428</f>
        <v>99.7</v>
      </c>
    </row>
    <row r="59" spans="1:8" ht="18.600000000000001" customHeight="1" x14ac:dyDescent="0.35">
      <c r="A59" s="403"/>
      <c r="B59" s="240" t="s">
        <v>115</v>
      </c>
      <c r="C59" s="227" t="s">
        <v>34</v>
      </c>
      <c r="D59" s="228" t="s">
        <v>40</v>
      </c>
      <c r="E59" s="228" t="s">
        <v>34</v>
      </c>
      <c r="F59" s="229" t="s">
        <v>257</v>
      </c>
      <c r="G59" s="41" t="s">
        <v>116</v>
      </c>
      <c r="H59" s="242">
        <f>'прил9 (ведом 22)'!M429</f>
        <v>6.6</v>
      </c>
    </row>
    <row r="60" spans="1:8" ht="42" customHeight="1" x14ac:dyDescent="0.35">
      <c r="A60" s="403"/>
      <c r="B60" s="414" t="s">
        <v>71</v>
      </c>
      <c r="C60" s="227" t="s">
        <v>34</v>
      </c>
      <c r="D60" s="228" t="s">
        <v>40</v>
      </c>
      <c r="E60" s="228" t="s">
        <v>34</v>
      </c>
      <c r="F60" s="229" t="s">
        <v>257</v>
      </c>
      <c r="G60" s="41" t="s">
        <v>72</v>
      </c>
      <c r="H60" s="242">
        <f>'прил9 (ведом 22)'!M430</f>
        <v>1488.8</v>
      </c>
    </row>
    <row r="61" spans="1:8" ht="99" customHeight="1" x14ac:dyDescent="0.35">
      <c r="A61" s="403"/>
      <c r="B61" s="414" t="s">
        <v>334</v>
      </c>
      <c r="C61" s="227" t="s">
        <v>34</v>
      </c>
      <c r="D61" s="228" t="s">
        <v>40</v>
      </c>
      <c r="E61" s="228" t="s">
        <v>34</v>
      </c>
      <c r="F61" s="229" t="s">
        <v>258</v>
      </c>
      <c r="G61" s="41"/>
      <c r="H61" s="242">
        <f>SUM(H62:H64)</f>
        <v>402579.3</v>
      </c>
    </row>
    <row r="62" spans="1:8" ht="90" x14ac:dyDescent="0.35">
      <c r="A62" s="403"/>
      <c r="B62" s="414" t="s">
        <v>44</v>
      </c>
      <c r="C62" s="227" t="s">
        <v>34</v>
      </c>
      <c r="D62" s="228" t="s">
        <v>40</v>
      </c>
      <c r="E62" s="228" t="s">
        <v>34</v>
      </c>
      <c r="F62" s="229" t="s">
        <v>258</v>
      </c>
      <c r="G62" s="41" t="s">
        <v>45</v>
      </c>
      <c r="H62" s="242">
        <f>'прил9 (ведом 22)'!M432</f>
        <v>26623.599999999999</v>
      </c>
    </row>
    <row r="63" spans="1:8" ht="36" x14ac:dyDescent="0.35">
      <c r="A63" s="403"/>
      <c r="B63" s="414" t="s">
        <v>50</v>
      </c>
      <c r="C63" s="227" t="s">
        <v>34</v>
      </c>
      <c r="D63" s="228" t="s">
        <v>40</v>
      </c>
      <c r="E63" s="228" t="s">
        <v>34</v>
      </c>
      <c r="F63" s="229" t="s">
        <v>258</v>
      </c>
      <c r="G63" s="41" t="s">
        <v>51</v>
      </c>
      <c r="H63" s="242">
        <f>'прил9 (ведом 22)'!M433</f>
        <v>3027.7</v>
      </c>
    </row>
    <row r="64" spans="1:8" ht="41.25" customHeight="1" x14ac:dyDescent="0.35">
      <c r="A64" s="403"/>
      <c r="B64" s="414" t="s">
        <v>71</v>
      </c>
      <c r="C64" s="227" t="s">
        <v>34</v>
      </c>
      <c r="D64" s="228" t="s">
        <v>40</v>
      </c>
      <c r="E64" s="228" t="s">
        <v>34</v>
      </c>
      <c r="F64" s="229" t="s">
        <v>258</v>
      </c>
      <c r="G64" s="41" t="s">
        <v>72</v>
      </c>
      <c r="H64" s="242">
        <f>'прил9 (ведом 22)'!M434</f>
        <v>372928</v>
      </c>
    </row>
    <row r="65" spans="1:8" ht="70.2" customHeight="1" x14ac:dyDescent="0.35">
      <c r="A65" s="403"/>
      <c r="B65" s="414" t="s">
        <v>204</v>
      </c>
      <c r="C65" s="577" t="s">
        <v>34</v>
      </c>
      <c r="D65" s="577" t="s">
        <v>40</v>
      </c>
      <c r="E65" s="577" t="s">
        <v>34</v>
      </c>
      <c r="F65" s="578" t="s">
        <v>263</v>
      </c>
      <c r="G65" s="264"/>
      <c r="H65" s="242">
        <f>SUM(H66:H67)</f>
        <v>2260.9</v>
      </c>
    </row>
    <row r="66" spans="1:8" ht="36" x14ac:dyDescent="0.35">
      <c r="A66" s="403"/>
      <c r="B66" s="240" t="s">
        <v>50</v>
      </c>
      <c r="C66" s="227" t="s">
        <v>34</v>
      </c>
      <c r="D66" s="228" t="s">
        <v>40</v>
      </c>
      <c r="E66" s="228" t="s">
        <v>34</v>
      </c>
      <c r="F66" s="229" t="s">
        <v>263</v>
      </c>
      <c r="G66" s="41" t="s">
        <v>51</v>
      </c>
      <c r="H66" s="242">
        <f>'прил9 (ведом 22)'!M436</f>
        <v>106.9</v>
      </c>
    </row>
    <row r="67" spans="1:8" ht="41.25" customHeight="1" x14ac:dyDescent="0.35">
      <c r="A67" s="403"/>
      <c r="B67" s="414" t="s">
        <v>71</v>
      </c>
      <c r="C67" s="577" t="s">
        <v>34</v>
      </c>
      <c r="D67" s="577" t="s">
        <v>40</v>
      </c>
      <c r="E67" s="577" t="s">
        <v>34</v>
      </c>
      <c r="F67" s="578" t="s">
        <v>263</v>
      </c>
      <c r="G67" s="264" t="s">
        <v>72</v>
      </c>
      <c r="H67" s="242">
        <f>'прил9 (ведом 22)'!M437</f>
        <v>2154</v>
      </c>
    </row>
    <row r="68" spans="1:8" ht="142.94999999999999" customHeight="1" x14ac:dyDescent="0.35">
      <c r="A68" s="403"/>
      <c r="B68" s="30" t="s">
        <v>541</v>
      </c>
      <c r="C68" s="583" t="s">
        <v>34</v>
      </c>
      <c r="D68" s="584" t="s">
        <v>40</v>
      </c>
      <c r="E68" s="584" t="s">
        <v>34</v>
      </c>
      <c r="F68" s="585" t="s">
        <v>540</v>
      </c>
      <c r="G68" s="264"/>
      <c r="H68" s="242">
        <f>H69+H70</f>
        <v>1196.0999999999999</v>
      </c>
    </row>
    <row r="69" spans="1:8" ht="41.25" customHeight="1" x14ac:dyDescent="0.35">
      <c r="A69" s="403"/>
      <c r="B69" s="30" t="s">
        <v>50</v>
      </c>
      <c r="C69" s="583" t="s">
        <v>34</v>
      </c>
      <c r="D69" s="584" t="s">
        <v>40</v>
      </c>
      <c r="E69" s="584" t="s">
        <v>34</v>
      </c>
      <c r="F69" s="585" t="s">
        <v>540</v>
      </c>
      <c r="G69" s="16" t="s">
        <v>51</v>
      </c>
      <c r="H69" s="242">
        <f>'прил9 (ведом 22)'!M439</f>
        <v>15</v>
      </c>
    </row>
    <row r="70" spans="1:8" ht="41.25" customHeight="1" x14ac:dyDescent="0.35">
      <c r="A70" s="403"/>
      <c r="B70" s="30" t="s">
        <v>71</v>
      </c>
      <c r="C70" s="583" t="s">
        <v>34</v>
      </c>
      <c r="D70" s="584" t="s">
        <v>40</v>
      </c>
      <c r="E70" s="584" t="s">
        <v>34</v>
      </c>
      <c r="F70" s="585" t="s">
        <v>540</v>
      </c>
      <c r="G70" s="16" t="s">
        <v>72</v>
      </c>
      <c r="H70" s="242">
        <f>'прил9 (ведом 22)'!M440</f>
        <v>1181.0999999999999</v>
      </c>
    </row>
    <row r="71" spans="1:8" ht="75" customHeight="1" x14ac:dyDescent="0.35">
      <c r="A71" s="403"/>
      <c r="B71" s="240" t="s">
        <v>431</v>
      </c>
      <c r="C71" s="227" t="s">
        <v>34</v>
      </c>
      <c r="D71" s="228" t="s">
        <v>40</v>
      </c>
      <c r="E71" s="228" t="s">
        <v>34</v>
      </c>
      <c r="F71" s="229" t="s">
        <v>430</v>
      </c>
      <c r="G71" s="41"/>
      <c r="H71" s="242">
        <f>H72+H73</f>
        <v>59054.899999999994</v>
      </c>
    </row>
    <row r="72" spans="1:8" ht="38.25" customHeight="1" x14ac:dyDescent="0.35">
      <c r="A72" s="403"/>
      <c r="B72" s="240" t="s">
        <v>50</v>
      </c>
      <c r="C72" s="227" t="s">
        <v>34</v>
      </c>
      <c r="D72" s="228" t="s">
        <v>40</v>
      </c>
      <c r="E72" s="228" t="s">
        <v>34</v>
      </c>
      <c r="F72" s="229" t="s">
        <v>430</v>
      </c>
      <c r="G72" s="41" t="s">
        <v>51</v>
      </c>
      <c r="H72" s="242">
        <f>'прил9 (ведом 22)'!M442</f>
        <v>1844</v>
      </c>
    </row>
    <row r="73" spans="1:8" ht="39" customHeight="1" x14ac:dyDescent="0.35">
      <c r="A73" s="403"/>
      <c r="B73" s="240" t="s">
        <v>71</v>
      </c>
      <c r="C73" s="227" t="s">
        <v>34</v>
      </c>
      <c r="D73" s="228" t="s">
        <v>40</v>
      </c>
      <c r="E73" s="228" t="s">
        <v>34</v>
      </c>
      <c r="F73" s="229" t="s">
        <v>430</v>
      </c>
      <c r="G73" s="41" t="s">
        <v>72</v>
      </c>
      <c r="H73" s="242">
        <f>'прил9 (ведом 22)'!M443</f>
        <v>57210.899999999994</v>
      </c>
    </row>
    <row r="74" spans="1:8" ht="72" x14ac:dyDescent="0.35">
      <c r="A74" s="403"/>
      <c r="B74" s="30" t="s">
        <v>539</v>
      </c>
      <c r="C74" s="583" t="s">
        <v>34</v>
      </c>
      <c r="D74" s="584" t="s">
        <v>40</v>
      </c>
      <c r="E74" s="584" t="s">
        <v>34</v>
      </c>
      <c r="F74" s="585" t="s">
        <v>538</v>
      </c>
      <c r="G74" s="41"/>
      <c r="H74" s="242">
        <f>H75+H76+H77</f>
        <v>12776.5</v>
      </c>
    </row>
    <row r="75" spans="1:8" ht="39" customHeight="1" x14ac:dyDescent="0.35">
      <c r="A75" s="403"/>
      <c r="B75" s="30" t="s">
        <v>50</v>
      </c>
      <c r="C75" s="583" t="s">
        <v>34</v>
      </c>
      <c r="D75" s="584" t="s">
        <v>40</v>
      </c>
      <c r="E75" s="584" t="s">
        <v>34</v>
      </c>
      <c r="F75" s="585" t="s">
        <v>538</v>
      </c>
      <c r="G75" s="16" t="s">
        <v>51</v>
      </c>
      <c r="H75" s="242">
        <f>'прил9 (ведом 22)'!M445</f>
        <v>81.7</v>
      </c>
    </row>
    <row r="76" spans="1:8" ht="18" x14ac:dyDescent="0.35">
      <c r="A76" s="403"/>
      <c r="B76" s="30" t="s">
        <v>115</v>
      </c>
      <c r="C76" s="583" t="s">
        <v>34</v>
      </c>
      <c r="D76" s="584" t="s">
        <v>40</v>
      </c>
      <c r="E76" s="584" t="s">
        <v>34</v>
      </c>
      <c r="F76" s="585" t="s">
        <v>538</v>
      </c>
      <c r="G76" s="16" t="s">
        <v>116</v>
      </c>
      <c r="H76" s="242">
        <f>'прил9 (ведом 22)'!M446</f>
        <v>65.2</v>
      </c>
    </row>
    <row r="77" spans="1:8" ht="36" x14ac:dyDescent="0.35">
      <c r="A77" s="403"/>
      <c r="B77" s="30" t="s">
        <v>71</v>
      </c>
      <c r="C77" s="583" t="s">
        <v>34</v>
      </c>
      <c r="D77" s="584" t="s">
        <v>40</v>
      </c>
      <c r="E77" s="584" t="s">
        <v>34</v>
      </c>
      <c r="F77" s="585" t="s">
        <v>538</v>
      </c>
      <c r="G77" s="16" t="s">
        <v>72</v>
      </c>
      <c r="H77" s="242">
        <f>'прил9 (ведом 22)'!M447</f>
        <v>12629.6</v>
      </c>
    </row>
    <row r="78" spans="1:8" ht="18" x14ac:dyDescent="0.35">
      <c r="A78" s="403"/>
      <c r="B78" s="414" t="s">
        <v>205</v>
      </c>
      <c r="C78" s="227" t="s">
        <v>34</v>
      </c>
      <c r="D78" s="228" t="s">
        <v>84</v>
      </c>
      <c r="E78" s="228" t="s">
        <v>38</v>
      </c>
      <c r="F78" s="229" t="s">
        <v>39</v>
      </c>
      <c r="G78" s="264"/>
      <c r="H78" s="242">
        <f>H79+H97</f>
        <v>64064.784999999996</v>
      </c>
    </row>
    <row r="79" spans="1:8" ht="36" x14ac:dyDescent="0.35">
      <c r="A79" s="403"/>
      <c r="B79" s="414" t="s">
        <v>264</v>
      </c>
      <c r="C79" s="227" t="s">
        <v>34</v>
      </c>
      <c r="D79" s="228" t="s">
        <v>84</v>
      </c>
      <c r="E79" s="228" t="s">
        <v>32</v>
      </c>
      <c r="F79" s="229" t="s">
        <v>39</v>
      </c>
      <c r="G79" s="264"/>
      <c r="H79" s="242">
        <f>H80+H93+H85+H95+H88+H90</f>
        <v>64010.784999999996</v>
      </c>
    </row>
    <row r="80" spans="1:8" ht="36" x14ac:dyDescent="0.35">
      <c r="A80" s="403"/>
      <c r="B80" s="414" t="s">
        <v>437</v>
      </c>
      <c r="C80" s="227" t="s">
        <v>34</v>
      </c>
      <c r="D80" s="228" t="s">
        <v>84</v>
      </c>
      <c r="E80" s="228" t="s">
        <v>32</v>
      </c>
      <c r="F80" s="229" t="s">
        <v>86</v>
      </c>
      <c r="G80" s="41"/>
      <c r="H80" s="242">
        <f>SUM(H81:H84)</f>
        <v>47325.485000000001</v>
      </c>
    </row>
    <row r="81" spans="1:8" ht="90" x14ac:dyDescent="0.35">
      <c r="A81" s="403"/>
      <c r="B81" s="240" t="s">
        <v>44</v>
      </c>
      <c r="C81" s="227" t="s">
        <v>34</v>
      </c>
      <c r="D81" s="228" t="s">
        <v>84</v>
      </c>
      <c r="E81" s="228" t="s">
        <v>32</v>
      </c>
      <c r="F81" s="229" t="s">
        <v>86</v>
      </c>
      <c r="G81" s="41" t="s">
        <v>45</v>
      </c>
      <c r="H81" s="242">
        <f>'прил9 (ведом 22)'!M463</f>
        <v>20871.500000000004</v>
      </c>
    </row>
    <row r="82" spans="1:8" ht="36" x14ac:dyDescent="0.35">
      <c r="A82" s="403"/>
      <c r="B82" s="240" t="s">
        <v>50</v>
      </c>
      <c r="C82" s="227" t="s">
        <v>34</v>
      </c>
      <c r="D82" s="228" t="s">
        <v>84</v>
      </c>
      <c r="E82" s="228" t="s">
        <v>32</v>
      </c>
      <c r="F82" s="229" t="s">
        <v>86</v>
      </c>
      <c r="G82" s="41" t="s">
        <v>51</v>
      </c>
      <c r="H82" s="242">
        <f>'прил9 (ведом 22)'!M464</f>
        <v>2061.9850000000001</v>
      </c>
    </row>
    <row r="83" spans="1:8" ht="38.25" customHeight="1" x14ac:dyDescent="0.35">
      <c r="A83" s="403"/>
      <c r="B83" s="414" t="s">
        <v>71</v>
      </c>
      <c r="C83" s="227" t="s">
        <v>34</v>
      </c>
      <c r="D83" s="228" t="s">
        <v>84</v>
      </c>
      <c r="E83" s="228" t="s">
        <v>32</v>
      </c>
      <c r="F83" s="229" t="s">
        <v>86</v>
      </c>
      <c r="G83" s="41" t="s">
        <v>72</v>
      </c>
      <c r="H83" s="242">
        <f>'прил9 (ведом 22)'!M465</f>
        <v>24278.799999999999</v>
      </c>
    </row>
    <row r="84" spans="1:8" ht="18" x14ac:dyDescent="0.35">
      <c r="A84" s="403"/>
      <c r="B84" s="240" t="s">
        <v>52</v>
      </c>
      <c r="C84" s="227" t="s">
        <v>34</v>
      </c>
      <c r="D84" s="228" t="s">
        <v>84</v>
      </c>
      <c r="E84" s="228" t="s">
        <v>32</v>
      </c>
      <c r="F84" s="229" t="s">
        <v>86</v>
      </c>
      <c r="G84" s="41" t="s">
        <v>53</v>
      </c>
      <c r="H84" s="242">
        <f>'прил9 (ведом 22)'!M466</f>
        <v>113.2</v>
      </c>
    </row>
    <row r="85" spans="1:8" ht="44.25" customHeight="1" x14ac:dyDescent="0.35">
      <c r="A85" s="403"/>
      <c r="B85" s="240" t="s">
        <v>202</v>
      </c>
      <c r="C85" s="227" t="s">
        <v>34</v>
      </c>
      <c r="D85" s="228" t="s">
        <v>84</v>
      </c>
      <c r="E85" s="228" t="s">
        <v>32</v>
      </c>
      <c r="F85" s="229" t="s">
        <v>261</v>
      </c>
      <c r="G85" s="41"/>
      <c r="H85" s="242">
        <f>SUM(H86:H87)</f>
        <v>1535</v>
      </c>
    </row>
    <row r="86" spans="1:8" ht="36" x14ac:dyDescent="0.35">
      <c r="A86" s="403"/>
      <c r="B86" s="240" t="s">
        <v>50</v>
      </c>
      <c r="C86" s="227" t="s">
        <v>34</v>
      </c>
      <c r="D86" s="228" t="s">
        <v>84</v>
      </c>
      <c r="E86" s="228" t="s">
        <v>32</v>
      </c>
      <c r="F86" s="229" t="s">
        <v>261</v>
      </c>
      <c r="G86" s="41" t="s">
        <v>51</v>
      </c>
      <c r="H86" s="242">
        <f>'прил9 (ведом 22)'!M468</f>
        <v>676.5</v>
      </c>
    </row>
    <row r="87" spans="1:8" ht="42" customHeight="1" x14ac:dyDescent="0.35">
      <c r="A87" s="403"/>
      <c r="B87" s="421" t="s">
        <v>71</v>
      </c>
      <c r="C87" s="227" t="s">
        <v>34</v>
      </c>
      <c r="D87" s="228" t="s">
        <v>84</v>
      </c>
      <c r="E87" s="228" t="s">
        <v>32</v>
      </c>
      <c r="F87" s="229" t="s">
        <v>261</v>
      </c>
      <c r="G87" s="41" t="s">
        <v>72</v>
      </c>
      <c r="H87" s="242">
        <f>'прил9 (ведом 22)'!M469</f>
        <v>858.5</v>
      </c>
    </row>
    <row r="88" spans="1:8" ht="42" customHeight="1" x14ac:dyDescent="0.35">
      <c r="A88" s="403"/>
      <c r="B88" s="240" t="s">
        <v>203</v>
      </c>
      <c r="C88" s="227" t="s">
        <v>34</v>
      </c>
      <c r="D88" s="228" t="s">
        <v>84</v>
      </c>
      <c r="E88" s="228" t="s">
        <v>32</v>
      </c>
      <c r="F88" s="229" t="s">
        <v>262</v>
      </c>
      <c r="G88" s="41"/>
      <c r="H88" s="242">
        <f>H89</f>
        <v>17</v>
      </c>
    </row>
    <row r="89" spans="1:8" ht="42" customHeight="1" x14ac:dyDescent="0.35">
      <c r="A89" s="403"/>
      <c r="B89" s="421" t="s">
        <v>71</v>
      </c>
      <c r="C89" s="227" t="s">
        <v>34</v>
      </c>
      <c r="D89" s="228" t="s">
        <v>84</v>
      </c>
      <c r="E89" s="228" t="s">
        <v>32</v>
      </c>
      <c r="F89" s="229" t="s">
        <v>262</v>
      </c>
      <c r="G89" s="41" t="s">
        <v>72</v>
      </c>
      <c r="H89" s="242">
        <f>'прил9 (ведом 22)'!M471</f>
        <v>17</v>
      </c>
    </row>
    <row r="90" spans="1:8" ht="56.4" customHeight="1" x14ac:dyDescent="0.35">
      <c r="A90" s="403"/>
      <c r="B90" s="421" t="s">
        <v>521</v>
      </c>
      <c r="C90" s="227" t="s">
        <v>34</v>
      </c>
      <c r="D90" s="228" t="s">
        <v>84</v>
      </c>
      <c r="E90" s="228" t="s">
        <v>32</v>
      </c>
      <c r="F90" s="229" t="s">
        <v>520</v>
      </c>
      <c r="G90" s="41"/>
      <c r="H90" s="242">
        <f>H91+H92</f>
        <v>4940.4000000000005</v>
      </c>
    </row>
    <row r="91" spans="1:8" ht="42" customHeight="1" x14ac:dyDescent="0.35">
      <c r="A91" s="403"/>
      <c r="B91" s="421" t="s">
        <v>71</v>
      </c>
      <c r="C91" s="227" t="s">
        <v>34</v>
      </c>
      <c r="D91" s="228" t="s">
        <v>84</v>
      </c>
      <c r="E91" s="228" t="s">
        <v>32</v>
      </c>
      <c r="F91" s="229" t="s">
        <v>520</v>
      </c>
      <c r="G91" s="41" t="s">
        <v>72</v>
      </c>
      <c r="H91" s="242">
        <f>'прил9 (ведом 22)'!M473</f>
        <v>4829.1000000000004</v>
      </c>
    </row>
    <row r="92" spans="1:8" ht="18" x14ac:dyDescent="0.35">
      <c r="A92" s="403"/>
      <c r="B92" s="240" t="s">
        <v>52</v>
      </c>
      <c r="C92" s="227" t="s">
        <v>34</v>
      </c>
      <c r="D92" s="228" t="s">
        <v>84</v>
      </c>
      <c r="E92" s="228" t="s">
        <v>32</v>
      </c>
      <c r="F92" s="229" t="s">
        <v>520</v>
      </c>
      <c r="G92" s="41" t="s">
        <v>53</v>
      </c>
      <c r="H92" s="242">
        <f>'прил9 (ведом 22)'!M474</f>
        <v>111.3</v>
      </c>
    </row>
    <row r="93" spans="1:8" ht="162" x14ac:dyDescent="0.35">
      <c r="A93" s="403"/>
      <c r="B93" s="414" t="s">
        <v>256</v>
      </c>
      <c r="C93" s="227" t="s">
        <v>34</v>
      </c>
      <c r="D93" s="228" t="s">
        <v>84</v>
      </c>
      <c r="E93" s="228" t="s">
        <v>32</v>
      </c>
      <c r="F93" s="229" t="s">
        <v>257</v>
      </c>
      <c r="G93" s="41"/>
      <c r="H93" s="242">
        <f>H94</f>
        <v>106.1</v>
      </c>
    </row>
    <row r="94" spans="1:8" ht="36" x14ac:dyDescent="0.35">
      <c r="A94" s="403"/>
      <c r="B94" s="240" t="s">
        <v>71</v>
      </c>
      <c r="C94" s="227" t="s">
        <v>34</v>
      </c>
      <c r="D94" s="228" t="s">
        <v>84</v>
      </c>
      <c r="E94" s="228" t="s">
        <v>32</v>
      </c>
      <c r="F94" s="229" t="s">
        <v>257</v>
      </c>
      <c r="G94" s="41" t="s">
        <v>72</v>
      </c>
      <c r="H94" s="242">
        <f>'прил9 (ведом 22)'!M476</f>
        <v>106.1</v>
      </c>
    </row>
    <row r="95" spans="1:8" ht="88.2" customHeight="1" x14ac:dyDescent="0.35">
      <c r="A95" s="403"/>
      <c r="B95" s="240" t="s">
        <v>334</v>
      </c>
      <c r="C95" s="227" t="s">
        <v>34</v>
      </c>
      <c r="D95" s="228" t="s">
        <v>84</v>
      </c>
      <c r="E95" s="228" t="s">
        <v>32</v>
      </c>
      <c r="F95" s="229" t="s">
        <v>258</v>
      </c>
      <c r="G95" s="41"/>
      <c r="H95" s="242">
        <f>H96</f>
        <v>10086.799999999999</v>
      </c>
    </row>
    <row r="96" spans="1:8" ht="34.950000000000003" customHeight="1" x14ac:dyDescent="0.35">
      <c r="A96" s="403"/>
      <c r="B96" s="240" t="s">
        <v>71</v>
      </c>
      <c r="C96" s="227" t="s">
        <v>34</v>
      </c>
      <c r="D96" s="228" t="s">
        <v>84</v>
      </c>
      <c r="E96" s="228" t="s">
        <v>32</v>
      </c>
      <c r="F96" s="229" t="s">
        <v>258</v>
      </c>
      <c r="G96" s="41" t="s">
        <v>72</v>
      </c>
      <c r="H96" s="242">
        <f>'прил9 (ведом 22)'!M478</f>
        <v>10086.799999999999</v>
      </c>
    </row>
    <row r="97" spans="1:8" ht="18" x14ac:dyDescent="0.35">
      <c r="A97" s="403"/>
      <c r="B97" s="240" t="s">
        <v>265</v>
      </c>
      <c r="C97" s="227" t="s">
        <v>34</v>
      </c>
      <c r="D97" s="228" t="s">
        <v>84</v>
      </c>
      <c r="E97" s="228" t="s">
        <v>34</v>
      </c>
      <c r="F97" s="229" t="s">
        <v>39</v>
      </c>
      <c r="G97" s="41"/>
      <c r="H97" s="242">
        <f>H98</f>
        <v>54</v>
      </c>
    </row>
    <row r="98" spans="1:8" ht="36" x14ac:dyDescent="0.35">
      <c r="A98" s="403"/>
      <c r="B98" s="240" t="s">
        <v>266</v>
      </c>
      <c r="C98" s="227" t="s">
        <v>34</v>
      </c>
      <c r="D98" s="228" t="s">
        <v>84</v>
      </c>
      <c r="E98" s="228" t="s">
        <v>34</v>
      </c>
      <c r="F98" s="229" t="s">
        <v>267</v>
      </c>
      <c r="G98" s="41"/>
      <c r="H98" s="242">
        <f>H99</f>
        <v>54</v>
      </c>
    </row>
    <row r="99" spans="1:8" ht="20.25" customHeight="1" x14ac:dyDescent="0.35">
      <c r="A99" s="403"/>
      <c r="B99" s="240" t="s">
        <v>115</v>
      </c>
      <c r="C99" s="227" t="s">
        <v>34</v>
      </c>
      <c r="D99" s="228" t="s">
        <v>84</v>
      </c>
      <c r="E99" s="228" t="s">
        <v>34</v>
      </c>
      <c r="F99" s="229" t="s">
        <v>267</v>
      </c>
      <c r="G99" s="41" t="s">
        <v>116</v>
      </c>
      <c r="H99" s="242">
        <f>'прил9 (ведом 22)'!M492</f>
        <v>54</v>
      </c>
    </row>
    <row r="100" spans="1:8" ht="43.5" customHeight="1" x14ac:dyDescent="0.35">
      <c r="A100" s="403"/>
      <c r="B100" s="414" t="s">
        <v>207</v>
      </c>
      <c r="C100" s="227" t="s">
        <v>34</v>
      </c>
      <c r="D100" s="228" t="s">
        <v>25</v>
      </c>
      <c r="E100" s="228" t="s">
        <v>38</v>
      </c>
      <c r="F100" s="229" t="s">
        <v>39</v>
      </c>
      <c r="G100" s="264"/>
      <c r="H100" s="242">
        <f>H101+H119+H124+H127+H130</f>
        <v>81044.467000000004</v>
      </c>
    </row>
    <row r="101" spans="1:8" ht="36" x14ac:dyDescent="0.35">
      <c r="A101" s="403"/>
      <c r="B101" s="414" t="s">
        <v>270</v>
      </c>
      <c r="C101" s="227" t="s">
        <v>34</v>
      </c>
      <c r="D101" s="228" t="s">
        <v>25</v>
      </c>
      <c r="E101" s="228" t="s">
        <v>32</v>
      </c>
      <c r="F101" s="229" t="s">
        <v>39</v>
      </c>
      <c r="G101" s="264"/>
      <c r="H101" s="242">
        <f>H102+H111+H106+H117+H115+H113</f>
        <v>75344.667000000001</v>
      </c>
    </row>
    <row r="102" spans="1:8" ht="36" x14ac:dyDescent="0.35">
      <c r="A102" s="403"/>
      <c r="B102" s="414" t="s">
        <v>42</v>
      </c>
      <c r="C102" s="227" t="s">
        <v>34</v>
      </c>
      <c r="D102" s="228" t="s">
        <v>25</v>
      </c>
      <c r="E102" s="228" t="s">
        <v>32</v>
      </c>
      <c r="F102" s="229" t="s">
        <v>43</v>
      </c>
      <c r="G102" s="41"/>
      <c r="H102" s="242">
        <f>SUM(H103:H105)</f>
        <v>11700.627999999999</v>
      </c>
    </row>
    <row r="103" spans="1:8" ht="90" x14ac:dyDescent="0.35">
      <c r="A103" s="403"/>
      <c r="B103" s="414" t="s">
        <v>44</v>
      </c>
      <c r="C103" s="227" t="s">
        <v>34</v>
      </c>
      <c r="D103" s="228" t="s">
        <v>25</v>
      </c>
      <c r="E103" s="228" t="s">
        <v>32</v>
      </c>
      <c r="F103" s="229" t="s">
        <v>43</v>
      </c>
      <c r="G103" s="41" t="s">
        <v>45</v>
      </c>
      <c r="H103" s="242">
        <f>'прил9 (ведом 22)'!M496</f>
        <v>10911.199999999999</v>
      </c>
    </row>
    <row r="104" spans="1:8" ht="36" x14ac:dyDescent="0.35">
      <c r="A104" s="403"/>
      <c r="B104" s="414" t="s">
        <v>50</v>
      </c>
      <c r="C104" s="227" t="s">
        <v>34</v>
      </c>
      <c r="D104" s="228" t="s">
        <v>25</v>
      </c>
      <c r="E104" s="228" t="s">
        <v>32</v>
      </c>
      <c r="F104" s="229" t="s">
        <v>43</v>
      </c>
      <c r="G104" s="41" t="s">
        <v>51</v>
      </c>
      <c r="H104" s="242">
        <f>'прил9 (ведом 22)'!M497</f>
        <v>772.428</v>
      </c>
    </row>
    <row r="105" spans="1:8" ht="18" x14ac:dyDescent="0.35">
      <c r="A105" s="403"/>
      <c r="B105" s="414" t="s">
        <v>52</v>
      </c>
      <c r="C105" s="227" t="s">
        <v>34</v>
      </c>
      <c r="D105" s="228" t="s">
        <v>25</v>
      </c>
      <c r="E105" s="228" t="s">
        <v>32</v>
      </c>
      <c r="F105" s="229" t="s">
        <v>43</v>
      </c>
      <c r="G105" s="41" t="s">
        <v>53</v>
      </c>
      <c r="H105" s="242">
        <f>'прил9 (ведом 22)'!M498</f>
        <v>17</v>
      </c>
    </row>
    <row r="106" spans="1:8" ht="36" x14ac:dyDescent="0.35">
      <c r="A106" s="403"/>
      <c r="B106" s="414" t="s">
        <v>437</v>
      </c>
      <c r="C106" s="227" t="s">
        <v>34</v>
      </c>
      <c r="D106" s="228" t="s">
        <v>25</v>
      </c>
      <c r="E106" s="228" t="s">
        <v>32</v>
      </c>
      <c r="F106" s="229" t="s">
        <v>86</v>
      </c>
      <c r="G106" s="41"/>
      <c r="H106" s="242">
        <f>SUM(H107:H110)</f>
        <v>53818.438999999998</v>
      </c>
    </row>
    <row r="107" spans="1:8" ht="90" x14ac:dyDescent="0.35">
      <c r="A107" s="403"/>
      <c r="B107" s="414" t="s">
        <v>44</v>
      </c>
      <c r="C107" s="227" t="s">
        <v>34</v>
      </c>
      <c r="D107" s="228" t="s">
        <v>25</v>
      </c>
      <c r="E107" s="228" t="s">
        <v>32</v>
      </c>
      <c r="F107" s="229" t="s">
        <v>86</v>
      </c>
      <c r="G107" s="41" t="s">
        <v>45</v>
      </c>
      <c r="H107" s="242">
        <f>'прил9 (ведом 22)'!M500</f>
        <v>31449.800000000003</v>
      </c>
    </row>
    <row r="108" spans="1:8" ht="36" x14ac:dyDescent="0.35">
      <c r="A108" s="403"/>
      <c r="B108" s="414" t="s">
        <v>50</v>
      </c>
      <c r="C108" s="227" t="s">
        <v>34</v>
      </c>
      <c r="D108" s="228" t="s">
        <v>25</v>
      </c>
      <c r="E108" s="228" t="s">
        <v>32</v>
      </c>
      <c r="F108" s="229" t="s">
        <v>86</v>
      </c>
      <c r="G108" s="41" t="s">
        <v>51</v>
      </c>
      <c r="H108" s="242">
        <f>'прил9 (ведом 22)'!M501</f>
        <v>3063.3389999999999</v>
      </c>
    </row>
    <row r="109" spans="1:8" ht="34.200000000000003" customHeight="1" x14ac:dyDescent="0.35">
      <c r="A109" s="403"/>
      <c r="B109" s="240" t="s">
        <v>71</v>
      </c>
      <c r="C109" s="227" t="s">
        <v>34</v>
      </c>
      <c r="D109" s="228" t="s">
        <v>25</v>
      </c>
      <c r="E109" s="228" t="s">
        <v>32</v>
      </c>
      <c r="F109" s="229" t="s">
        <v>86</v>
      </c>
      <c r="G109" s="41" t="s">
        <v>72</v>
      </c>
      <c r="H109" s="242">
        <f>'прил9 (ведом 22)'!M502</f>
        <v>19299.099999999999</v>
      </c>
    </row>
    <row r="110" spans="1:8" ht="18" x14ac:dyDescent="0.35">
      <c r="A110" s="403"/>
      <c r="B110" s="414" t="s">
        <v>52</v>
      </c>
      <c r="C110" s="227" t="s">
        <v>34</v>
      </c>
      <c r="D110" s="228" t="s">
        <v>25</v>
      </c>
      <c r="E110" s="228" t="s">
        <v>32</v>
      </c>
      <c r="F110" s="229" t="s">
        <v>86</v>
      </c>
      <c r="G110" s="41" t="s">
        <v>53</v>
      </c>
      <c r="H110" s="242">
        <f>'прил9 (ведом 22)'!M503</f>
        <v>6.2</v>
      </c>
    </row>
    <row r="111" spans="1:8" ht="18" x14ac:dyDescent="0.35">
      <c r="A111" s="403"/>
      <c r="B111" s="240" t="s">
        <v>438</v>
      </c>
      <c r="C111" s="227" t="s">
        <v>34</v>
      </c>
      <c r="D111" s="228" t="s">
        <v>25</v>
      </c>
      <c r="E111" s="228" t="s">
        <v>32</v>
      </c>
      <c r="F111" s="229" t="s">
        <v>376</v>
      </c>
      <c r="G111" s="41"/>
      <c r="H111" s="242">
        <f>H112</f>
        <v>550.9</v>
      </c>
    </row>
    <row r="112" spans="1:8" ht="36" x14ac:dyDescent="0.35">
      <c r="A112" s="403"/>
      <c r="B112" s="240" t="s">
        <v>50</v>
      </c>
      <c r="C112" s="227" t="s">
        <v>34</v>
      </c>
      <c r="D112" s="228" t="s">
        <v>25</v>
      </c>
      <c r="E112" s="228" t="s">
        <v>32</v>
      </c>
      <c r="F112" s="229" t="s">
        <v>376</v>
      </c>
      <c r="G112" s="41" t="s">
        <v>51</v>
      </c>
      <c r="H112" s="242">
        <f>'прил9 (ведом 22)'!M505</f>
        <v>550.9</v>
      </c>
    </row>
    <row r="113" spans="1:8" ht="36" x14ac:dyDescent="0.35">
      <c r="A113" s="403"/>
      <c r="B113" s="240" t="s">
        <v>203</v>
      </c>
      <c r="C113" s="227" t="s">
        <v>34</v>
      </c>
      <c r="D113" s="228" t="s">
        <v>25</v>
      </c>
      <c r="E113" s="228" t="s">
        <v>32</v>
      </c>
      <c r="F113" s="229" t="s">
        <v>262</v>
      </c>
      <c r="G113" s="41"/>
      <c r="H113" s="242">
        <f>H114</f>
        <v>10</v>
      </c>
    </row>
    <row r="114" spans="1:8" ht="36" x14ac:dyDescent="0.35">
      <c r="A114" s="403"/>
      <c r="B114" s="240" t="s">
        <v>50</v>
      </c>
      <c r="C114" s="227" t="s">
        <v>34</v>
      </c>
      <c r="D114" s="228" t="s">
        <v>25</v>
      </c>
      <c r="E114" s="228" t="s">
        <v>32</v>
      </c>
      <c r="F114" s="229" t="s">
        <v>262</v>
      </c>
      <c r="G114" s="41" t="s">
        <v>51</v>
      </c>
      <c r="H114" s="242">
        <f>'прил9 (ведом 22)'!M507</f>
        <v>10</v>
      </c>
    </row>
    <row r="115" spans="1:8" ht="87.6" customHeight="1" x14ac:dyDescent="0.35">
      <c r="A115" s="403"/>
      <c r="B115" s="240" t="s">
        <v>334</v>
      </c>
      <c r="C115" s="227" t="s">
        <v>34</v>
      </c>
      <c r="D115" s="228" t="s">
        <v>25</v>
      </c>
      <c r="E115" s="228" t="s">
        <v>32</v>
      </c>
      <c r="F115" s="229" t="s">
        <v>258</v>
      </c>
      <c r="G115" s="41"/>
      <c r="H115" s="242">
        <f>H116</f>
        <v>6189.9</v>
      </c>
    </row>
    <row r="116" spans="1:8" ht="90" x14ac:dyDescent="0.35">
      <c r="A116" s="403"/>
      <c r="B116" s="240" t="s">
        <v>44</v>
      </c>
      <c r="C116" s="227" t="s">
        <v>34</v>
      </c>
      <c r="D116" s="228" t="s">
        <v>25</v>
      </c>
      <c r="E116" s="228" t="s">
        <v>32</v>
      </c>
      <c r="F116" s="229" t="s">
        <v>258</v>
      </c>
      <c r="G116" s="41" t="s">
        <v>45</v>
      </c>
      <c r="H116" s="242">
        <f>'прил9 (ведом 22)'!M509</f>
        <v>6189.9</v>
      </c>
    </row>
    <row r="117" spans="1:8" ht="216" x14ac:dyDescent="0.35">
      <c r="A117" s="403"/>
      <c r="B117" s="240" t="s">
        <v>413</v>
      </c>
      <c r="C117" s="227" t="s">
        <v>34</v>
      </c>
      <c r="D117" s="228" t="s">
        <v>25</v>
      </c>
      <c r="E117" s="228" t="s">
        <v>32</v>
      </c>
      <c r="F117" s="229" t="s">
        <v>335</v>
      </c>
      <c r="G117" s="41"/>
      <c r="H117" s="242">
        <f>SUM(H118:H118)</f>
        <v>3074.8</v>
      </c>
    </row>
    <row r="118" spans="1:8" ht="42.75" customHeight="1" x14ac:dyDescent="0.35">
      <c r="A118" s="403"/>
      <c r="B118" s="414" t="s">
        <v>71</v>
      </c>
      <c r="C118" s="227" t="s">
        <v>34</v>
      </c>
      <c r="D118" s="228" t="s">
        <v>25</v>
      </c>
      <c r="E118" s="228" t="s">
        <v>32</v>
      </c>
      <c r="F118" s="229" t="s">
        <v>335</v>
      </c>
      <c r="G118" s="41" t="s">
        <v>72</v>
      </c>
      <c r="H118" s="242">
        <f>'прил9 (ведом 22)'!M451</f>
        <v>3074.8</v>
      </c>
    </row>
    <row r="119" spans="1:8" ht="42.75" customHeight="1" x14ac:dyDescent="0.35">
      <c r="A119" s="403"/>
      <c r="B119" s="240" t="s">
        <v>269</v>
      </c>
      <c r="C119" s="227" t="s">
        <v>34</v>
      </c>
      <c r="D119" s="228" t="s">
        <v>25</v>
      </c>
      <c r="E119" s="228" t="s">
        <v>34</v>
      </c>
      <c r="F119" s="229" t="s">
        <v>39</v>
      </c>
      <c r="G119" s="41"/>
      <c r="H119" s="242">
        <f>H120+H122</f>
        <v>5396.0999999999995</v>
      </c>
    </row>
    <row r="120" spans="1:8" ht="42.75" customHeight="1" x14ac:dyDescent="0.35">
      <c r="A120" s="403"/>
      <c r="B120" s="240" t="s">
        <v>444</v>
      </c>
      <c r="C120" s="227" t="s">
        <v>34</v>
      </c>
      <c r="D120" s="228" t="s">
        <v>25</v>
      </c>
      <c r="E120" s="228" t="s">
        <v>34</v>
      </c>
      <c r="F120" s="229" t="s">
        <v>443</v>
      </c>
      <c r="G120" s="41"/>
      <c r="H120" s="242">
        <f>H121</f>
        <v>1258.8</v>
      </c>
    </row>
    <row r="121" spans="1:8" ht="39.6" customHeight="1" x14ac:dyDescent="0.35">
      <c r="A121" s="403"/>
      <c r="B121" s="240" t="s">
        <v>71</v>
      </c>
      <c r="C121" s="227" t="s">
        <v>34</v>
      </c>
      <c r="D121" s="228" t="s">
        <v>25</v>
      </c>
      <c r="E121" s="228" t="s">
        <v>34</v>
      </c>
      <c r="F121" s="229" t="s">
        <v>443</v>
      </c>
      <c r="G121" s="41" t="s">
        <v>72</v>
      </c>
      <c r="H121" s="242">
        <f>'прил9 (ведом 22)'!M484</f>
        <v>1258.8</v>
      </c>
    </row>
    <row r="122" spans="1:8" ht="113.25" customHeight="1" x14ac:dyDescent="0.35">
      <c r="A122" s="403"/>
      <c r="B122" s="240" t="s">
        <v>418</v>
      </c>
      <c r="C122" s="227" t="s">
        <v>34</v>
      </c>
      <c r="D122" s="228" t="s">
        <v>25</v>
      </c>
      <c r="E122" s="228" t="s">
        <v>34</v>
      </c>
      <c r="F122" s="229" t="s">
        <v>417</v>
      </c>
      <c r="G122" s="41"/>
      <c r="H122" s="242">
        <f>H123</f>
        <v>4137.2999999999993</v>
      </c>
    </row>
    <row r="123" spans="1:8" ht="34.5" customHeight="1" x14ac:dyDescent="0.35">
      <c r="A123" s="403"/>
      <c r="B123" s="240" t="s">
        <v>71</v>
      </c>
      <c r="C123" s="227" t="s">
        <v>34</v>
      </c>
      <c r="D123" s="228" t="s">
        <v>25</v>
      </c>
      <c r="E123" s="228" t="s">
        <v>34</v>
      </c>
      <c r="F123" s="229" t="s">
        <v>417</v>
      </c>
      <c r="G123" s="41" t="s">
        <v>72</v>
      </c>
      <c r="H123" s="242">
        <f>'прил9 (ведом 22)'!M486</f>
        <v>4137.2999999999993</v>
      </c>
    </row>
    <row r="124" spans="1:8" ht="39" customHeight="1" x14ac:dyDescent="0.35">
      <c r="A124" s="403"/>
      <c r="B124" s="263" t="s">
        <v>340</v>
      </c>
      <c r="C124" s="576" t="s">
        <v>34</v>
      </c>
      <c r="D124" s="577" t="s">
        <v>25</v>
      </c>
      <c r="E124" s="577" t="s">
        <v>58</v>
      </c>
      <c r="F124" s="578" t="s">
        <v>39</v>
      </c>
      <c r="G124" s="264"/>
      <c r="H124" s="242">
        <f>H125</f>
        <v>173.9</v>
      </c>
    </row>
    <row r="125" spans="1:8" ht="51" customHeight="1" x14ac:dyDescent="0.35">
      <c r="A125" s="403"/>
      <c r="B125" s="263" t="s">
        <v>446</v>
      </c>
      <c r="C125" s="576" t="s">
        <v>34</v>
      </c>
      <c r="D125" s="577" t="s">
        <v>25</v>
      </c>
      <c r="E125" s="577" t="s">
        <v>58</v>
      </c>
      <c r="F125" s="578" t="s">
        <v>100</v>
      </c>
      <c r="G125" s="264"/>
      <c r="H125" s="242">
        <f>H126</f>
        <v>173.9</v>
      </c>
    </row>
    <row r="126" spans="1:8" ht="36" customHeight="1" x14ac:dyDescent="0.35">
      <c r="A126" s="403"/>
      <c r="B126" s="263" t="s">
        <v>50</v>
      </c>
      <c r="C126" s="576" t="s">
        <v>34</v>
      </c>
      <c r="D126" s="577" t="s">
        <v>25</v>
      </c>
      <c r="E126" s="577" t="s">
        <v>58</v>
      </c>
      <c r="F126" s="578" t="s">
        <v>100</v>
      </c>
      <c r="G126" s="264" t="s">
        <v>51</v>
      </c>
      <c r="H126" s="242">
        <f>'прил9 (ведом 22)'!M369</f>
        <v>173.9</v>
      </c>
    </row>
    <row r="127" spans="1:8" ht="34.5" customHeight="1" x14ac:dyDescent="0.35">
      <c r="A127" s="403"/>
      <c r="B127" s="263" t="s">
        <v>441</v>
      </c>
      <c r="C127" s="576" t="s">
        <v>34</v>
      </c>
      <c r="D127" s="577" t="s">
        <v>25</v>
      </c>
      <c r="E127" s="577" t="s">
        <v>47</v>
      </c>
      <c r="F127" s="578" t="s">
        <v>39</v>
      </c>
      <c r="G127" s="264"/>
      <c r="H127" s="242">
        <f>H128</f>
        <v>24</v>
      </c>
    </row>
    <row r="128" spans="1:8" ht="15.75" customHeight="1" x14ac:dyDescent="0.35">
      <c r="A128" s="403"/>
      <c r="B128" s="263" t="s">
        <v>447</v>
      </c>
      <c r="C128" s="576" t="s">
        <v>34</v>
      </c>
      <c r="D128" s="577" t="s">
        <v>25</v>
      </c>
      <c r="E128" s="577" t="s">
        <v>47</v>
      </c>
      <c r="F128" s="578" t="s">
        <v>440</v>
      </c>
      <c r="G128" s="264"/>
      <c r="H128" s="242">
        <f>H129</f>
        <v>24</v>
      </c>
    </row>
    <row r="129" spans="1:8" ht="34.5" customHeight="1" x14ac:dyDescent="0.35">
      <c r="A129" s="403"/>
      <c r="B129" s="263" t="s">
        <v>50</v>
      </c>
      <c r="C129" s="576" t="s">
        <v>34</v>
      </c>
      <c r="D129" s="577" t="s">
        <v>25</v>
      </c>
      <c r="E129" s="577" t="s">
        <v>47</v>
      </c>
      <c r="F129" s="578" t="s">
        <v>440</v>
      </c>
      <c r="G129" s="264" t="s">
        <v>51</v>
      </c>
      <c r="H129" s="242">
        <f>'прил9 (ведом 22)'!M372</f>
        <v>24</v>
      </c>
    </row>
    <row r="130" spans="1:8" ht="36.75" customHeight="1" x14ac:dyDescent="0.35">
      <c r="A130" s="403"/>
      <c r="B130" s="263" t="s">
        <v>445</v>
      </c>
      <c r="C130" s="576" t="s">
        <v>34</v>
      </c>
      <c r="D130" s="577" t="s">
        <v>25</v>
      </c>
      <c r="E130" s="577" t="s">
        <v>60</v>
      </c>
      <c r="F130" s="578" t="s">
        <v>39</v>
      </c>
      <c r="G130" s="264"/>
      <c r="H130" s="242">
        <f>H131</f>
        <v>105.8</v>
      </c>
    </row>
    <row r="131" spans="1:8" ht="33" customHeight="1" x14ac:dyDescent="0.35">
      <c r="A131" s="403"/>
      <c r="B131" s="263" t="s">
        <v>122</v>
      </c>
      <c r="C131" s="576" t="s">
        <v>34</v>
      </c>
      <c r="D131" s="577" t="s">
        <v>25</v>
      </c>
      <c r="E131" s="577" t="s">
        <v>60</v>
      </c>
      <c r="F131" s="578" t="s">
        <v>85</v>
      </c>
      <c r="G131" s="264"/>
      <c r="H131" s="242">
        <f>H132</f>
        <v>105.8</v>
      </c>
    </row>
    <row r="132" spans="1:8" ht="33.75" customHeight="1" x14ac:dyDescent="0.35">
      <c r="A132" s="403"/>
      <c r="B132" s="263" t="s">
        <v>50</v>
      </c>
      <c r="C132" s="576" t="s">
        <v>34</v>
      </c>
      <c r="D132" s="577" t="s">
        <v>25</v>
      </c>
      <c r="E132" s="577" t="s">
        <v>60</v>
      </c>
      <c r="F132" s="578" t="s">
        <v>85</v>
      </c>
      <c r="G132" s="264" t="s">
        <v>51</v>
      </c>
      <c r="H132" s="242">
        <f>'прил9 (ведом 22)'!M375</f>
        <v>105.8</v>
      </c>
    </row>
    <row r="133" spans="1:8" ht="16.95" customHeight="1" x14ac:dyDescent="0.35">
      <c r="A133" s="403"/>
      <c r="B133" s="422"/>
      <c r="C133" s="576"/>
      <c r="D133" s="577"/>
      <c r="E133" s="577"/>
      <c r="F133" s="578"/>
      <c r="G133" s="264"/>
      <c r="H133" s="242"/>
    </row>
    <row r="134" spans="1:8" s="413" customFormat="1" ht="53.4" customHeight="1" x14ac:dyDescent="0.3">
      <c r="A134" s="423">
        <v>2</v>
      </c>
      <c r="B134" s="339" t="s">
        <v>208</v>
      </c>
      <c r="C134" s="424" t="s">
        <v>58</v>
      </c>
      <c r="D134" s="424" t="s">
        <v>37</v>
      </c>
      <c r="E134" s="424" t="s">
        <v>38</v>
      </c>
      <c r="F134" s="425" t="s">
        <v>39</v>
      </c>
      <c r="G134" s="412"/>
      <c r="H134" s="289">
        <f>H135+H165+H172</f>
        <v>102996.6</v>
      </c>
    </row>
    <row r="135" spans="1:8" s="413" customFormat="1" ht="54" x14ac:dyDescent="0.35">
      <c r="A135" s="403"/>
      <c r="B135" s="426" t="s">
        <v>209</v>
      </c>
      <c r="C135" s="227" t="s">
        <v>58</v>
      </c>
      <c r="D135" s="228" t="s">
        <v>40</v>
      </c>
      <c r="E135" s="228" t="s">
        <v>38</v>
      </c>
      <c r="F135" s="229" t="s">
        <v>39</v>
      </c>
      <c r="G135" s="264"/>
      <c r="H135" s="242">
        <f>H136+H143+H146+H153+H162</f>
        <v>90865.712</v>
      </c>
    </row>
    <row r="136" spans="1:8" s="413" customFormat="1" ht="34.200000000000003" customHeight="1" x14ac:dyDescent="0.35">
      <c r="A136" s="403"/>
      <c r="B136" s="426" t="s">
        <v>264</v>
      </c>
      <c r="C136" s="227" t="s">
        <v>58</v>
      </c>
      <c r="D136" s="228" t="s">
        <v>40</v>
      </c>
      <c r="E136" s="228" t="s">
        <v>32</v>
      </c>
      <c r="F136" s="229" t="s">
        <v>39</v>
      </c>
      <c r="G136" s="264"/>
      <c r="H136" s="242">
        <f>H137+H141+H139</f>
        <v>58954.7</v>
      </c>
    </row>
    <row r="137" spans="1:8" s="413" customFormat="1" ht="36" x14ac:dyDescent="0.35">
      <c r="A137" s="403"/>
      <c r="B137" s="414" t="s">
        <v>437</v>
      </c>
      <c r="C137" s="227" t="s">
        <v>58</v>
      </c>
      <c r="D137" s="228" t="s">
        <v>40</v>
      </c>
      <c r="E137" s="228" t="s">
        <v>32</v>
      </c>
      <c r="F137" s="229" t="s">
        <v>86</v>
      </c>
      <c r="G137" s="41"/>
      <c r="H137" s="242">
        <f>H138</f>
        <v>55802.799999999996</v>
      </c>
    </row>
    <row r="138" spans="1:8" s="413" customFormat="1" ht="32.4" customHeight="1" x14ac:dyDescent="0.35">
      <c r="A138" s="403"/>
      <c r="B138" s="420" t="s">
        <v>71</v>
      </c>
      <c r="C138" s="227" t="s">
        <v>58</v>
      </c>
      <c r="D138" s="228" t="s">
        <v>40</v>
      </c>
      <c r="E138" s="228" t="s">
        <v>32</v>
      </c>
      <c r="F138" s="229" t="s">
        <v>86</v>
      </c>
      <c r="G138" s="41" t="s">
        <v>72</v>
      </c>
      <c r="H138" s="242">
        <f>'прил9 (ведом 22)'!M533</f>
        <v>55802.799999999996</v>
      </c>
    </row>
    <row r="139" spans="1:8" s="413" customFormat="1" ht="20.25" customHeight="1" x14ac:dyDescent="0.35">
      <c r="A139" s="403"/>
      <c r="B139" s="427" t="s">
        <v>438</v>
      </c>
      <c r="C139" s="227" t="s">
        <v>58</v>
      </c>
      <c r="D139" s="228" t="s">
        <v>40</v>
      </c>
      <c r="E139" s="228" t="s">
        <v>32</v>
      </c>
      <c r="F139" s="229" t="s">
        <v>376</v>
      </c>
      <c r="G139" s="41"/>
      <c r="H139" s="242">
        <f>H140</f>
        <v>1168.5999999999999</v>
      </c>
    </row>
    <row r="140" spans="1:8" s="413" customFormat="1" ht="37.950000000000003" customHeight="1" x14ac:dyDescent="0.35">
      <c r="A140" s="403"/>
      <c r="B140" s="427" t="s">
        <v>71</v>
      </c>
      <c r="C140" s="227" t="s">
        <v>58</v>
      </c>
      <c r="D140" s="228" t="s">
        <v>40</v>
      </c>
      <c r="E140" s="228" t="s">
        <v>32</v>
      </c>
      <c r="F140" s="229" t="s">
        <v>376</v>
      </c>
      <c r="G140" s="41" t="s">
        <v>72</v>
      </c>
      <c r="H140" s="242">
        <f>'прил9 (ведом 22)'!M535</f>
        <v>1168.5999999999999</v>
      </c>
    </row>
    <row r="141" spans="1:8" s="413" customFormat="1" ht="36" x14ac:dyDescent="0.35">
      <c r="A141" s="403"/>
      <c r="B141" s="427" t="s">
        <v>302</v>
      </c>
      <c r="C141" s="227" t="s">
        <v>58</v>
      </c>
      <c r="D141" s="228" t="s">
        <v>40</v>
      </c>
      <c r="E141" s="228" t="s">
        <v>32</v>
      </c>
      <c r="F141" s="229" t="s">
        <v>303</v>
      </c>
      <c r="G141" s="41"/>
      <c r="H141" s="242">
        <f>H142</f>
        <v>1983.3</v>
      </c>
    </row>
    <row r="142" spans="1:8" s="413" customFormat="1" ht="35.4" customHeight="1" x14ac:dyDescent="0.35">
      <c r="A142" s="403"/>
      <c r="B142" s="427" t="s">
        <v>71</v>
      </c>
      <c r="C142" s="227" t="s">
        <v>58</v>
      </c>
      <c r="D142" s="228" t="s">
        <v>40</v>
      </c>
      <c r="E142" s="228" t="s">
        <v>32</v>
      </c>
      <c r="F142" s="229" t="s">
        <v>303</v>
      </c>
      <c r="G142" s="41" t="s">
        <v>72</v>
      </c>
      <c r="H142" s="242">
        <f>'прил9 (ведом 22)'!M537</f>
        <v>1983.3</v>
      </c>
    </row>
    <row r="143" spans="1:8" ht="18" x14ac:dyDescent="0.35">
      <c r="A143" s="513"/>
      <c r="B143" s="420" t="s">
        <v>265</v>
      </c>
      <c r="C143" s="227" t="s">
        <v>58</v>
      </c>
      <c r="D143" s="228" t="s">
        <v>40</v>
      </c>
      <c r="E143" s="228" t="s">
        <v>34</v>
      </c>
      <c r="F143" s="229" t="s">
        <v>39</v>
      </c>
      <c r="G143" s="41"/>
      <c r="H143" s="514">
        <f>H144</f>
        <v>225</v>
      </c>
    </row>
    <row r="144" spans="1:8" s="413" customFormat="1" ht="36" x14ac:dyDescent="0.35">
      <c r="A144" s="403"/>
      <c r="B144" s="420" t="s">
        <v>206</v>
      </c>
      <c r="C144" s="227" t="s">
        <v>58</v>
      </c>
      <c r="D144" s="228" t="s">
        <v>40</v>
      </c>
      <c r="E144" s="228" t="s">
        <v>34</v>
      </c>
      <c r="F144" s="229" t="s">
        <v>267</v>
      </c>
      <c r="G144" s="41"/>
      <c r="H144" s="242">
        <f>H145</f>
        <v>225</v>
      </c>
    </row>
    <row r="145" spans="1:8" s="413" customFormat="1" ht="19.95" customHeight="1" x14ac:dyDescent="0.35">
      <c r="A145" s="403"/>
      <c r="B145" s="420" t="s">
        <v>115</v>
      </c>
      <c r="C145" s="227" t="s">
        <v>58</v>
      </c>
      <c r="D145" s="228" t="s">
        <v>40</v>
      </c>
      <c r="E145" s="228" t="s">
        <v>34</v>
      </c>
      <c r="F145" s="229" t="s">
        <v>267</v>
      </c>
      <c r="G145" s="41" t="s">
        <v>116</v>
      </c>
      <c r="H145" s="242">
        <f>'прил9 (ведом 22)'!M549</f>
        <v>225</v>
      </c>
    </row>
    <row r="146" spans="1:8" s="413" customFormat="1" ht="18" x14ac:dyDescent="0.35">
      <c r="A146" s="403"/>
      <c r="B146" s="414" t="s">
        <v>304</v>
      </c>
      <c r="C146" s="428" t="s">
        <v>58</v>
      </c>
      <c r="D146" s="429" t="s">
        <v>40</v>
      </c>
      <c r="E146" s="429" t="s">
        <v>58</v>
      </c>
      <c r="F146" s="430" t="s">
        <v>39</v>
      </c>
      <c r="G146" s="431"/>
      <c r="H146" s="242">
        <f>H147+H149+H151</f>
        <v>12204.5</v>
      </c>
    </row>
    <row r="147" spans="1:8" s="413" customFormat="1" ht="36" x14ac:dyDescent="0.35">
      <c r="A147" s="403"/>
      <c r="B147" s="414" t="s">
        <v>437</v>
      </c>
      <c r="C147" s="428" t="s">
        <v>58</v>
      </c>
      <c r="D147" s="429" t="s">
        <v>40</v>
      </c>
      <c r="E147" s="429" t="s">
        <v>58</v>
      </c>
      <c r="F147" s="430" t="s">
        <v>86</v>
      </c>
      <c r="G147" s="431"/>
      <c r="H147" s="242">
        <f>H148</f>
        <v>11475.3</v>
      </c>
    </row>
    <row r="148" spans="1:8" s="413" customFormat="1" ht="34.950000000000003" customHeight="1" x14ac:dyDescent="0.35">
      <c r="A148" s="403"/>
      <c r="B148" s="420" t="s">
        <v>71</v>
      </c>
      <c r="C148" s="227" t="s">
        <v>58</v>
      </c>
      <c r="D148" s="228" t="s">
        <v>40</v>
      </c>
      <c r="E148" s="228" t="s">
        <v>58</v>
      </c>
      <c r="F148" s="229" t="s">
        <v>86</v>
      </c>
      <c r="G148" s="41" t="s">
        <v>72</v>
      </c>
      <c r="H148" s="242">
        <f>'прил9 (ведом 22)'!M556</f>
        <v>11475.3</v>
      </c>
    </row>
    <row r="149" spans="1:8" s="413" customFormat="1" ht="36" x14ac:dyDescent="0.35">
      <c r="A149" s="403"/>
      <c r="B149" s="420" t="s">
        <v>302</v>
      </c>
      <c r="C149" s="428" t="s">
        <v>58</v>
      </c>
      <c r="D149" s="429" t="s">
        <v>40</v>
      </c>
      <c r="E149" s="429" t="s">
        <v>58</v>
      </c>
      <c r="F149" s="430" t="s">
        <v>303</v>
      </c>
      <c r="G149" s="431"/>
      <c r="H149" s="242">
        <f>H150</f>
        <v>258.2</v>
      </c>
    </row>
    <row r="150" spans="1:8" s="413" customFormat="1" ht="36" x14ac:dyDescent="0.35">
      <c r="A150" s="403"/>
      <c r="B150" s="420" t="s">
        <v>71</v>
      </c>
      <c r="C150" s="428" t="s">
        <v>58</v>
      </c>
      <c r="D150" s="429" t="s">
        <v>40</v>
      </c>
      <c r="E150" s="429" t="s">
        <v>58</v>
      </c>
      <c r="F150" s="430" t="s">
        <v>303</v>
      </c>
      <c r="G150" s="431" t="s">
        <v>72</v>
      </c>
      <c r="H150" s="242">
        <f>'прил9 (ведом 22)'!M558</f>
        <v>258.2</v>
      </c>
    </row>
    <row r="151" spans="1:8" s="413" customFormat="1" ht="54" x14ac:dyDescent="0.35">
      <c r="A151" s="403"/>
      <c r="B151" s="420" t="s">
        <v>210</v>
      </c>
      <c r="C151" s="227" t="s">
        <v>58</v>
      </c>
      <c r="D151" s="228" t="s">
        <v>40</v>
      </c>
      <c r="E151" s="228" t="s">
        <v>58</v>
      </c>
      <c r="F151" s="229" t="s">
        <v>305</v>
      </c>
      <c r="G151" s="41"/>
      <c r="H151" s="242">
        <f>H152</f>
        <v>471</v>
      </c>
    </row>
    <row r="152" spans="1:8" s="413" customFormat="1" ht="36" x14ac:dyDescent="0.35">
      <c r="A152" s="403"/>
      <c r="B152" s="420" t="s">
        <v>71</v>
      </c>
      <c r="C152" s="227" t="s">
        <v>58</v>
      </c>
      <c r="D152" s="228" t="s">
        <v>40</v>
      </c>
      <c r="E152" s="228" t="s">
        <v>58</v>
      </c>
      <c r="F152" s="229" t="s">
        <v>305</v>
      </c>
      <c r="G152" s="41" t="s">
        <v>72</v>
      </c>
      <c r="H152" s="242">
        <f>'прил9 (ведом 22)'!M560</f>
        <v>471</v>
      </c>
    </row>
    <row r="153" spans="1:8" s="413" customFormat="1" ht="36" x14ac:dyDescent="0.35">
      <c r="A153" s="403"/>
      <c r="B153" s="420" t="s">
        <v>306</v>
      </c>
      <c r="C153" s="428" t="s">
        <v>58</v>
      </c>
      <c r="D153" s="429" t="s">
        <v>40</v>
      </c>
      <c r="E153" s="429" t="s">
        <v>47</v>
      </c>
      <c r="F153" s="229" t="s">
        <v>39</v>
      </c>
      <c r="G153" s="41"/>
      <c r="H153" s="242">
        <f>H154+H158+H160</f>
        <v>19192.511999999999</v>
      </c>
    </row>
    <row r="154" spans="1:8" s="413" customFormat="1" ht="36" x14ac:dyDescent="0.35">
      <c r="A154" s="403"/>
      <c r="B154" s="414" t="s">
        <v>437</v>
      </c>
      <c r="C154" s="428" t="s">
        <v>58</v>
      </c>
      <c r="D154" s="429" t="s">
        <v>40</v>
      </c>
      <c r="E154" s="429" t="s">
        <v>47</v>
      </c>
      <c r="F154" s="430" t="s">
        <v>86</v>
      </c>
      <c r="G154" s="431"/>
      <c r="H154" s="242">
        <f>SUM(H155:H157)</f>
        <v>13245.4</v>
      </c>
    </row>
    <row r="155" spans="1:8" s="413" customFormat="1" ht="90" x14ac:dyDescent="0.35">
      <c r="A155" s="403"/>
      <c r="B155" s="240" t="s">
        <v>44</v>
      </c>
      <c r="C155" s="227" t="s">
        <v>58</v>
      </c>
      <c r="D155" s="228" t="s">
        <v>40</v>
      </c>
      <c r="E155" s="228" t="s">
        <v>47</v>
      </c>
      <c r="F155" s="229" t="s">
        <v>86</v>
      </c>
      <c r="G155" s="41" t="s">
        <v>45</v>
      </c>
      <c r="H155" s="242">
        <f>'прил9 (ведом 22)'!M563</f>
        <v>12141.1</v>
      </c>
    </row>
    <row r="156" spans="1:8" s="413" customFormat="1" ht="36" x14ac:dyDescent="0.35">
      <c r="A156" s="403"/>
      <c r="B156" s="240" t="s">
        <v>50</v>
      </c>
      <c r="C156" s="227" t="s">
        <v>58</v>
      </c>
      <c r="D156" s="228" t="s">
        <v>40</v>
      </c>
      <c r="E156" s="228" t="s">
        <v>47</v>
      </c>
      <c r="F156" s="229" t="s">
        <v>86</v>
      </c>
      <c r="G156" s="41" t="s">
        <v>51</v>
      </c>
      <c r="H156" s="242">
        <f>'прил9 (ведом 22)'!M564</f>
        <v>1057.3</v>
      </c>
    </row>
    <row r="157" spans="1:8" s="413" customFormat="1" ht="18" x14ac:dyDescent="0.35">
      <c r="A157" s="403"/>
      <c r="B157" s="240" t="s">
        <v>52</v>
      </c>
      <c r="C157" s="227" t="s">
        <v>58</v>
      </c>
      <c r="D157" s="228" t="s">
        <v>40</v>
      </c>
      <c r="E157" s="228" t="s">
        <v>47</v>
      </c>
      <c r="F157" s="229" t="s">
        <v>86</v>
      </c>
      <c r="G157" s="41" t="s">
        <v>53</v>
      </c>
      <c r="H157" s="242">
        <f>'прил9 (ведом 22)'!M565</f>
        <v>47</v>
      </c>
    </row>
    <row r="158" spans="1:8" s="413" customFormat="1" ht="18" x14ac:dyDescent="0.35">
      <c r="A158" s="403"/>
      <c r="B158" s="590" t="s">
        <v>438</v>
      </c>
      <c r="C158" s="593" t="s">
        <v>58</v>
      </c>
      <c r="D158" s="594" t="s">
        <v>40</v>
      </c>
      <c r="E158" s="594" t="s">
        <v>47</v>
      </c>
      <c r="F158" s="595" t="s">
        <v>376</v>
      </c>
      <c r="G158" s="592"/>
      <c r="H158" s="242">
        <f>H159</f>
        <v>1700</v>
      </c>
    </row>
    <row r="159" spans="1:8" s="413" customFormat="1" ht="36" x14ac:dyDescent="0.35">
      <c r="A159" s="403"/>
      <c r="B159" s="590" t="s">
        <v>50</v>
      </c>
      <c r="C159" s="593" t="s">
        <v>58</v>
      </c>
      <c r="D159" s="594" t="s">
        <v>40</v>
      </c>
      <c r="E159" s="594" t="s">
        <v>47</v>
      </c>
      <c r="F159" s="595" t="s">
        <v>376</v>
      </c>
      <c r="G159" s="592" t="s">
        <v>51</v>
      </c>
      <c r="H159" s="242">
        <f>'прил9 (ведом 22)'!M567</f>
        <v>1700</v>
      </c>
    </row>
    <row r="160" spans="1:8" s="413" customFormat="1" ht="90" x14ac:dyDescent="0.35">
      <c r="A160" s="403"/>
      <c r="B160" s="240" t="s">
        <v>526</v>
      </c>
      <c r="C160" s="227" t="s">
        <v>58</v>
      </c>
      <c r="D160" s="228" t="s">
        <v>40</v>
      </c>
      <c r="E160" s="228" t="s">
        <v>47</v>
      </c>
      <c r="F160" s="229" t="s">
        <v>527</v>
      </c>
      <c r="G160" s="41"/>
      <c r="H160" s="242">
        <f>H161</f>
        <v>4247.1120000000001</v>
      </c>
    </row>
    <row r="161" spans="1:8" s="413" customFormat="1" ht="36" x14ac:dyDescent="0.35">
      <c r="A161" s="403"/>
      <c r="B161" s="240" t="s">
        <v>50</v>
      </c>
      <c r="C161" s="227" t="s">
        <v>58</v>
      </c>
      <c r="D161" s="228" t="s">
        <v>40</v>
      </c>
      <c r="E161" s="228" t="s">
        <v>47</v>
      </c>
      <c r="F161" s="229" t="s">
        <v>527</v>
      </c>
      <c r="G161" s="41" t="s">
        <v>51</v>
      </c>
      <c r="H161" s="242">
        <f>'прил9 (ведом 22)'!M569</f>
        <v>4247.1120000000001</v>
      </c>
    </row>
    <row r="162" spans="1:8" s="413" customFormat="1" ht="32.4" customHeight="1" x14ac:dyDescent="0.35">
      <c r="A162" s="403"/>
      <c r="B162" s="427" t="s">
        <v>269</v>
      </c>
      <c r="C162" s="227" t="s">
        <v>58</v>
      </c>
      <c r="D162" s="228" t="s">
        <v>40</v>
      </c>
      <c r="E162" s="228" t="s">
        <v>60</v>
      </c>
      <c r="F162" s="229" t="s">
        <v>39</v>
      </c>
      <c r="G162" s="41"/>
      <c r="H162" s="242">
        <f>H163</f>
        <v>289</v>
      </c>
    </row>
    <row r="163" spans="1:8" s="413" customFormat="1" ht="36" x14ac:dyDescent="0.35">
      <c r="A163" s="403"/>
      <c r="B163" s="427" t="s">
        <v>444</v>
      </c>
      <c r="C163" s="227" t="s">
        <v>58</v>
      </c>
      <c r="D163" s="228" t="s">
        <v>40</v>
      </c>
      <c r="E163" s="228" t="s">
        <v>60</v>
      </c>
      <c r="F163" s="229" t="s">
        <v>443</v>
      </c>
      <c r="G163" s="41"/>
      <c r="H163" s="242">
        <f>H164</f>
        <v>289</v>
      </c>
    </row>
    <row r="164" spans="1:8" s="413" customFormat="1" ht="39" customHeight="1" x14ac:dyDescent="0.35">
      <c r="A164" s="403"/>
      <c r="B164" s="427" t="s">
        <v>71</v>
      </c>
      <c r="C164" s="227" t="s">
        <v>58</v>
      </c>
      <c r="D164" s="228" t="s">
        <v>40</v>
      </c>
      <c r="E164" s="228" t="s">
        <v>60</v>
      </c>
      <c r="F164" s="229" t="s">
        <v>443</v>
      </c>
      <c r="G164" s="41" t="s">
        <v>72</v>
      </c>
      <c r="H164" s="242">
        <f>'прил9 (ведом 22)'!M543</f>
        <v>289</v>
      </c>
    </row>
    <row r="165" spans="1:8" ht="36" x14ac:dyDescent="0.35">
      <c r="A165" s="403"/>
      <c r="B165" s="414" t="s">
        <v>314</v>
      </c>
      <c r="C165" s="428" t="s">
        <v>58</v>
      </c>
      <c r="D165" s="429" t="s">
        <v>84</v>
      </c>
      <c r="E165" s="429" t="s">
        <v>38</v>
      </c>
      <c r="F165" s="229" t="s">
        <v>39</v>
      </c>
      <c r="G165" s="431"/>
      <c r="H165" s="242">
        <f>H166</f>
        <v>938.88799999999992</v>
      </c>
    </row>
    <row r="166" spans="1:8" ht="90" x14ac:dyDescent="0.35">
      <c r="A166" s="403"/>
      <c r="B166" s="420" t="s">
        <v>307</v>
      </c>
      <c r="C166" s="428" t="s">
        <v>58</v>
      </c>
      <c r="D166" s="429" t="s">
        <v>84</v>
      </c>
      <c r="E166" s="429" t="s">
        <v>58</v>
      </c>
      <c r="F166" s="229" t="s">
        <v>39</v>
      </c>
      <c r="G166" s="431"/>
      <c r="H166" s="242">
        <f>H167+H170</f>
        <v>938.88799999999992</v>
      </c>
    </row>
    <row r="167" spans="1:8" ht="36" x14ac:dyDescent="0.35">
      <c r="A167" s="403"/>
      <c r="B167" s="420" t="s">
        <v>302</v>
      </c>
      <c r="C167" s="428" t="s">
        <v>58</v>
      </c>
      <c r="D167" s="429" t="s">
        <v>84</v>
      </c>
      <c r="E167" s="429" t="s">
        <v>58</v>
      </c>
      <c r="F167" s="430" t="s">
        <v>303</v>
      </c>
      <c r="G167" s="264"/>
      <c r="H167" s="242">
        <f>SUM(H168:H169)</f>
        <v>896.7879999999999</v>
      </c>
    </row>
    <row r="168" spans="1:8" ht="36" x14ac:dyDescent="0.35">
      <c r="A168" s="403"/>
      <c r="B168" s="414" t="s">
        <v>50</v>
      </c>
      <c r="C168" s="227" t="s">
        <v>58</v>
      </c>
      <c r="D168" s="228" t="s">
        <v>84</v>
      </c>
      <c r="E168" s="228" t="s">
        <v>58</v>
      </c>
      <c r="F168" s="229" t="s">
        <v>303</v>
      </c>
      <c r="G168" s="264" t="s">
        <v>51</v>
      </c>
      <c r="H168" s="242">
        <f>'прил9 (ведом 22)'!M582+'прил9 (ведом 22)'!M573</f>
        <v>878.88799999999992</v>
      </c>
    </row>
    <row r="169" spans="1:8" ht="39.75" customHeight="1" x14ac:dyDescent="0.35">
      <c r="A169" s="403"/>
      <c r="B169" s="420" t="s">
        <v>71</v>
      </c>
      <c r="C169" s="227" t="s">
        <v>58</v>
      </c>
      <c r="D169" s="228" t="s">
        <v>84</v>
      </c>
      <c r="E169" s="228" t="s">
        <v>58</v>
      </c>
      <c r="F169" s="229" t="s">
        <v>303</v>
      </c>
      <c r="G169" s="41" t="s">
        <v>72</v>
      </c>
      <c r="H169" s="242">
        <f>'прил9 (ведом 22)'!M574</f>
        <v>17.899999999999999</v>
      </c>
    </row>
    <row r="170" spans="1:8" ht="40.5" customHeight="1" x14ac:dyDescent="0.35">
      <c r="A170" s="403"/>
      <c r="B170" s="427" t="s">
        <v>401</v>
      </c>
      <c r="C170" s="227" t="s">
        <v>58</v>
      </c>
      <c r="D170" s="228" t="s">
        <v>84</v>
      </c>
      <c r="E170" s="228" t="s">
        <v>58</v>
      </c>
      <c r="F170" s="229" t="s">
        <v>402</v>
      </c>
      <c r="G170" s="41"/>
      <c r="H170" s="242">
        <f>H171</f>
        <v>42.1</v>
      </c>
    </row>
    <row r="171" spans="1:8" ht="41.25" customHeight="1" x14ac:dyDescent="0.35">
      <c r="A171" s="403"/>
      <c r="B171" s="427" t="s">
        <v>71</v>
      </c>
      <c r="C171" s="227" t="s">
        <v>58</v>
      </c>
      <c r="D171" s="228" t="s">
        <v>84</v>
      </c>
      <c r="E171" s="228" t="s">
        <v>58</v>
      </c>
      <c r="F171" s="229" t="s">
        <v>402</v>
      </c>
      <c r="G171" s="41" t="s">
        <v>72</v>
      </c>
      <c r="H171" s="242">
        <f>'прил9 (ведом 22)'!M576</f>
        <v>42.1</v>
      </c>
    </row>
    <row r="172" spans="1:8" s="413" customFormat="1" ht="37.200000000000003" customHeight="1" x14ac:dyDescent="0.35">
      <c r="A172" s="403"/>
      <c r="B172" s="414" t="s">
        <v>211</v>
      </c>
      <c r="C172" s="227" t="s">
        <v>58</v>
      </c>
      <c r="D172" s="228" t="s">
        <v>25</v>
      </c>
      <c r="E172" s="228" t="s">
        <v>38</v>
      </c>
      <c r="F172" s="229" t="s">
        <v>39</v>
      </c>
      <c r="G172" s="264"/>
      <c r="H172" s="242">
        <f>H173+H184</f>
        <v>11192</v>
      </c>
    </row>
    <row r="173" spans="1:8" s="413" customFormat="1" ht="36" x14ac:dyDescent="0.35">
      <c r="A173" s="403"/>
      <c r="B173" s="414" t="s">
        <v>270</v>
      </c>
      <c r="C173" s="227" t="s">
        <v>58</v>
      </c>
      <c r="D173" s="228" t="s">
        <v>25</v>
      </c>
      <c r="E173" s="228" t="s">
        <v>32</v>
      </c>
      <c r="F173" s="229" t="s">
        <v>39</v>
      </c>
      <c r="G173" s="41"/>
      <c r="H173" s="242">
        <f>H174+H178+H182</f>
        <v>11138.7</v>
      </c>
    </row>
    <row r="174" spans="1:8" ht="36" x14ac:dyDescent="0.35">
      <c r="A174" s="403"/>
      <c r="B174" s="414" t="s">
        <v>42</v>
      </c>
      <c r="C174" s="227" t="s">
        <v>58</v>
      </c>
      <c r="D174" s="228" t="s">
        <v>25</v>
      </c>
      <c r="E174" s="228" t="s">
        <v>32</v>
      </c>
      <c r="F174" s="229" t="s">
        <v>43</v>
      </c>
      <c r="G174" s="431"/>
      <c r="H174" s="242">
        <f>SUM(H175:H177)</f>
        <v>3290.1</v>
      </c>
    </row>
    <row r="175" spans="1:8" ht="90" x14ac:dyDescent="0.35">
      <c r="A175" s="403"/>
      <c r="B175" s="414" t="s">
        <v>44</v>
      </c>
      <c r="C175" s="227" t="s">
        <v>58</v>
      </c>
      <c r="D175" s="228" t="s">
        <v>25</v>
      </c>
      <c r="E175" s="228" t="s">
        <v>32</v>
      </c>
      <c r="F175" s="229" t="s">
        <v>43</v>
      </c>
      <c r="G175" s="431" t="s">
        <v>45</v>
      </c>
      <c r="H175" s="242">
        <f>'прил9 (ведом 22)'!M586</f>
        <v>3036.2999999999997</v>
      </c>
    </row>
    <row r="176" spans="1:8" ht="36" x14ac:dyDescent="0.35">
      <c r="A176" s="403"/>
      <c r="B176" s="414" t="s">
        <v>50</v>
      </c>
      <c r="C176" s="227" t="s">
        <v>58</v>
      </c>
      <c r="D176" s="228" t="s">
        <v>25</v>
      </c>
      <c r="E176" s="228" t="s">
        <v>32</v>
      </c>
      <c r="F176" s="229" t="s">
        <v>43</v>
      </c>
      <c r="G176" s="431" t="s">
        <v>51</v>
      </c>
      <c r="H176" s="242">
        <f>'прил9 (ведом 22)'!M587</f>
        <v>249.4</v>
      </c>
    </row>
    <row r="177" spans="1:8" ht="18" x14ac:dyDescent="0.35">
      <c r="A177" s="403"/>
      <c r="B177" s="414" t="s">
        <v>52</v>
      </c>
      <c r="C177" s="227" t="s">
        <v>58</v>
      </c>
      <c r="D177" s="228" t="s">
        <v>25</v>
      </c>
      <c r="E177" s="228" t="s">
        <v>32</v>
      </c>
      <c r="F177" s="229" t="s">
        <v>43</v>
      </c>
      <c r="G177" s="41" t="s">
        <v>53</v>
      </c>
      <c r="H177" s="242">
        <f>'прил9 (ведом 22)'!M588</f>
        <v>4.4000000000000004</v>
      </c>
    </row>
    <row r="178" spans="1:8" ht="36" x14ac:dyDescent="0.35">
      <c r="A178" s="403"/>
      <c r="B178" s="414" t="s">
        <v>437</v>
      </c>
      <c r="C178" s="227" t="s">
        <v>58</v>
      </c>
      <c r="D178" s="228" t="s">
        <v>25</v>
      </c>
      <c r="E178" s="228" t="s">
        <v>32</v>
      </c>
      <c r="F178" s="229" t="s">
        <v>86</v>
      </c>
      <c r="G178" s="41"/>
      <c r="H178" s="242">
        <f>SUM(H179:H181)</f>
        <v>7537.1</v>
      </c>
    </row>
    <row r="179" spans="1:8" ht="90" x14ac:dyDescent="0.35">
      <c r="A179" s="403"/>
      <c r="B179" s="414" t="s">
        <v>44</v>
      </c>
      <c r="C179" s="227" t="s">
        <v>58</v>
      </c>
      <c r="D179" s="228" t="s">
        <v>25</v>
      </c>
      <c r="E179" s="228" t="s">
        <v>32</v>
      </c>
      <c r="F179" s="229" t="s">
        <v>86</v>
      </c>
      <c r="G179" s="431" t="s">
        <v>45</v>
      </c>
      <c r="H179" s="242">
        <f>'прил9 (ведом 22)'!M590</f>
        <v>6988.9000000000005</v>
      </c>
    </row>
    <row r="180" spans="1:8" ht="36" x14ac:dyDescent="0.35">
      <c r="A180" s="403"/>
      <c r="B180" s="414" t="s">
        <v>50</v>
      </c>
      <c r="C180" s="227" t="s">
        <v>58</v>
      </c>
      <c r="D180" s="228" t="s">
        <v>25</v>
      </c>
      <c r="E180" s="228" t="s">
        <v>32</v>
      </c>
      <c r="F180" s="229" t="s">
        <v>86</v>
      </c>
      <c r="G180" s="431" t="s">
        <v>51</v>
      </c>
      <c r="H180" s="242">
        <f>'прил9 (ведом 22)'!M591</f>
        <v>546.5</v>
      </c>
    </row>
    <row r="181" spans="1:8" ht="18" x14ac:dyDescent="0.35">
      <c r="A181" s="403"/>
      <c r="B181" s="414" t="s">
        <v>52</v>
      </c>
      <c r="C181" s="227" t="s">
        <v>58</v>
      </c>
      <c r="D181" s="228" t="s">
        <v>25</v>
      </c>
      <c r="E181" s="228" t="s">
        <v>32</v>
      </c>
      <c r="F181" s="229" t="s">
        <v>86</v>
      </c>
      <c r="G181" s="41" t="s">
        <v>53</v>
      </c>
      <c r="H181" s="242">
        <f>'прил9 (ведом 22)'!M592</f>
        <v>1.7</v>
      </c>
    </row>
    <row r="182" spans="1:8" ht="18" x14ac:dyDescent="0.35">
      <c r="A182" s="403"/>
      <c r="B182" s="515" t="s">
        <v>438</v>
      </c>
      <c r="C182" s="227" t="s">
        <v>58</v>
      </c>
      <c r="D182" s="228" t="s">
        <v>25</v>
      </c>
      <c r="E182" s="228" t="s">
        <v>32</v>
      </c>
      <c r="F182" s="516" t="s">
        <v>376</v>
      </c>
      <c r="G182" s="517"/>
      <c r="H182" s="242">
        <f>H183</f>
        <v>311.5</v>
      </c>
    </row>
    <row r="183" spans="1:8" ht="36" x14ac:dyDescent="0.35">
      <c r="A183" s="403"/>
      <c r="B183" s="240" t="s">
        <v>50</v>
      </c>
      <c r="C183" s="227" t="s">
        <v>58</v>
      </c>
      <c r="D183" s="228" t="s">
        <v>25</v>
      </c>
      <c r="E183" s="228" t="s">
        <v>32</v>
      </c>
      <c r="F183" s="518" t="s">
        <v>376</v>
      </c>
      <c r="G183" s="519" t="s">
        <v>51</v>
      </c>
      <c r="H183" s="242">
        <f>'прил9 (ведом 22)'!M594</f>
        <v>311.5</v>
      </c>
    </row>
    <row r="184" spans="1:8" ht="36" x14ac:dyDescent="0.35">
      <c r="A184" s="403"/>
      <c r="B184" s="240" t="s">
        <v>340</v>
      </c>
      <c r="C184" s="227" t="s">
        <v>58</v>
      </c>
      <c r="D184" s="228" t="s">
        <v>25</v>
      </c>
      <c r="E184" s="228" t="s">
        <v>34</v>
      </c>
      <c r="F184" s="229" t="s">
        <v>39</v>
      </c>
      <c r="G184" s="166"/>
      <c r="H184" s="242">
        <f>H185</f>
        <v>53.3</v>
      </c>
    </row>
    <row r="185" spans="1:8" ht="54" x14ac:dyDescent="0.35">
      <c r="A185" s="403"/>
      <c r="B185" s="240" t="s">
        <v>341</v>
      </c>
      <c r="C185" s="227" t="s">
        <v>58</v>
      </c>
      <c r="D185" s="228" t="s">
        <v>25</v>
      </c>
      <c r="E185" s="228" t="s">
        <v>34</v>
      </c>
      <c r="F185" s="229" t="s">
        <v>100</v>
      </c>
      <c r="G185" s="166"/>
      <c r="H185" s="242">
        <f>H186</f>
        <v>53.3</v>
      </c>
    </row>
    <row r="186" spans="1:8" ht="36" x14ac:dyDescent="0.35">
      <c r="A186" s="403"/>
      <c r="B186" s="240" t="s">
        <v>50</v>
      </c>
      <c r="C186" s="227" t="s">
        <v>58</v>
      </c>
      <c r="D186" s="228" t="s">
        <v>25</v>
      </c>
      <c r="E186" s="228" t="s">
        <v>34</v>
      </c>
      <c r="F186" s="229" t="s">
        <v>100</v>
      </c>
      <c r="G186" s="41" t="s">
        <v>51</v>
      </c>
      <c r="H186" s="242">
        <f>'прил9 (ведом 22)'!M526</f>
        <v>53.3</v>
      </c>
    </row>
    <row r="187" spans="1:8" ht="18" x14ac:dyDescent="0.35">
      <c r="A187" s="403"/>
      <c r="B187" s="422"/>
      <c r="C187" s="432"/>
      <c r="D187" s="432"/>
      <c r="E187" s="345"/>
      <c r="F187" s="433"/>
      <c r="G187" s="264"/>
      <c r="H187" s="242"/>
    </row>
    <row r="188" spans="1:8" s="413" customFormat="1" ht="52.2" x14ac:dyDescent="0.3">
      <c r="A188" s="423">
        <v>3</v>
      </c>
      <c r="B188" s="434" t="s">
        <v>212</v>
      </c>
      <c r="C188" s="424" t="s">
        <v>47</v>
      </c>
      <c r="D188" s="424" t="s">
        <v>37</v>
      </c>
      <c r="E188" s="424" t="s">
        <v>38</v>
      </c>
      <c r="F188" s="425" t="s">
        <v>39</v>
      </c>
      <c r="G188" s="412"/>
      <c r="H188" s="289">
        <f>H189+H196+H225</f>
        <v>45854.7</v>
      </c>
    </row>
    <row r="189" spans="1:8" ht="24" customHeight="1" x14ac:dyDescent="0.35">
      <c r="A189" s="403"/>
      <c r="B189" s="426" t="s">
        <v>213</v>
      </c>
      <c r="C189" s="227" t="s">
        <v>47</v>
      </c>
      <c r="D189" s="228" t="s">
        <v>40</v>
      </c>
      <c r="E189" s="228" t="s">
        <v>38</v>
      </c>
      <c r="F189" s="229" t="s">
        <v>39</v>
      </c>
      <c r="G189" s="264"/>
      <c r="H189" s="242">
        <f>H190+H193</f>
        <v>800.7</v>
      </c>
    </row>
    <row r="190" spans="1:8" ht="18" x14ac:dyDescent="0.35">
      <c r="A190" s="403"/>
      <c r="B190" s="414" t="s">
        <v>265</v>
      </c>
      <c r="C190" s="227" t="s">
        <v>47</v>
      </c>
      <c r="D190" s="228" t="s">
        <v>40</v>
      </c>
      <c r="E190" s="228" t="s">
        <v>32</v>
      </c>
      <c r="F190" s="229" t="s">
        <v>39</v>
      </c>
      <c r="G190" s="264"/>
      <c r="H190" s="242">
        <f>H191</f>
        <v>171</v>
      </c>
    </row>
    <row r="191" spans="1:8" ht="36" x14ac:dyDescent="0.35">
      <c r="A191" s="403"/>
      <c r="B191" s="414" t="s">
        <v>266</v>
      </c>
      <c r="C191" s="227" t="s">
        <v>47</v>
      </c>
      <c r="D191" s="228" t="s">
        <v>40</v>
      </c>
      <c r="E191" s="228" t="s">
        <v>32</v>
      </c>
      <c r="F191" s="229" t="s">
        <v>267</v>
      </c>
      <c r="G191" s="41"/>
      <c r="H191" s="242">
        <f>H192</f>
        <v>171</v>
      </c>
    </row>
    <row r="192" spans="1:8" ht="22.5" customHeight="1" x14ac:dyDescent="0.35">
      <c r="A192" s="403"/>
      <c r="B192" s="414" t="s">
        <v>115</v>
      </c>
      <c r="C192" s="227" t="s">
        <v>47</v>
      </c>
      <c r="D192" s="228" t="s">
        <v>40</v>
      </c>
      <c r="E192" s="228" t="s">
        <v>32</v>
      </c>
      <c r="F192" s="229" t="s">
        <v>267</v>
      </c>
      <c r="G192" s="41" t="s">
        <v>116</v>
      </c>
      <c r="H192" s="242">
        <f>'прил9 (ведом 22)'!M610</f>
        <v>171</v>
      </c>
    </row>
    <row r="193" spans="1:8" ht="34.200000000000003" customHeight="1" x14ac:dyDescent="0.35">
      <c r="A193" s="403"/>
      <c r="B193" s="414" t="s">
        <v>280</v>
      </c>
      <c r="C193" s="227" t="s">
        <v>47</v>
      </c>
      <c r="D193" s="228" t="s">
        <v>40</v>
      </c>
      <c r="E193" s="228" t="s">
        <v>34</v>
      </c>
      <c r="F193" s="229" t="s">
        <v>39</v>
      </c>
      <c r="G193" s="41"/>
      <c r="H193" s="242">
        <f>H194</f>
        <v>629.70000000000005</v>
      </c>
    </row>
    <row r="194" spans="1:8" ht="42" customHeight="1" x14ac:dyDescent="0.35">
      <c r="A194" s="403"/>
      <c r="B194" s="414" t="s">
        <v>214</v>
      </c>
      <c r="C194" s="227" t="s">
        <v>47</v>
      </c>
      <c r="D194" s="228" t="s">
        <v>40</v>
      </c>
      <c r="E194" s="228" t="s">
        <v>34</v>
      </c>
      <c r="F194" s="229" t="s">
        <v>281</v>
      </c>
      <c r="G194" s="41"/>
      <c r="H194" s="242">
        <f>SUM(H195:H195)</f>
        <v>629.70000000000005</v>
      </c>
    </row>
    <row r="195" spans="1:8" ht="36" x14ac:dyDescent="0.35">
      <c r="A195" s="403"/>
      <c r="B195" s="414" t="s">
        <v>50</v>
      </c>
      <c r="C195" s="227" t="s">
        <v>47</v>
      </c>
      <c r="D195" s="228" t="s">
        <v>40</v>
      </c>
      <c r="E195" s="228" t="s">
        <v>34</v>
      </c>
      <c r="F195" s="229" t="s">
        <v>281</v>
      </c>
      <c r="G195" s="41" t="s">
        <v>51</v>
      </c>
      <c r="H195" s="242">
        <f>'прил9 (ведом 22)'!M641</f>
        <v>629.70000000000005</v>
      </c>
    </row>
    <row r="196" spans="1:8" ht="22.5" customHeight="1" x14ac:dyDescent="0.35">
      <c r="A196" s="403"/>
      <c r="B196" s="414" t="s">
        <v>215</v>
      </c>
      <c r="C196" s="227" t="s">
        <v>47</v>
      </c>
      <c r="D196" s="228" t="s">
        <v>84</v>
      </c>
      <c r="E196" s="228" t="s">
        <v>38</v>
      </c>
      <c r="F196" s="229" t="s">
        <v>39</v>
      </c>
      <c r="G196" s="264"/>
      <c r="H196" s="242">
        <f>H197+H202+H215+H218</f>
        <v>43979.7</v>
      </c>
    </row>
    <row r="197" spans="1:8" ht="36" x14ac:dyDescent="0.35">
      <c r="A197" s="403"/>
      <c r="B197" s="414" t="s">
        <v>270</v>
      </c>
      <c r="C197" s="227" t="s">
        <v>47</v>
      </c>
      <c r="D197" s="228" t="s">
        <v>84</v>
      </c>
      <c r="E197" s="228" t="s">
        <v>32</v>
      </c>
      <c r="F197" s="229" t="s">
        <v>39</v>
      </c>
      <c r="G197" s="41"/>
      <c r="H197" s="242">
        <f>H198</f>
        <v>2858.1</v>
      </c>
    </row>
    <row r="198" spans="1:8" ht="36" x14ac:dyDescent="0.35">
      <c r="A198" s="403"/>
      <c r="B198" s="414" t="s">
        <v>42</v>
      </c>
      <c r="C198" s="227" t="s">
        <v>47</v>
      </c>
      <c r="D198" s="228" t="s">
        <v>84</v>
      </c>
      <c r="E198" s="228" t="s">
        <v>32</v>
      </c>
      <c r="F198" s="229" t="s">
        <v>43</v>
      </c>
      <c r="G198" s="41"/>
      <c r="H198" s="242">
        <f>SUM(H199:H201)</f>
        <v>2858.1</v>
      </c>
    </row>
    <row r="199" spans="1:8" ht="90" x14ac:dyDescent="0.35">
      <c r="A199" s="403"/>
      <c r="B199" s="414" t="s">
        <v>44</v>
      </c>
      <c r="C199" s="227" t="s">
        <v>47</v>
      </c>
      <c r="D199" s="228" t="s">
        <v>84</v>
      </c>
      <c r="E199" s="228" t="s">
        <v>32</v>
      </c>
      <c r="F199" s="229" t="s">
        <v>43</v>
      </c>
      <c r="G199" s="41" t="s">
        <v>45</v>
      </c>
      <c r="H199" s="242">
        <f>'прил9 (ведом 22)'!M647</f>
        <v>2798.9</v>
      </c>
    </row>
    <row r="200" spans="1:8" ht="36" x14ac:dyDescent="0.35">
      <c r="A200" s="403"/>
      <c r="B200" s="414" t="s">
        <v>50</v>
      </c>
      <c r="C200" s="227" t="s">
        <v>47</v>
      </c>
      <c r="D200" s="228" t="s">
        <v>84</v>
      </c>
      <c r="E200" s="228" t="s">
        <v>32</v>
      </c>
      <c r="F200" s="229" t="s">
        <v>43</v>
      </c>
      <c r="G200" s="41" t="s">
        <v>51</v>
      </c>
      <c r="H200" s="242">
        <f>'прил9 (ведом 22)'!M648</f>
        <v>57.2</v>
      </c>
    </row>
    <row r="201" spans="1:8" ht="18" x14ac:dyDescent="0.35">
      <c r="A201" s="403"/>
      <c r="B201" s="414" t="s">
        <v>52</v>
      </c>
      <c r="C201" s="227" t="s">
        <v>47</v>
      </c>
      <c r="D201" s="228" t="s">
        <v>84</v>
      </c>
      <c r="E201" s="228" t="s">
        <v>32</v>
      </c>
      <c r="F201" s="229" t="s">
        <v>43</v>
      </c>
      <c r="G201" s="41" t="s">
        <v>53</v>
      </c>
      <c r="H201" s="242">
        <f>'прил9 (ведом 22)'!M649</f>
        <v>2</v>
      </c>
    </row>
    <row r="202" spans="1:8" ht="18" x14ac:dyDescent="0.35">
      <c r="A202" s="403"/>
      <c r="B202" s="414" t="s">
        <v>350</v>
      </c>
      <c r="C202" s="227" t="s">
        <v>47</v>
      </c>
      <c r="D202" s="228" t="s">
        <v>84</v>
      </c>
      <c r="E202" s="228" t="s">
        <v>34</v>
      </c>
      <c r="F202" s="229" t="s">
        <v>39</v>
      </c>
      <c r="G202" s="41"/>
      <c r="H202" s="242">
        <f>H203+H207+H213+H209+H211</f>
        <v>37075.599999999999</v>
      </c>
    </row>
    <row r="203" spans="1:8" ht="36" x14ac:dyDescent="0.35">
      <c r="A203" s="403"/>
      <c r="B203" s="414" t="s">
        <v>437</v>
      </c>
      <c r="C203" s="227" t="s">
        <v>47</v>
      </c>
      <c r="D203" s="228" t="s">
        <v>84</v>
      </c>
      <c r="E203" s="228" t="s">
        <v>34</v>
      </c>
      <c r="F203" s="229" t="s">
        <v>86</v>
      </c>
      <c r="G203" s="41"/>
      <c r="H203" s="242">
        <f>SUM(H204:H206)</f>
        <v>23966.3</v>
      </c>
    </row>
    <row r="204" spans="1:8" ht="90" x14ac:dyDescent="0.35">
      <c r="A204" s="403"/>
      <c r="B204" s="414" t="s">
        <v>44</v>
      </c>
      <c r="C204" s="227" t="s">
        <v>47</v>
      </c>
      <c r="D204" s="228" t="s">
        <v>84</v>
      </c>
      <c r="E204" s="228" t="s">
        <v>34</v>
      </c>
      <c r="F204" s="229" t="s">
        <v>86</v>
      </c>
      <c r="G204" s="41" t="s">
        <v>45</v>
      </c>
      <c r="H204" s="242">
        <f>'прил9 (ведом 22)'!M614</f>
        <v>18213.8</v>
      </c>
    </row>
    <row r="205" spans="1:8" ht="36" x14ac:dyDescent="0.35">
      <c r="A205" s="403"/>
      <c r="B205" s="414" t="s">
        <v>50</v>
      </c>
      <c r="C205" s="227" t="s">
        <v>47</v>
      </c>
      <c r="D205" s="228" t="s">
        <v>84</v>
      </c>
      <c r="E205" s="228" t="s">
        <v>34</v>
      </c>
      <c r="F205" s="229" t="s">
        <v>86</v>
      </c>
      <c r="G205" s="41" t="s">
        <v>51</v>
      </c>
      <c r="H205" s="242">
        <f>'прил9 (ведом 22)'!M615</f>
        <v>5686.2</v>
      </c>
    </row>
    <row r="206" spans="1:8" ht="18" x14ac:dyDescent="0.35">
      <c r="A206" s="403"/>
      <c r="B206" s="414" t="s">
        <v>52</v>
      </c>
      <c r="C206" s="227" t="s">
        <v>47</v>
      </c>
      <c r="D206" s="228" t="s">
        <v>84</v>
      </c>
      <c r="E206" s="228" t="s">
        <v>34</v>
      </c>
      <c r="F206" s="229" t="s">
        <v>86</v>
      </c>
      <c r="G206" s="41" t="s">
        <v>53</v>
      </c>
      <c r="H206" s="242">
        <f>'прил9 (ведом 22)'!M616</f>
        <v>66.3</v>
      </c>
    </row>
    <row r="207" spans="1:8" ht="18" x14ac:dyDescent="0.35">
      <c r="A207" s="403"/>
      <c r="B207" s="240" t="s">
        <v>438</v>
      </c>
      <c r="C207" s="227" t="s">
        <v>47</v>
      </c>
      <c r="D207" s="228" t="s">
        <v>84</v>
      </c>
      <c r="E207" s="228" t="s">
        <v>34</v>
      </c>
      <c r="F207" s="229" t="s">
        <v>376</v>
      </c>
      <c r="G207" s="41"/>
      <c r="H207" s="242">
        <f>H208</f>
        <v>5058.8</v>
      </c>
    </row>
    <row r="208" spans="1:8" ht="36" x14ac:dyDescent="0.35">
      <c r="A208" s="403"/>
      <c r="B208" s="240" t="s">
        <v>50</v>
      </c>
      <c r="C208" s="227" t="s">
        <v>47</v>
      </c>
      <c r="D208" s="228" t="s">
        <v>84</v>
      </c>
      <c r="E208" s="228" t="s">
        <v>34</v>
      </c>
      <c r="F208" s="229" t="s">
        <v>376</v>
      </c>
      <c r="G208" s="41" t="s">
        <v>51</v>
      </c>
      <c r="H208" s="242">
        <f>'прил9 (ведом 22)'!M618</f>
        <v>5058.8</v>
      </c>
    </row>
    <row r="209" spans="1:8" ht="36" x14ac:dyDescent="0.35">
      <c r="A209" s="403"/>
      <c r="B209" s="240" t="s">
        <v>214</v>
      </c>
      <c r="C209" s="227" t="s">
        <v>47</v>
      </c>
      <c r="D209" s="228" t="s">
        <v>84</v>
      </c>
      <c r="E209" s="228" t="s">
        <v>34</v>
      </c>
      <c r="F209" s="229" t="s">
        <v>281</v>
      </c>
      <c r="G209" s="41"/>
      <c r="H209" s="242">
        <f>H210</f>
        <v>6801.2</v>
      </c>
    </row>
    <row r="210" spans="1:8" ht="36" x14ac:dyDescent="0.35">
      <c r="A210" s="403"/>
      <c r="B210" s="240" t="s">
        <v>50</v>
      </c>
      <c r="C210" s="227" t="s">
        <v>47</v>
      </c>
      <c r="D210" s="228" t="s">
        <v>84</v>
      </c>
      <c r="E210" s="228" t="s">
        <v>34</v>
      </c>
      <c r="F210" s="229" t="s">
        <v>281</v>
      </c>
      <c r="G210" s="41" t="s">
        <v>51</v>
      </c>
      <c r="H210" s="242">
        <f>'прил9 (ведом 22)'!M620</f>
        <v>6801.2</v>
      </c>
    </row>
    <row r="211" spans="1:8" ht="180" x14ac:dyDescent="0.35">
      <c r="A211" s="403"/>
      <c r="B211" s="240" t="s">
        <v>414</v>
      </c>
      <c r="C211" s="227" t="s">
        <v>47</v>
      </c>
      <c r="D211" s="228" t="s">
        <v>84</v>
      </c>
      <c r="E211" s="228" t="s">
        <v>34</v>
      </c>
      <c r="F211" s="229" t="s">
        <v>389</v>
      </c>
      <c r="G211" s="41"/>
      <c r="H211" s="242">
        <f>H212</f>
        <v>250</v>
      </c>
    </row>
    <row r="212" spans="1:8" ht="90" x14ac:dyDescent="0.35">
      <c r="A212" s="403"/>
      <c r="B212" s="240" t="s">
        <v>44</v>
      </c>
      <c r="C212" s="227" t="s">
        <v>47</v>
      </c>
      <c r="D212" s="228" t="s">
        <v>84</v>
      </c>
      <c r="E212" s="228" t="s">
        <v>34</v>
      </c>
      <c r="F212" s="229" t="s">
        <v>389</v>
      </c>
      <c r="G212" s="41" t="s">
        <v>45</v>
      </c>
      <c r="H212" s="242">
        <f>'прил9 (ведом 22)'!M622</f>
        <v>250</v>
      </c>
    </row>
    <row r="213" spans="1:8" ht="58.2" customHeight="1" x14ac:dyDescent="0.35">
      <c r="A213" s="403"/>
      <c r="B213" s="240" t="s">
        <v>416</v>
      </c>
      <c r="C213" s="227" t="s">
        <v>47</v>
      </c>
      <c r="D213" s="228" t="s">
        <v>84</v>
      </c>
      <c r="E213" s="228" t="s">
        <v>34</v>
      </c>
      <c r="F213" s="229" t="s">
        <v>398</v>
      </c>
      <c r="G213" s="41"/>
      <c r="H213" s="242">
        <f>H214</f>
        <v>999.3</v>
      </c>
    </row>
    <row r="214" spans="1:8" ht="90" x14ac:dyDescent="0.35">
      <c r="A214" s="403"/>
      <c r="B214" s="240" t="s">
        <v>44</v>
      </c>
      <c r="C214" s="227" t="s">
        <v>47</v>
      </c>
      <c r="D214" s="228" t="s">
        <v>84</v>
      </c>
      <c r="E214" s="228" t="s">
        <v>34</v>
      </c>
      <c r="F214" s="229" t="s">
        <v>398</v>
      </c>
      <c r="G214" s="41" t="s">
        <v>45</v>
      </c>
      <c r="H214" s="242">
        <f>'прил9 (ведом 22)'!M624</f>
        <v>999.3</v>
      </c>
    </row>
    <row r="215" spans="1:8" ht="36" x14ac:dyDescent="0.35">
      <c r="A215" s="403"/>
      <c r="B215" s="240" t="s">
        <v>340</v>
      </c>
      <c r="C215" s="227" t="s">
        <v>47</v>
      </c>
      <c r="D215" s="228" t="s">
        <v>84</v>
      </c>
      <c r="E215" s="228" t="s">
        <v>58</v>
      </c>
      <c r="F215" s="229" t="s">
        <v>39</v>
      </c>
      <c r="G215" s="41"/>
      <c r="H215" s="242">
        <f>H216</f>
        <v>35.6</v>
      </c>
    </row>
    <row r="216" spans="1:8" ht="54" x14ac:dyDescent="0.35">
      <c r="A216" s="403"/>
      <c r="B216" s="437" t="s">
        <v>341</v>
      </c>
      <c r="C216" s="227" t="s">
        <v>47</v>
      </c>
      <c r="D216" s="228" t="s">
        <v>84</v>
      </c>
      <c r="E216" s="228" t="s">
        <v>58</v>
      </c>
      <c r="F216" s="229" t="s">
        <v>100</v>
      </c>
      <c r="G216" s="41"/>
      <c r="H216" s="242">
        <f>H217</f>
        <v>35.6</v>
      </c>
    </row>
    <row r="217" spans="1:8" ht="36" x14ac:dyDescent="0.35">
      <c r="A217" s="403"/>
      <c r="B217" s="240" t="s">
        <v>50</v>
      </c>
      <c r="C217" s="227" t="s">
        <v>47</v>
      </c>
      <c r="D217" s="228" t="s">
        <v>84</v>
      </c>
      <c r="E217" s="228" t="s">
        <v>58</v>
      </c>
      <c r="F217" s="229" t="s">
        <v>100</v>
      </c>
      <c r="G217" s="41" t="s">
        <v>51</v>
      </c>
      <c r="H217" s="242">
        <f>'прил9 (ведом 22)'!M603</f>
        <v>35.6</v>
      </c>
    </row>
    <row r="218" spans="1:8" ht="18" x14ac:dyDescent="0.35">
      <c r="A218" s="403"/>
      <c r="B218" s="30" t="s">
        <v>555</v>
      </c>
      <c r="C218" s="583" t="s">
        <v>47</v>
      </c>
      <c r="D218" s="584" t="s">
        <v>84</v>
      </c>
      <c r="E218" s="584" t="s">
        <v>47</v>
      </c>
      <c r="F218" s="585" t="s">
        <v>39</v>
      </c>
      <c r="G218" s="16"/>
      <c r="H218" s="242">
        <f>H219+H223</f>
        <v>4010.4</v>
      </c>
    </row>
    <row r="219" spans="1:8" ht="36" x14ac:dyDescent="0.35">
      <c r="A219" s="403"/>
      <c r="B219" s="30" t="s">
        <v>437</v>
      </c>
      <c r="C219" s="583" t="s">
        <v>47</v>
      </c>
      <c r="D219" s="584" t="s">
        <v>84</v>
      </c>
      <c r="E219" s="584" t="s">
        <v>47</v>
      </c>
      <c r="F219" s="585" t="s">
        <v>86</v>
      </c>
      <c r="G219" s="16"/>
      <c r="H219" s="242">
        <f>H220+H221+H222</f>
        <v>3216.8</v>
      </c>
    </row>
    <row r="220" spans="1:8" ht="90" x14ac:dyDescent="0.35">
      <c r="A220" s="403"/>
      <c r="B220" s="30" t="s">
        <v>44</v>
      </c>
      <c r="C220" s="583" t="s">
        <v>47</v>
      </c>
      <c r="D220" s="584" t="s">
        <v>84</v>
      </c>
      <c r="E220" s="584" t="s">
        <v>47</v>
      </c>
      <c r="F220" s="585" t="s">
        <v>86</v>
      </c>
      <c r="G220" s="16" t="s">
        <v>45</v>
      </c>
      <c r="H220" s="242">
        <f>'прил9 (ведом 22)'!M627</f>
        <v>1779.7</v>
      </c>
    </row>
    <row r="221" spans="1:8" ht="36" x14ac:dyDescent="0.35">
      <c r="A221" s="403"/>
      <c r="B221" s="30" t="s">
        <v>50</v>
      </c>
      <c r="C221" s="583" t="s">
        <v>47</v>
      </c>
      <c r="D221" s="584" t="s">
        <v>84</v>
      </c>
      <c r="E221" s="584" t="s">
        <v>47</v>
      </c>
      <c r="F221" s="585" t="s">
        <v>86</v>
      </c>
      <c r="G221" s="16" t="s">
        <v>51</v>
      </c>
      <c r="H221" s="242">
        <f>'прил9 (ведом 22)'!M628</f>
        <v>1313.8</v>
      </c>
    </row>
    <row r="222" spans="1:8" ht="18" x14ac:dyDescent="0.35">
      <c r="A222" s="403"/>
      <c r="B222" s="30" t="s">
        <v>52</v>
      </c>
      <c r="C222" s="583" t="s">
        <v>47</v>
      </c>
      <c r="D222" s="584" t="s">
        <v>84</v>
      </c>
      <c r="E222" s="584" t="s">
        <v>47</v>
      </c>
      <c r="F222" s="585" t="s">
        <v>86</v>
      </c>
      <c r="G222" s="16" t="s">
        <v>53</v>
      </c>
      <c r="H222" s="242">
        <f>'прил9 (ведом 22)'!M629</f>
        <v>123.3</v>
      </c>
    </row>
    <row r="223" spans="1:8" ht="36" x14ac:dyDescent="0.35">
      <c r="A223" s="403"/>
      <c r="B223" s="30" t="s">
        <v>214</v>
      </c>
      <c r="C223" s="583" t="s">
        <v>47</v>
      </c>
      <c r="D223" s="584" t="s">
        <v>84</v>
      </c>
      <c r="E223" s="584" t="s">
        <v>47</v>
      </c>
      <c r="F223" s="585" t="s">
        <v>281</v>
      </c>
      <c r="G223" s="16"/>
      <c r="H223" s="242">
        <f>H224</f>
        <v>793.6</v>
      </c>
    </row>
    <row r="224" spans="1:8" ht="36" x14ac:dyDescent="0.35">
      <c r="A224" s="403"/>
      <c r="B224" s="30" t="s">
        <v>50</v>
      </c>
      <c r="C224" s="583" t="s">
        <v>47</v>
      </c>
      <c r="D224" s="584" t="s">
        <v>84</v>
      </c>
      <c r="E224" s="584" t="s">
        <v>47</v>
      </c>
      <c r="F224" s="585" t="s">
        <v>281</v>
      </c>
      <c r="G224" s="16" t="s">
        <v>51</v>
      </c>
      <c r="H224" s="242">
        <f>'прил9 (ведом 22)'!M631</f>
        <v>793.6</v>
      </c>
    </row>
    <row r="225" spans="1:8" ht="18" x14ac:dyDescent="0.35">
      <c r="A225" s="403"/>
      <c r="B225" s="240" t="s">
        <v>328</v>
      </c>
      <c r="C225" s="227" t="s">
        <v>47</v>
      </c>
      <c r="D225" s="228" t="s">
        <v>26</v>
      </c>
      <c r="E225" s="228" t="s">
        <v>38</v>
      </c>
      <c r="F225" s="229" t="s">
        <v>39</v>
      </c>
      <c r="G225" s="41"/>
      <c r="H225" s="242">
        <f>H226</f>
        <v>1074.3</v>
      </c>
    </row>
    <row r="226" spans="1:8" ht="59.25" customHeight="1" x14ac:dyDescent="0.35">
      <c r="A226" s="403"/>
      <c r="B226" s="240" t="s">
        <v>399</v>
      </c>
      <c r="C226" s="227" t="s">
        <v>47</v>
      </c>
      <c r="D226" s="228" t="s">
        <v>26</v>
      </c>
      <c r="E226" s="228" t="s">
        <v>58</v>
      </c>
      <c r="F226" s="229" t="s">
        <v>39</v>
      </c>
      <c r="G226" s="41"/>
      <c r="H226" s="242">
        <f>H227</f>
        <v>1074.3</v>
      </c>
    </row>
    <row r="227" spans="1:8" ht="41.25" customHeight="1" x14ac:dyDescent="0.35">
      <c r="A227" s="403"/>
      <c r="B227" s="240" t="s">
        <v>214</v>
      </c>
      <c r="C227" s="227" t="s">
        <v>47</v>
      </c>
      <c r="D227" s="228" t="s">
        <v>26</v>
      </c>
      <c r="E227" s="228" t="s">
        <v>58</v>
      </c>
      <c r="F227" s="229" t="s">
        <v>281</v>
      </c>
      <c r="G227" s="41"/>
      <c r="H227" s="242">
        <f>H228</f>
        <v>1074.3</v>
      </c>
    </row>
    <row r="228" spans="1:8" ht="35.25" customHeight="1" x14ac:dyDescent="0.35">
      <c r="A228" s="403"/>
      <c r="B228" s="240" t="s">
        <v>198</v>
      </c>
      <c r="C228" s="227" t="s">
        <v>47</v>
      </c>
      <c r="D228" s="228" t="s">
        <v>26</v>
      </c>
      <c r="E228" s="228" t="s">
        <v>58</v>
      </c>
      <c r="F228" s="229" t="s">
        <v>281</v>
      </c>
      <c r="G228" s="41" t="s">
        <v>199</v>
      </c>
      <c r="H228" s="242">
        <f>'прил9 (ведом 22)'!M360+'прил9 (ведом 22)'!M635</f>
        <v>1074.3</v>
      </c>
    </row>
    <row r="229" spans="1:8" s="413" customFormat="1" ht="52.2" x14ac:dyDescent="0.3">
      <c r="A229" s="423">
        <v>4</v>
      </c>
      <c r="B229" s="339" t="s">
        <v>216</v>
      </c>
      <c r="C229" s="410" t="s">
        <v>60</v>
      </c>
      <c r="D229" s="410" t="s">
        <v>37</v>
      </c>
      <c r="E229" s="410" t="s">
        <v>38</v>
      </c>
      <c r="F229" s="411" t="s">
        <v>39</v>
      </c>
      <c r="G229" s="412"/>
      <c r="H229" s="289">
        <f>H230+H238</f>
        <v>7545.8000000000011</v>
      </c>
    </row>
    <row r="230" spans="1:8" s="413" customFormat="1" ht="18" x14ac:dyDescent="0.35">
      <c r="A230" s="403"/>
      <c r="B230" s="414" t="s">
        <v>217</v>
      </c>
      <c r="C230" s="227" t="s">
        <v>60</v>
      </c>
      <c r="D230" s="228" t="s">
        <v>40</v>
      </c>
      <c r="E230" s="228" t="s">
        <v>38</v>
      </c>
      <c r="F230" s="229" t="s">
        <v>39</v>
      </c>
      <c r="G230" s="264"/>
      <c r="H230" s="242">
        <f>H231</f>
        <v>4026.5</v>
      </c>
    </row>
    <row r="231" spans="1:8" s="413" customFormat="1" ht="72" x14ac:dyDescent="0.35">
      <c r="A231" s="403"/>
      <c r="B231" s="414" t="s">
        <v>276</v>
      </c>
      <c r="C231" s="227" t="s">
        <v>60</v>
      </c>
      <c r="D231" s="228" t="s">
        <v>40</v>
      </c>
      <c r="E231" s="228" t="s">
        <v>32</v>
      </c>
      <c r="F231" s="229" t="s">
        <v>39</v>
      </c>
      <c r="G231" s="41"/>
      <c r="H231" s="242">
        <f>H232+H236</f>
        <v>4026.5</v>
      </c>
    </row>
    <row r="232" spans="1:8" ht="36" x14ac:dyDescent="0.35">
      <c r="A232" s="403"/>
      <c r="B232" s="414" t="s">
        <v>437</v>
      </c>
      <c r="C232" s="227" t="s">
        <v>60</v>
      </c>
      <c r="D232" s="228" t="s">
        <v>40</v>
      </c>
      <c r="E232" s="228" t="s">
        <v>32</v>
      </c>
      <c r="F232" s="229" t="s">
        <v>86</v>
      </c>
      <c r="G232" s="41"/>
      <c r="H232" s="242">
        <f>H233+H234+H235</f>
        <v>3591.2</v>
      </c>
    </row>
    <row r="233" spans="1:8" ht="90" x14ac:dyDescent="0.35">
      <c r="A233" s="403"/>
      <c r="B233" s="414" t="s">
        <v>44</v>
      </c>
      <c r="C233" s="227" t="s">
        <v>60</v>
      </c>
      <c r="D233" s="228" t="s">
        <v>40</v>
      </c>
      <c r="E233" s="228" t="s">
        <v>32</v>
      </c>
      <c r="F233" s="229" t="s">
        <v>86</v>
      </c>
      <c r="G233" s="41" t="s">
        <v>45</v>
      </c>
      <c r="H233" s="242">
        <f>'прил9 (ведом 22)'!M671</f>
        <v>3276.8</v>
      </c>
    </row>
    <row r="234" spans="1:8" ht="36" x14ac:dyDescent="0.35">
      <c r="A234" s="403"/>
      <c r="B234" s="414" t="s">
        <v>50</v>
      </c>
      <c r="C234" s="227" t="s">
        <v>60</v>
      </c>
      <c r="D234" s="228" t="s">
        <v>40</v>
      </c>
      <c r="E234" s="228" t="s">
        <v>32</v>
      </c>
      <c r="F234" s="229" t="s">
        <v>86</v>
      </c>
      <c r="G234" s="41" t="s">
        <v>51</v>
      </c>
      <c r="H234" s="242">
        <f>'прил9 (ведом 22)'!M672</f>
        <v>311.7</v>
      </c>
    </row>
    <row r="235" spans="1:8" ht="18" x14ac:dyDescent="0.35">
      <c r="A235" s="403"/>
      <c r="B235" s="240" t="s">
        <v>52</v>
      </c>
      <c r="C235" s="227" t="s">
        <v>60</v>
      </c>
      <c r="D235" s="228" t="s">
        <v>40</v>
      </c>
      <c r="E235" s="228" t="s">
        <v>32</v>
      </c>
      <c r="F235" s="229" t="s">
        <v>86</v>
      </c>
      <c r="G235" s="41" t="s">
        <v>53</v>
      </c>
      <c r="H235" s="242">
        <f>'прил9 (ведом 22)'!M673</f>
        <v>2.7</v>
      </c>
    </row>
    <row r="236" spans="1:8" ht="36" x14ac:dyDescent="0.35">
      <c r="A236" s="403"/>
      <c r="B236" s="414" t="s">
        <v>277</v>
      </c>
      <c r="C236" s="227" t="s">
        <v>60</v>
      </c>
      <c r="D236" s="228" t="s">
        <v>40</v>
      </c>
      <c r="E236" s="228" t="s">
        <v>32</v>
      </c>
      <c r="F236" s="229" t="s">
        <v>278</v>
      </c>
      <c r="G236" s="41"/>
      <c r="H236" s="242">
        <f>H237</f>
        <v>435.3</v>
      </c>
    </row>
    <row r="237" spans="1:8" ht="36" x14ac:dyDescent="0.35">
      <c r="A237" s="403"/>
      <c r="B237" s="414" t="s">
        <v>50</v>
      </c>
      <c r="C237" s="227" t="s">
        <v>60</v>
      </c>
      <c r="D237" s="228" t="s">
        <v>40</v>
      </c>
      <c r="E237" s="228" t="s">
        <v>32</v>
      </c>
      <c r="F237" s="229" t="s">
        <v>278</v>
      </c>
      <c r="G237" s="41" t="s">
        <v>51</v>
      </c>
      <c r="H237" s="242">
        <f>'прил9 (ведом 22)'!M675</f>
        <v>435.3</v>
      </c>
    </row>
    <row r="238" spans="1:8" s="413" customFormat="1" ht="21" customHeight="1" x14ac:dyDescent="0.35">
      <c r="A238" s="403"/>
      <c r="B238" s="414" t="s">
        <v>215</v>
      </c>
      <c r="C238" s="227" t="s">
        <v>60</v>
      </c>
      <c r="D238" s="228" t="s">
        <v>84</v>
      </c>
      <c r="E238" s="228" t="s">
        <v>38</v>
      </c>
      <c r="F238" s="229" t="s">
        <v>39</v>
      </c>
      <c r="G238" s="41"/>
      <c r="H238" s="242">
        <f>H239+H244+H247+H250</f>
        <v>3519.3000000000006</v>
      </c>
    </row>
    <row r="239" spans="1:8" s="413" customFormat="1" ht="36" x14ac:dyDescent="0.35">
      <c r="A239" s="403"/>
      <c r="B239" s="414" t="s">
        <v>270</v>
      </c>
      <c r="C239" s="227" t="s">
        <v>60</v>
      </c>
      <c r="D239" s="228" t="s">
        <v>84</v>
      </c>
      <c r="E239" s="228" t="s">
        <v>32</v>
      </c>
      <c r="F239" s="229" t="s">
        <v>39</v>
      </c>
      <c r="G239" s="41"/>
      <c r="H239" s="242">
        <f>H240</f>
        <v>3396.6000000000004</v>
      </c>
    </row>
    <row r="240" spans="1:8" s="413" customFormat="1" ht="36" x14ac:dyDescent="0.35">
      <c r="A240" s="403"/>
      <c r="B240" s="414" t="s">
        <v>42</v>
      </c>
      <c r="C240" s="227" t="s">
        <v>60</v>
      </c>
      <c r="D240" s="228" t="s">
        <v>84</v>
      </c>
      <c r="E240" s="228" t="s">
        <v>32</v>
      </c>
      <c r="F240" s="229" t="s">
        <v>43</v>
      </c>
      <c r="G240" s="41"/>
      <c r="H240" s="242">
        <f>SUM(H241:H243)</f>
        <v>3396.6000000000004</v>
      </c>
    </row>
    <row r="241" spans="1:8" s="413" customFormat="1" ht="90" x14ac:dyDescent="0.35">
      <c r="A241" s="403"/>
      <c r="B241" s="414" t="s">
        <v>44</v>
      </c>
      <c r="C241" s="227" t="s">
        <v>60</v>
      </c>
      <c r="D241" s="228" t="s">
        <v>84</v>
      </c>
      <c r="E241" s="228" t="s">
        <v>32</v>
      </c>
      <c r="F241" s="229" t="s">
        <v>43</v>
      </c>
      <c r="G241" s="41" t="s">
        <v>45</v>
      </c>
      <c r="H241" s="242">
        <f>'прил9 (ведом 22)'!M681</f>
        <v>3045.5</v>
      </c>
    </row>
    <row r="242" spans="1:8" ht="36" x14ac:dyDescent="0.35">
      <c r="A242" s="403"/>
      <c r="B242" s="414" t="s">
        <v>50</v>
      </c>
      <c r="C242" s="227" t="s">
        <v>60</v>
      </c>
      <c r="D242" s="228" t="s">
        <v>84</v>
      </c>
      <c r="E242" s="228" t="s">
        <v>32</v>
      </c>
      <c r="F242" s="229" t="s">
        <v>43</v>
      </c>
      <c r="G242" s="41" t="s">
        <v>51</v>
      </c>
      <c r="H242" s="242">
        <f>'прил9 (ведом 22)'!M682</f>
        <v>349.8</v>
      </c>
    </row>
    <row r="243" spans="1:8" ht="18" x14ac:dyDescent="0.35">
      <c r="A243" s="403"/>
      <c r="B243" s="414" t="s">
        <v>52</v>
      </c>
      <c r="C243" s="227" t="s">
        <v>60</v>
      </c>
      <c r="D243" s="228" t="s">
        <v>84</v>
      </c>
      <c r="E243" s="228" t="s">
        <v>32</v>
      </c>
      <c r="F243" s="229" t="s">
        <v>43</v>
      </c>
      <c r="G243" s="41" t="s">
        <v>53</v>
      </c>
      <c r="H243" s="242">
        <f>'прил9 (ведом 22)'!M683</f>
        <v>1.3</v>
      </c>
    </row>
    <row r="244" spans="1:8" ht="36" x14ac:dyDescent="0.35">
      <c r="A244" s="403"/>
      <c r="B244" s="437" t="s">
        <v>340</v>
      </c>
      <c r="C244" s="228" t="s">
        <v>60</v>
      </c>
      <c r="D244" s="228" t="s">
        <v>84</v>
      </c>
      <c r="E244" s="228" t="s">
        <v>34</v>
      </c>
      <c r="F244" s="229" t="s">
        <v>39</v>
      </c>
      <c r="G244" s="41"/>
      <c r="H244" s="242">
        <f>H245</f>
        <v>65.400000000000006</v>
      </c>
    </row>
    <row r="245" spans="1:8" ht="54" x14ac:dyDescent="0.35">
      <c r="A245" s="403"/>
      <c r="B245" s="437" t="s">
        <v>341</v>
      </c>
      <c r="C245" s="227" t="s">
        <v>60</v>
      </c>
      <c r="D245" s="228" t="s">
        <v>84</v>
      </c>
      <c r="E245" s="228" t="s">
        <v>34</v>
      </c>
      <c r="F245" s="229" t="s">
        <v>100</v>
      </c>
      <c r="G245" s="41"/>
      <c r="H245" s="242">
        <f>H246</f>
        <v>65.400000000000006</v>
      </c>
    </row>
    <row r="246" spans="1:8" ht="36" x14ac:dyDescent="0.35">
      <c r="A246" s="403"/>
      <c r="B246" s="437" t="s">
        <v>50</v>
      </c>
      <c r="C246" s="227" t="s">
        <v>60</v>
      </c>
      <c r="D246" s="228" t="s">
        <v>84</v>
      </c>
      <c r="E246" s="228" t="s">
        <v>34</v>
      </c>
      <c r="F246" s="229" t="s">
        <v>100</v>
      </c>
      <c r="G246" s="41" t="s">
        <v>51</v>
      </c>
      <c r="H246" s="242">
        <f>'прил9 (ведом 22)'!M658</f>
        <v>65.400000000000006</v>
      </c>
    </row>
    <row r="247" spans="1:8" ht="36" x14ac:dyDescent="0.35">
      <c r="A247" s="403"/>
      <c r="B247" s="240" t="s">
        <v>441</v>
      </c>
      <c r="C247" s="228" t="s">
        <v>60</v>
      </c>
      <c r="D247" s="228" t="s">
        <v>84</v>
      </c>
      <c r="E247" s="228" t="s">
        <v>58</v>
      </c>
      <c r="F247" s="229" t="s">
        <v>39</v>
      </c>
      <c r="G247" s="41"/>
      <c r="H247" s="242">
        <f>H248</f>
        <v>14.8</v>
      </c>
    </row>
    <row r="248" spans="1:8" ht="18" x14ac:dyDescent="0.35">
      <c r="A248" s="403"/>
      <c r="B248" s="240" t="s">
        <v>439</v>
      </c>
      <c r="C248" s="228" t="s">
        <v>60</v>
      </c>
      <c r="D248" s="228" t="s">
        <v>84</v>
      </c>
      <c r="E248" s="228" t="s">
        <v>58</v>
      </c>
      <c r="F248" s="229" t="s">
        <v>440</v>
      </c>
      <c r="G248" s="41"/>
      <c r="H248" s="242">
        <f>H249</f>
        <v>14.8</v>
      </c>
    </row>
    <row r="249" spans="1:8" ht="36" x14ac:dyDescent="0.35">
      <c r="A249" s="403"/>
      <c r="B249" s="437" t="s">
        <v>50</v>
      </c>
      <c r="C249" s="228" t="s">
        <v>60</v>
      </c>
      <c r="D249" s="228" t="s">
        <v>84</v>
      </c>
      <c r="E249" s="228" t="s">
        <v>58</v>
      </c>
      <c r="F249" s="229" t="s">
        <v>440</v>
      </c>
      <c r="G249" s="41" t="s">
        <v>51</v>
      </c>
      <c r="H249" s="242">
        <f>'прил9 (ведом 22)'!M661</f>
        <v>14.8</v>
      </c>
    </row>
    <row r="250" spans="1:8" ht="36" x14ac:dyDescent="0.35">
      <c r="A250" s="403"/>
      <c r="B250" s="437" t="s">
        <v>445</v>
      </c>
      <c r="C250" s="228" t="s">
        <v>60</v>
      </c>
      <c r="D250" s="228" t="s">
        <v>84</v>
      </c>
      <c r="E250" s="228" t="s">
        <v>47</v>
      </c>
      <c r="F250" s="578" t="s">
        <v>39</v>
      </c>
      <c r="G250" s="264"/>
      <c r="H250" s="242">
        <f>H251</f>
        <v>42.5</v>
      </c>
    </row>
    <row r="251" spans="1:8" ht="36" x14ac:dyDescent="0.35">
      <c r="A251" s="403"/>
      <c r="B251" s="438" t="s">
        <v>122</v>
      </c>
      <c r="C251" s="228" t="s">
        <v>60</v>
      </c>
      <c r="D251" s="228" t="s">
        <v>84</v>
      </c>
      <c r="E251" s="228" t="s">
        <v>47</v>
      </c>
      <c r="F251" s="439" t="s">
        <v>85</v>
      </c>
      <c r="G251" s="264"/>
      <c r="H251" s="242">
        <f>H252</f>
        <v>42.5</v>
      </c>
    </row>
    <row r="252" spans="1:8" ht="36" x14ac:dyDescent="0.35">
      <c r="A252" s="403"/>
      <c r="B252" s="437" t="s">
        <v>50</v>
      </c>
      <c r="C252" s="228" t="s">
        <v>60</v>
      </c>
      <c r="D252" s="228" t="s">
        <v>84</v>
      </c>
      <c r="E252" s="228" t="s">
        <v>47</v>
      </c>
      <c r="F252" s="578" t="s">
        <v>85</v>
      </c>
      <c r="G252" s="264" t="s">
        <v>51</v>
      </c>
      <c r="H252" s="242">
        <f>'прил9 (ведом 22)'!M664</f>
        <v>42.5</v>
      </c>
    </row>
    <row r="253" spans="1:8" ht="18" x14ac:dyDescent="0.35">
      <c r="A253" s="403"/>
      <c r="B253" s="437"/>
      <c r="C253" s="227"/>
      <c r="D253" s="228"/>
      <c r="E253" s="228"/>
      <c r="F253" s="578"/>
      <c r="G253" s="264"/>
      <c r="H253" s="242"/>
    </row>
    <row r="254" spans="1:8" s="413" customFormat="1" ht="52.2" x14ac:dyDescent="0.3">
      <c r="A254" s="423">
        <v>5</v>
      </c>
      <c r="B254" s="339" t="s">
        <v>75</v>
      </c>
      <c r="C254" s="424" t="s">
        <v>76</v>
      </c>
      <c r="D254" s="424" t="s">
        <v>37</v>
      </c>
      <c r="E254" s="424" t="s">
        <v>38</v>
      </c>
      <c r="F254" s="425" t="s">
        <v>39</v>
      </c>
      <c r="G254" s="412"/>
      <c r="H254" s="289">
        <f>H265+H255+H277+H283</f>
        <v>27686.899999999998</v>
      </c>
    </row>
    <row r="255" spans="1:8" ht="54" x14ac:dyDescent="0.35">
      <c r="A255" s="403"/>
      <c r="B255" s="426" t="s">
        <v>77</v>
      </c>
      <c r="C255" s="227" t="s">
        <v>76</v>
      </c>
      <c r="D255" s="228" t="s">
        <v>40</v>
      </c>
      <c r="E255" s="228" t="s">
        <v>38</v>
      </c>
      <c r="F255" s="229" t="s">
        <v>39</v>
      </c>
      <c r="G255" s="264"/>
      <c r="H255" s="242">
        <f>H256</f>
        <v>3610.0000000000005</v>
      </c>
    </row>
    <row r="256" spans="1:8" ht="72" x14ac:dyDescent="0.35">
      <c r="A256" s="403"/>
      <c r="B256" s="414" t="s">
        <v>78</v>
      </c>
      <c r="C256" s="227" t="s">
        <v>76</v>
      </c>
      <c r="D256" s="228" t="s">
        <v>40</v>
      </c>
      <c r="E256" s="228" t="s">
        <v>32</v>
      </c>
      <c r="F256" s="229" t="s">
        <v>39</v>
      </c>
      <c r="G256" s="41"/>
      <c r="H256" s="242">
        <f>H257+H259+H261+H263</f>
        <v>3610.0000000000005</v>
      </c>
    </row>
    <row r="257" spans="1:8" ht="36" x14ac:dyDescent="0.35">
      <c r="A257" s="403"/>
      <c r="B257" s="426" t="s">
        <v>428</v>
      </c>
      <c r="C257" s="227" t="s">
        <v>76</v>
      </c>
      <c r="D257" s="228" t="s">
        <v>40</v>
      </c>
      <c r="E257" s="228" t="s">
        <v>32</v>
      </c>
      <c r="F257" s="229" t="s">
        <v>79</v>
      </c>
      <c r="G257" s="41"/>
      <c r="H257" s="242">
        <f>H258</f>
        <v>298.39999999999998</v>
      </c>
    </row>
    <row r="258" spans="1:8" ht="36" x14ac:dyDescent="0.35">
      <c r="A258" s="403"/>
      <c r="B258" s="414" t="s">
        <v>50</v>
      </c>
      <c r="C258" s="227" t="s">
        <v>76</v>
      </c>
      <c r="D258" s="228" t="s">
        <v>40</v>
      </c>
      <c r="E258" s="228" t="s">
        <v>32</v>
      </c>
      <c r="F258" s="229" t="s">
        <v>79</v>
      </c>
      <c r="G258" s="41" t="s">
        <v>51</v>
      </c>
      <c r="H258" s="242">
        <f>'прил9 (ведом 22)'!M97</f>
        <v>298.39999999999998</v>
      </c>
    </row>
    <row r="259" spans="1:8" ht="36" x14ac:dyDescent="0.35">
      <c r="A259" s="403"/>
      <c r="B259" s="414" t="s">
        <v>80</v>
      </c>
      <c r="C259" s="227" t="s">
        <v>76</v>
      </c>
      <c r="D259" s="228" t="s">
        <v>40</v>
      </c>
      <c r="E259" s="228" t="s">
        <v>32</v>
      </c>
      <c r="F259" s="229" t="s">
        <v>81</v>
      </c>
      <c r="G259" s="41"/>
      <c r="H259" s="242">
        <f>H260</f>
        <v>223.9</v>
      </c>
    </row>
    <row r="260" spans="1:8" ht="36" x14ac:dyDescent="0.35">
      <c r="A260" s="403"/>
      <c r="B260" s="414" t="s">
        <v>50</v>
      </c>
      <c r="C260" s="227" t="s">
        <v>76</v>
      </c>
      <c r="D260" s="228" t="s">
        <v>40</v>
      </c>
      <c r="E260" s="228" t="s">
        <v>32</v>
      </c>
      <c r="F260" s="229" t="s">
        <v>81</v>
      </c>
      <c r="G260" s="41" t="s">
        <v>51</v>
      </c>
      <c r="H260" s="242">
        <f>'прил9 (ведом 22)'!M99</f>
        <v>223.9</v>
      </c>
    </row>
    <row r="261" spans="1:8" ht="87" customHeight="1" x14ac:dyDescent="0.35">
      <c r="A261" s="403"/>
      <c r="B261" s="414" t="s">
        <v>329</v>
      </c>
      <c r="C261" s="227" t="s">
        <v>76</v>
      </c>
      <c r="D261" s="228" t="s">
        <v>40</v>
      </c>
      <c r="E261" s="228" t="s">
        <v>32</v>
      </c>
      <c r="F261" s="229" t="s">
        <v>317</v>
      </c>
      <c r="G261" s="41"/>
      <c r="H261" s="242">
        <f>H262</f>
        <v>3075.3</v>
      </c>
    </row>
    <row r="262" spans="1:8" ht="18" x14ac:dyDescent="0.35">
      <c r="A262" s="403"/>
      <c r="B262" s="414" t="s">
        <v>118</v>
      </c>
      <c r="C262" s="227" t="s">
        <v>76</v>
      </c>
      <c r="D262" s="228" t="s">
        <v>40</v>
      </c>
      <c r="E262" s="228" t="s">
        <v>32</v>
      </c>
      <c r="F262" s="229" t="s">
        <v>317</v>
      </c>
      <c r="G262" s="41" t="s">
        <v>119</v>
      </c>
      <c r="H262" s="242">
        <f>'прил9 (ведом 22)'!M101</f>
        <v>3075.3</v>
      </c>
    </row>
    <row r="263" spans="1:8" ht="108" x14ac:dyDescent="0.35">
      <c r="A263" s="403"/>
      <c r="B263" s="414" t="s">
        <v>331</v>
      </c>
      <c r="C263" s="227" t="s">
        <v>76</v>
      </c>
      <c r="D263" s="228" t="s">
        <v>40</v>
      </c>
      <c r="E263" s="228" t="s">
        <v>32</v>
      </c>
      <c r="F263" s="229" t="s">
        <v>318</v>
      </c>
      <c r="G263" s="41"/>
      <c r="H263" s="242">
        <f>H264</f>
        <v>12.4</v>
      </c>
    </row>
    <row r="264" spans="1:8" ht="18" x14ac:dyDescent="0.35">
      <c r="A264" s="403"/>
      <c r="B264" s="414" t="s">
        <v>118</v>
      </c>
      <c r="C264" s="227" t="s">
        <v>76</v>
      </c>
      <c r="D264" s="228" t="s">
        <v>40</v>
      </c>
      <c r="E264" s="228" t="s">
        <v>32</v>
      </c>
      <c r="F264" s="229" t="s">
        <v>318</v>
      </c>
      <c r="G264" s="41" t="s">
        <v>119</v>
      </c>
      <c r="H264" s="242">
        <f>'прил9 (ведом 22)'!M103</f>
        <v>12.4</v>
      </c>
    </row>
    <row r="265" spans="1:8" ht="36" x14ac:dyDescent="0.35">
      <c r="A265" s="403"/>
      <c r="B265" s="440" t="s">
        <v>120</v>
      </c>
      <c r="C265" s="227" t="s">
        <v>76</v>
      </c>
      <c r="D265" s="228" t="s">
        <v>84</v>
      </c>
      <c r="E265" s="228" t="s">
        <v>38</v>
      </c>
      <c r="F265" s="229" t="s">
        <v>39</v>
      </c>
      <c r="G265" s="264"/>
      <c r="H265" s="242">
        <f>H266+H274</f>
        <v>10721.6</v>
      </c>
    </row>
    <row r="266" spans="1:8" ht="36" x14ac:dyDescent="0.35">
      <c r="A266" s="403"/>
      <c r="B266" s="414" t="s">
        <v>259</v>
      </c>
      <c r="C266" s="227" t="s">
        <v>76</v>
      </c>
      <c r="D266" s="228" t="s">
        <v>84</v>
      </c>
      <c r="E266" s="228" t="s">
        <v>32</v>
      </c>
      <c r="F266" s="229" t="s">
        <v>39</v>
      </c>
      <c r="G266" s="41"/>
      <c r="H266" s="242">
        <f>H267+H269+H271</f>
        <v>10278</v>
      </c>
    </row>
    <row r="267" spans="1:8" ht="36" x14ac:dyDescent="0.35">
      <c r="A267" s="403"/>
      <c r="B267" s="414" t="s">
        <v>122</v>
      </c>
      <c r="C267" s="227" t="s">
        <v>76</v>
      </c>
      <c r="D267" s="228" t="s">
        <v>84</v>
      </c>
      <c r="E267" s="228" t="s">
        <v>32</v>
      </c>
      <c r="F267" s="229" t="s">
        <v>85</v>
      </c>
      <c r="G267" s="41"/>
      <c r="H267" s="242">
        <f>SUM(H268:H268)</f>
        <v>1585.8</v>
      </c>
    </row>
    <row r="268" spans="1:8" ht="36" x14ac:dyDescent="0.35">
      <c r="A268" s="403"/>
      <c r="B268" s="414" t="s">
        <v>50</v>
      </c>
      <c r="C268" s="227" t="s">
        <v>76</v>
      </c>
      <c r="D268" s="228" t="s">
        <v>84</v>
      </c>
      <c r="E268" s="228" t="s">
        <v>32</v>
      </c>
      <c r="F268" s="229" t="s">
        <v>85</v>
      </c>
      <c r="G268" s="41" t="s">
        <v>51</v>
      </c>
      <c r="H268" s="242">
        <f>'прил9 (ведом 22)'!M109</f>
        <v>1585.8</v>
      </c>
    </row>
    <row r="269" spans="1:8" ht="90" x14ac:dyDescent="0.35">
      <c r="A269" s="403"/>
      <c r="B269" s="440" t="s">
        <v>330</v>
      </c>
      <c r="C269" s="227" t="s">
        <v>76</v>
      </c>
      <c r="D269" s="228" t="s">
        <v>84</v>
      </c>
      <c r="E269" s="228" t="s">
        <v>32</v>
      </c>
      <c r="F269" s="229" t="s">
        <v>319</v>
      </c>
      <c r="G269" s="41"/>
      <c r="H269" s="242">
        <f>H270</f>
        <v>122.1</v>
      </c>
    </row>
    <row r="270" spans="1:8" ht="18" x14ac:dyDescent="0.35">
      <c r="A270" s="403"/>
      <c r="B270" s="440" t="s">
        <v>118</v>
      </c>
      <c r="C270" s="227" t="s">
        <v>76</v>
      </c>
      <c r="D270" s="228" t="s">
        <v>84</v>
      </c>
      <c r="E270" s="228" t="s">
        <v>32</v>
      </c>
      <c r="F270" s="229" t="s">
        <v>319</v>
      </c>
      <c r="G270" s="41" t="s">
        <v>119</v>
      </c>
      <c r="H270" s="242">
        <f>'прил9 (ведом 22)'!M111</f>
        <v>122.1</v>
      </c>
    </row>
    <row r="271" spans="1:8" ht="18" x14ac:dyDescent="0.35">
      <c r="A271" s="403"/>
      <c r="B271" s="240" t="s">
        <v>410</v>
      </c>
      <c r="C271" s="227" t="s">
        <v>76</v>
      </c>
      <c r="D271" s="228" t="s">
        <v>84</v>
      </c>
      <c r="E271" s="228" t="s">
        <v>32</v>
      </c>
      <c r="F271" s="229" t="s">
        <v>411</v>
      </c>
      <c r="G271" s="41"/>
      <c r="H271" s="230">
        <f>H273+H272</f>
        <v>8570.1</v>
      </c>
    </row>
    <row r="272" spans="1:8" ht="36" x14ac:dyDescent="0.35">
      <c r="A272" s="403"/>
      <c r="B272" s="240" t="s">
        <v>50</v>
      </c>
      <c r="C272" s="227" t="s">
        <v>76</v>
      </c>
      <c r="D272" s="228" t="s">
        <v>84</v>
      </c>
      <c r="E272" s="228" t="s">
        <v>32</v>
      </c>
      <c r="F272" s="229" t="s">
        <v>411</v>
      </c>
      <c r="G272" s="41" t="s">
        <v>51</v>
      </c>
      <c r="H272" s="230">
        <f>'прил9 (ведом 22)'!M456</f>
        <v>905.2</v>
      </c>
    </row>
    <row r="273" spans="1:8" ht="36" x14ac:dyDescent="0.35">
      <c r="A273" s="403"/>
      <c r="B273" s="240" t="s">
        <v>71</v>
      </c>
      <c r="C273" s="227" t="s">
        <v>76</v>
      </c>
      <c r="D273" s="228" t="s">
        <v>84</v>
      </c>
      <c r="E273" s="228" t="s">
        <v>32</v>
      </c>
      <c r="F273" s="229" t="s">
        <v>411</v>
      </c>
      <c r="G273" s="41" t="s">
        <v>72</v>
      </c>
      <c r="H273" s="230">
        <f>'прил9 (ведом 22)'!M397+'прил9 (ведом 22)'!M457</f>
        <v>7664.9</v>
      </c>
    </row>
    <row r="274" spans="1:8" ht="54" x14ac:dyDescent="0.35">
      <c r="A274" s="403"/>
      <c r="B274" s="443" t="s">
        <v>121</v>
      </c>
      <c r="C274" s="227" t="s">
        <v>76</v>
      </c>
      <c r="D274" s="228" t="s">
        <v>84</v>
      </c>
      <c r="E274" s="228" t="s">
        <v>34</v>
      </c>
      <c r="F274" s="229" t="s">
        <v>39</v>
      </c>
      <c r="G274" s="41"/>
      <c r="H274" s="242">
        <f>H275</f>
        <v>443.6</v>
      </c>
    </row>
    <row r="275" spans="1:8" ht="36" x14ac:dyDescent="0.35">
      <c r="A275" s="403"/>
      <c r="B275" s="443" t="s">
        <v>122</v>
      </c>
      <c r="C275" s="227" t="s">
        <v>76</v>
      </c>
      <c r="D275" s="228" t="s">
        <v>84</v>
      </c>
      <c r="E275" s="228" t="s">
        <v>34</v>
      </c>
      <c r="F275" s="229" t="s">
        <v>85</v>
      </c>
      <c r="G275" s="41"/>
      <c r="H275" s="242">
        <f>H276</f>
        <v>443.6</v>
      </c>
    </row>
    <row r="276" spans="1:8" ht="36" x14ac:dyDescent="0.35">
      <c r="A276" s="403"/>
      <c r="B276" s="414" t="s">
        <v>50</v>
      </c>
      <c r="C276" s="227" t="s">
        <v>76</v>
      </c>
      <c r="D276" s="228" t="s">
        <v>84</v>
      </c>
      <c r="E276" s="228" t="s">
        <v>34</v>
      </c>
      <c r="F276" s="229" t="s">
        <v>85</v>
      </c>
      <c r="G276" s="41" t="s">
        <v>51</v>
      </c>
      <c r="H276" s="242">
        <f>'прил9 (ведом 22)'!M114</f>
        <v>443.6</v>
      </c>
    </row>
    <row r="277" spans="1:8" ht="54" x14ac:dyDescent="0.35">
      <c r="A277" s="403"/>
      <c r="B277" s="442" t="s">
        <v>357</v>
      </c>
      <c r="C277" s="227" t="s">
        <v>76</v>
      </c>
      <c r="D277" s="228" t="s">
        <v>25</v>
      </c>
      <c r="E277" s="228" t="s">
        <v>38</v>
      </c>
      <c r="F277" s="229" t="s">
        <v>39</v>
      </c>
      <c r="G277" s="41"/>
      <c r="H277" s="242">
        <f>H278</f>
        <v>13333.5</v>
      </c>
    </row>
    <row r="278" spans="1:8" ht="54" x14ac:dyDescent="0.35">
      <c r="A278" s="403"/>
      <c r="B278" s="443" t="s">
        <v>310</v>
      </c>
      <c r="C278" s="227" t="s">
        <v>76</v>
      </c>
      <c r="D278" s="228" t="s">
        <v>25</v>
      </c>
      <c r="E278" s="228" t="s">
        <v>32</v>
      </c>
      <c r="F278" s="229" t="s">
        <v>39</v>
      </c>
      <c r="G278" s="41"/>
      <c r="H278" s="242">
        <f>H279</f>
        <v>13333.5</v>
      </c>
    </row>
    <row r="279" spans="1:8" ht="36" x14ac:dyDescent="0.35">
      <c r="A279" s="403"/>
      <c r="B279" s="414" t="s">
        <v>437</v>
      </c>
      <c r="C279" s="227" t="s">
        <v>76</v>
      </c>
      <c r="D279" s="228" t="s">
        <v>25</v>
      </c>
      <c r="E279" s="228" t="s">
        <v>32</v>
      </c>
      <c r="F279" s="229" t="s">
        <v>86</v>
      </c>
      <c r="G279" s="41"/>
      <c r="H279" s="242">
        <f>SUM(H280:H282)</f>
        <v>13333.5</v>
      </c>
    </row>
    <row r="280" spans="1:8" s="413" customFormat="1" ht="90" x14ac:dyDescent="0.35">
      <c r="A280" s="403"/>
      <c r="B280" s="414" t="s">
        <v>44</v>
      </c>
      <c r="C280" s="227" t="s">
        <v>76</v>
      </c>
      <c r="D280" s="228" t="s">
        <v>25</v>
      </c>
      <c r="E280" s="228" t="s">
        <v>32</v>
      </c>
      <c r="F280" s="229" t="s">
        <v>86</v>
      </c>
      <c r="G280" s="41" t="s">
        <v>45</v>
      </c>
      <c r="H280" s="242">
        <f>'прил9 (ведом 22)'!M118</f>
        <v>11294.300000000001</v>
      </c>
    </row>
    <row r="281" spans="1:8" ht="36" x14ac:dyDescent="0.35">
      <c r="A281" s="403"/>
      <c r="B281" s="414" t="s">
        <v>50</v>
      </c>
      <c r="C281" s="227" t="s">
        <v>76</v>
      </c>
      <c r="D281" s="228" t="s">
        <v>25</v>
      </c>
      <c r="E281" s="228" t="s">
        <v>32</v>
      </c>
      <c r="F281" s="229" t="s">
        <v>86</v>
      </c>
      <c r="G281" s="41" t="s">
        <v>51</v>
      </c>
      <c r="H281" s="242">
        <f>'прил9 (ведом 22)'!M119</f>
        <v>2032.9</v>
      </c>
    </row>
    <row r="282" spans="1:8" s="413" customFormat="1" ht="18" x14ac:dyDescent="0.35">
      <c r="A282" s="403"/>
      <c r="B282" s="414" t="s">
        <v>52</v>
      </c>
      <c r="C282" s="227" t="s">
        <v>76</v>
      </c>
      <c r="D282" s="228" t="s">
        <v>25</v>
      </c>
      <c r="E282" s="228" t="s">
        <v>32</v>
      </c>
      <c r="F282" s="229" t="s">
        <v>86</v>
      </c>
      <c r="G282" s="41" t="s">
        <v>53</v>
      </c>
      <c r="H282" s="242">
        <f>'прил9 (ведом 22)'!M120</f>
        <v>6.3</v>
      </c>
    </row>
    <row r="283" spans="1:8" s="413" customFormat="1" ht="54" x14ac:dyDescent="0.35">
      <c r="A283" s="403"/>
      <c r="B283" s="446" t="s">
        <v>465</v>
      </c>
      <c r="C283" s="228" t="s">
        <v>76</v>
      </c>
      <c r="D283" s="228" t="s">
        <v>26</v>
      </c>
      <c r="E283" s="228" t="s">
        <v>38</v>
      </c>
      <c r="F283" s="229" t="s">
        <v>39</v>
      </c>
      <c r="G283" s="41"/>
      <c r="H283" s="242">
        <f t="shared" ref="H283:H284" si="0">H284</f>
        <v>21.8</v>
      </c>
    </row>
    <row r="284" spans="1:8" s="413" customFormat="1" ht="54" x14ac:dyDescent="0.35">
      <c r="A284" s="403"/>
      <c r="B284" s="446" t="s">
        <v>466</v>
      </c>
      <c r="C284" s="228" t="s">
        <v>76</v>
      </c>
      <c r="D284" s="228" t="s">
        <v>26</v>
      </c>
      <c r="E284" s="228" t="s">
        <v>32</v>
      </c>
      <c r="F284" s="229" t="s">
        <v>39</v>
      </c>
      <c r="G284" s="41"/>
      <c r="H284" s="242">
        <f t="shared" si="0"/>
        <v>21.8</v>
      </c>
    </row>
    <row r="285" spans="1:8" s="413" customFormat="1" ht="38.25" customHeight="1" x14ac:dyDescent="0.35">
      <c r="A285" s="403"/>
      <c r="B285" s="446" t="s">
        <v>80</v>
      </c>
      <c r="C285" s="228" t="s">
        <v>76</v>
      </c>
      <c r="D285" s="228" t="s">
        <v>26</v>
      </c>
      <c r="E285" s="228" t="s">
        <v>32</v>
      </c>
      <c r="F285" s="229" t="s">
        <v>81</v>
      </c>
      <c r="G285" s="41"/>
      <c r="H285" s="242">
        <f>H286</f>
        <v>21.8</v>
      </c>
    </row>
    <row r="286" spans="1:8" s="413" customFormat="1" ht="36" x14ac:dyDescent="0.35">
      <c r="A286" s="403"/>
      <c r="B286" s="446" t="s">
        <v>50</v>
      </c>
      <c r="C286" s="228" t="s">
        <v>76</v>
      </c>
      <c r="D286" s="228" t="s">
        <v>26</v>
      </c>
      <c r="E286" s="228" t="s">
        <v>32</v>
      </c>
      <c r="F286" s="229" t="s">
        <v>81</v>
      </c>
      <c r="G286" s="41" t="s">
        <v>51</v>
      </c>
      <c r="H286" s="242">
        <f>'прил9 (ведом 22)'!M124</f>
        <v>21.8</v>
      </c>
    </row>
    <row r="287" spans="1:8" ht="18" x14ac:dyDescent="0.35">
      <c r="A287" s="448"/>
      <c r="B287" s="420"/>
      <c r="C287" s="449"/>
      <c r="D287" s="577"/>
      <c r="E287" s="577"/>
      <c r="F287" s="578"/>
      <c r="G287" s="264"/>
      <c r="H287" s="242"/>
    </row>
    <row r="288" spans="1:8" s="413" customFormat="1" ht="52.2" x14ac:dyDescent="0.3">
      <c r="A288" s="423">
        <v>6</v>
      </c>
      <c r="B288" s="434" t="s">
        <v>218</v>
      </c>
      <c r="C288" s="410" t="s">
        <v>219</v>
      </c>
      <c r="D288" s="410" t="s">
        <v>37</v>
      </c>
      <c r="E288" s="410" t="s">
        <v>38</v>
      </c>
      <c r="F288" s="411" t="s">
        <v>39</v>
      </c>
      <c r="G288" s="412"/>
      <c r="H288" s="289">
        <f>H289</f>
        <v>39625.4</v>
      </c>
    </row>
    <row r="289" spans="1:8" ht="18" x14ac:dyDescent="0.35">
      <c r="A289" s="403"/>
      <c r="B289" s="414" t="s">
        <v>328</v>
      </c>
      <c r="C289" s="450" t="s">
        <v>219</v>
      </c>
      <c r="D289" s="451" t="s">
        <v>40</v>
      </c>
      <c r="E289" s="228" t="s">
        <v>38</v>
      </c>
      <c r="F289" s="229" t="s">
        <v>39</v>
      </c>
      <c r="G289" s="41"/>
      <c r="H289" s="242">
        <f>H290+H297+H300+H303+H306</f>
        <v>39625.4</v>
      </c>
    </row>
    <row r="290" spans="1:8" ht="36" x14ac:dyDescent="0.35">
      <c r="A290" s="403"/>
      <c r="B290" s="414" t="s">
        <v>292</v>
      </c>
      <c r="C290" s="450" t="s">
        <v>219</v>
      </c>
      <c r="D290" s="451" t="s">
        <v>40</v>
      </c>
      <c r="E290" s="228" t="s">
        <v>32</v>
      </c>
      <c r="F290" s="229" t="s">
        <v>39</v>
      </c>
      <c r="G290" s="41"/>
      <c r="H290" s="242">
        <f>H291+H295</f>
        <v>28581.8</v>
      </c>
    </row>
    <row r="291" spans="1:8" ht="36" x14ac:dyDescent="0.35">
      <c r="A291" s="403"/>
      <c r="B291" s="414" t="s">
        <v>42</v>
      </c>
      <c r="C291" s="450" t="s">
        <v>219</v>
      </c>
      <c r="D291" s="451" t="s">
        <v>40</v>
      </c>
      <c r="E291" s="228" t="s">
        <v>32</v>
      </c>
      <c r="F291" s="229" t="s">
        <v>43</v>
      </c>
      <c r="G291" s="41"/>
      <c r="H291" s="242">
        <f>SUM(H292:H294)</f>
        <v>28483</v>
      </c>
    </row>
    <row r="292" spans="1:8" ht="93" customHeight="1" x14ac:dyDescent="0.35">
      <c r="A292" s="403"/>
      <c r="B292" s="414" t="s">
        <v>44</v>
      </c>
      <c r="C292" s="450" t="s">
        <v>219</v>
      </c>
      <c r="D292" s="451" t="s">
        <v>40</v>
      </c>
      <c r="E292" s="228" t="s">
        <v>32</v>
      </c>
      <c r="F292" s="229" t="s">
        <v>43</v>
      </c>
      <c r="G292" s="41" t="s">
        <v>45</v>
      </c>
      <c r="H292" s="242">
        <f>'прил9 (ведом 22)'!M224</f>
        <v>27767.3</v>
      </c>
    </row>
    <row r="293" spans="1:8" ht="36" x14ac:dyDescent="0.35">
      <c r="A293" s="403"/>
      <c r="B293" s="414" t="s">
        <v>50</v>
      </c>
      <c r="C293" s="450" t="s">
        <v>219</v>
      </c>
      <c r="D293" s="451" t="s">
        <v>40</v>
      </c>
      <c r="E293" s="228" t="s">
        <v>32</v>
      </c>
      <c r="F293" s="229" t="s">
        <v>43</v>
      </c>
      <c r="G293" s="41" t="s">
        <v>51</v>
      </c>
      <c r="H293" s="242">
        <f>'прил9 (ведом 22)'!M225</f>
        <v>710.90000000000009</v>
      </c>
    </row>
    <row r="294" spans="1:8" ht="18" x14ac:dyDescent="0.35">
      <c r="A294" s="403"/>
      <c r="B294" s="414" t="s">
        <v>52</v>
      </c>
      <c r="C294" s="450" t="s">
        <v>219</v>
      </c>
      <c r="D294" s="451" t="s">
        <v>40</v>
      </c>
      <c r="E294" s="228" t="s">
        <v>32</v>
      </c>
      <c r="F294" s="229" t="s">
        <v>43</v>
      </c>
      <c r="G294" s="41" t="s">
        <v>53</v>
      </c>
      <c r="H294" s="242">
        <f>'прил9 (ведом 22)'!M226</f>
        <v>4.8</v>
      </c>
    </row>
    <row r="295" spans="1:8" ht="36" x14ac:dyDescent="0.35">
      <c r="A295" s="403"/>
      <c r="B295" s="30" t="s">
        <v>525</v>
      </c>
      <c r="C295" s="38" t="s">
        <v>219</v>
      </c>
      <c r="D295" s="39" t="s">
        <v>40</v>
      </c>
      <c r="E295" s="584" t="s">
        <v>32</v>
      </c>
      <c r="F295" s="585" t="s">
        <v>524</v>
      </c>
      <c r="G295" s="16"/>
      <c r="H295" s="242">
        <f>H296</f>
        <v>98.8</v>
      </c>
    </row>
    <row r="296" spans="1:8" ht="36" x14ac:dyDescent="0.35">
      <c r="A296" s="403"/>
      <c r="B296" s="30" t="s">
        <v>50</v>
      </c>
      <c r="C296" s="38" t="s">
        <v>219</v>
      </c>
      <c r="D296" s="39" t="s">
        <v>40</v>
      </c>
      <c r="E296" s="584" t="s">
        <v>32</v>
      </c>
      <c r="F296" s="585" t="s">
        <v>524</v>
      </c>
      <c r="G296" s="16" t="s">
        <v>51</v>
      </c>
      <c r="H296" s="242">
        <f>'прил9 (ведом 22)'!M245</f>
        <v>98.8</v>
      </c>
    </row>
    <row r="297" spans="1:8" ht="24.75" customHeight="1" x14ac:dyDescent="0.35">
      <c r="A297" s="403"/>
      <c r="B297" s="414" t="s">
        <v>293</v>
      </c>
      <c r="C297" s="450" t="s">
        <v>219</v>
      </c>
      <c r="D297" s="451" t="s">
        <v>40</v>
      </c>
      <c r="E297" s="228" t="s">
        <v>34</v>
      </c>
      <c r="F297" s="229" t="s">
        <v>39</v>
      </c>
      <c r="G297" s="41"/>
      <c r="H297" s="242">
        <f>H298</f>
        <v>7000</v>
      </c>
    </row>
    <row r="298" spans="1:8" ht="36" x14ac:dyDescent="0.35">
      <c r="A298" s="403"/>
      <c r="B298" s="240" t="s">
        <v>252</v>
      </c>
      <c r="C298" s="450" t="s">
        <v>219</v>
      </c>
      <c r="D298" s="451" t="s">
        <v>40</v>
      </c>
      <c r="E298" s="228" t="s">
        <v>34</v>
      </c>
      <c r="F298" s="229" t="s">
        <v>394</v>
      </c>
      <c r="G298" s="41"/>
      <c r="H298" s="242">
        <f>H299</f>
        <v>7000</v>
      </c>
    </row>
    <row r="299" spans="1:8" ht="18" x14ac:dyDescent="0.35">
      <c r="A299" s="403"/>
      <c r="B299" s="240" t="s">
        <v>118</v>
      </c>
      <c r="C299" s="450" t="s">
        <v>219</v>
      </c>
      <c r="D299" s="451" t="s">
        <v>40</v>
      </c>
      <c r="E299" s="228" t="s">
        <v>34</v>
      </c>
      <c r="F299" s="229" t="s">
        <v>394</v>
      </c>
      <c r="G299" s="41" t="s">
        <v>119</v>
      </c>
      <c r="H299" s="242">
        <f>'прил9 (ведом 22)'!M252</f>
        <v>7000</v>
      </c>
    </row>
    <row r="300" spans="1:8" ht="36" x14ac:dyDescent="0.35">
      <c r="A300" s="403"/>
      <c r="B300" s="414" t="s">
        <v>340</v>
      </c>
      <c r="C300" s="450" t="s">
        <v>219</v>
      </c>
      <c r="D300" s="451" t="s">
        <v>40</v>
      </c>
      <c r="E300" s="228" t="s">
        <v>58</v>
      </c>
      <c r="F300" s="229" t="s">
        <v>39</v>
      </c>
      <c r="G300" s="41"/>
      <c r="H300" s="242">
        <f>H301</f>
        <v>3290.9</v>
      </c>
    </row>
    <row r="301" spans="1:8" ht="54" x14ac:dyDescent="0.35">
      <c r="A301" s="403"/>
      <c r="B301" s="414" t="s">
        <v>341</v>
      </c>
      <c r="C301" s="450" t="s">
        <v>219</v>
      </c>
      <c r="D301" s="451" t="s">
        <v>40</v>
      </c>
      <c r="E301" s="228" t="s">
        <v>58</v>
      </c>
      <c r="F301" s="229" t="s">
        <v>100</v>
      </c>
      <c r="G301" s="41"/>
      <c r="H301" s="242">
        <f>H302</f>
        <v>3290.9</v>
      </c>
    </row>
    <row r="302" spans="1:8" ht="36" x14ac:dyDescent="0.35">
      <c r="A302" s="403"/>
      <c r="B302" s="414" t="s">
        <v>50</v>
      </c>
      <c r="C302" s="450" t="s">
        <v>219</v>
      </c>
      <c r="D302" s="451" t="s">
        <v>40</v>
      </c>
      <c r="E302" s="228" t="s">
        <v>58</v>
      </c>
      <c r="F302" s="229" t="s">
        <v>100</v>
      </c>
      <c r="G302" s="41" t="s">
        <v>51</v>
      </c>
      <c r="H302" s="242">
        <f>'прил9 (ведом 22)'!M235</f>
        <v>3290.9</v>
      </c>
    </row>
    <row r="303" spans="1:8" ht="54" x14ac:dyDescent="0.35">
      <c r="A303" s="403"/>
      <c r="B303" s="240" t="s">
        <v>311</v>
      </c>
      <c r="C303" s="450" t="s">
        <v>219</v>
      </c>
      <c r="D303" s="451" t="s">
        <v>40</v>
      </c>
      <c r="E303" s="228" t="s">
        <v>47</v>
      </c>
      <c r="F303" s="229" t="s">
        <v>39</v>
      </c>
      <c r="G303" s="41"/>
      <c r="H303" s="242">
        <f>H304</f>
        <v>735.5</v>
      </c>
    </row>
    <row r="304" spans="1:8" ht="36" x14ac:dyDescent="0.35">
      <c r="A304" s="403"/>
      <c r="B304" s="240" t="s">
        <v>362</v>
      </c>
      <c r="C304" s="450" t="s">
        <v>219</v>
      </c>
      <c r="D304" s="451" t="s">
        <v>40</v>
      </c>
      <c r="E304" s="228" t="s">
        <v>47</v>
      </c>
      <c r="F304" s="229" t="s">
        <v>361</v>
      </c>
      <c r="G304" s="41"/>
      <c r="H304" s="242">
        <f>H305</f>
        <v>735.5</v>
      </c>
    </row>
    <row r="305" spans="1:8" ht="90" x14ac:dyDescent="0.35">
      <c r="A305" s="403"/>
      <c r="B305" s="414" t="s">
        <v>44</v>
      </c>
      <c r="C305" s="450" t="s">
        <v>219</v>
      </c>
      <c r="D305" s="451" t="s">
        <v>40</v>
      </c>
      <c r="E305" s="228" t="s">
        <v>47</v>
      </c>
      <c r="F305" s="229" t="s">
        <v>361</v>
      </c>
      <c r="G305" s="41" t="s">
        <v>45</v>
      </c>
      <c r="H305" s="242">
        <f>'прил9 (ведом 22)'!M229</f>
        <v>735.5</v>
      </c>
    </row>
    <row r="306" spans="1:8" ht="36" x14ac:dyDescent="0.35">
      <c r="A306" s="403"/>
      <c r="B306" s="240" t="s">
        <v>441</v>
      </c>
      <c r="C306" s="450" t="s">
        <v>219</v>
      </c>
      <c r="D306" s="451" t="s">
        <v>40</v>
      </c>
      <c r="E306" s="228" t="s">
        <v>60</v>
      </c>
      <c r="F306" s="229" t="s">
        <v>39</v>
      </c>
      <c r="G306" s="41"/>
      <c r="H306" s="242">
        <f>H307</f>
        <v>17.2</v>
      </c>
    </row>
    <row r="307" spans="1:8" ht="18" x14ac:dyDescent="0.35">
      <c r="A307" s="403"/>
      <c r="B307" s="240" t="s">
        <v>439</v>
      </c>
      <c r="C307" s="450" t="s">
        <v>219</v>
      </c>
      <c r="D307" s="451" t="s">
        <v>40</v>
      </c>
      <c r="E307" s="228" t="s">
        <v>60</v>
      </c>
      <c r="F307" s="229" t="s">
        <v>440</v>
      </c>
      <c r="G307" s="41"/>
      <c r="H307" s="242">
        <f>H308</f>
        <v>17.2</v>
      </c>
    </row>
    <row r="308" spans="1:8" ht="36" x14ac:dyDescent="0.35">
      <c r="A308" s="403"/>
      <c r="B308" s="240" t="s">
        <v>50</v>
      </c>
      <c r="C308" s="450" t="s">
        <v>219</v>
      </c>
      <c r="D308" s="451" t="s">
        <v>40</v>
      </c>
      <c r="E308" s="228" t="s">
        <v>60</v>
      </c>
      <c r="F308" s="229" t="s">
        <v>440</v>
      </c>
      <c r="G308" s="41" t="s">
        <v>51</v>
      </c>
      <c r="H308" s="242">
        <f>'прил9 (ведом 22)'!M238</f>
        <v>17.2</v>
      </c>
    </row>
    <row r="309" spans="1:8" ht="18" x14ac:dyDescent="0.35">
      <c r="A309" s="403"/>
      <c r="B309" s="414"/>
      <c r="C309" s="451"/>
      <c r="D309" s="451"/>
      <c r="E309" s="451"/>
      <c r="F309" s="452"/>
      <c r="G309" s="41"/>
      <c r="H309" s="242"/>
    </row>
    <row r="310" spans="1:8" s="413" customFormat="1" ht="52.2" x14ac:dyDescent="0.3">
      <c r="A310" s="409">
        <v>7</v>
      </c>
      <c r="B310" s="453" t="s">
        <v>220</v>
      </c>
      <c r="C310" s="454" t="s">
        <v>221</v>
      </c>
      <c r="D310" s="424" t="s">
        <v>37</v>
      </c>
      <c r="E310" s="424" t="s">
        <v>38</v>
      </c>
      <c r="F310" s="425" t="s">
        <v>39</v>
      </c>
      <c r="G310" s="455"/>
      <c r="H310" s="289">
        <f>H311+H320+H340</f>
        <v>45065.7</v>
      </c>
    </row>
    <row r="311" spans="1:8" ht="36" x14ac:dyDescent="0.35">
      <c r="A311" s="448"/>
      <c r="B311" s="461" t="s">
        <v>222</v>
      </c>
      <c r="C311" s="520" t="s">
        <v>221</v>
      </c>
      <c r="D311" s="465" t="s">
        <v>40</v>
      </c>
      <c r="E311" s="465" t="s">
        <v>38</v>
      </c>
      <c r="F311" s="466" t="s">
        <v>39</v>
      </c>
      <c r="G311" s="579"/>
      <c r="H311" s="242">
        <f>H312+H317</f>
        <v>6449.2999999999993</v>
      </c>
    </row>
    <row r="312" spans="1:8" ht="75" customHeight="1" x14ac:dyDescent="0.35">
      <c r="A312" s="448"/>
      <c r="B312" s="461" t="s">
        <v>286</v>
      </c>
      <c r="C312" s="483" t="s">
        <v>221</v>
      </c>
      <c r="D312" s="449" t="s">
        <v>40</v>
      </c>
      <c r="E312" s="449" t="s">
        <v>32</v>
      </c>
      <c r="F312" s="462" t="s">
        <v>39</v>
      </c>
      <c r="G312" s="463"/>
      <c r="H312" s="242">
        <f>H313+H315</f>
        <v>2629.7</v>
      </c>
    </row>
    <row r="313" spans="1:8" ht="33" customHeight="1" x14ac:dyDescent="0.35">
      <c r="A313" s="448"/>
      <c r="B313" s="461" t="s">
        <v>223</v>
      </c>
      <c r="C313" s="483" t="s">
        <v>221</v>
      </c>
      <c r="D313" s="449" t="s">
        <v>40</v>
      </c>
      <c r="E313" s="449" t="s">
        <v>32</v>
      </c>
      <c r="F313" s="462" t="s">
        <v>287</v>
      </c>
      <c r="G313" s="463"/>
      <c r="H313" s="242">
        <f>H314</f>
        <v>511</v>
      </c>
    </row>
    <row r="314" spans="1:8" ht="36" x14ac:dyDescent="0.35">
      <c r="A314" s="448"/>
      <c r="B314" s="414" t="s">
        <v>50</v>
      </c>
      <c r="C314" s="483" t="s">
        <v>221</v>
      </c>
      <c r="D314" s="449" t="s">
        <v>40</v>
      </c>
      <c r="E314" s="449" t="s">
        <v>32</v>
      </c>
      <c r="F314" s="462" t="s">
        <v>287</v>
      </c>
      <c r="G314" s="463" t="s">
        <v>51</v>
      </c>
      <c r="H314" s="242">
        <f>'прил9 (ведом 22)'!M273</f>
        <v>511</v>
      </c>
    </row>
    <row r="315" spans="1:8" ht="18" x14ac:dyDescent="0.35">
      <c r="A315" s="448"/>
      <c r="B315" s="468" t="s">
        <v>359</v>
      </c>
      <c r="C315" s="428" t="s">
        <v>221</v>
      </c>
      <c r="D315" s="449" t="s">
        <v>40</v>
      </c>
      <c r="E315" s="449" t="s">
        <v>32</v>
      </c>
      <c r="F315" s="462" t="s">
        <v>358</v>
      </c>
      <c r="G315" s="463"/>
      <c r="H315" s="242">
        <f>H316</f>
        <v>2118.6999999999998</v>
      </c>
    </row>
    <row r="316" spans="1:8" ht="36" x14ac:dyDescent="0.35">
      <c r="A316" s="448"/>
      <c r="B316" s="240" t="s">
        <v>50</v>
      </c>
      <c r="C316" s="428" t="s">
        <v>221</v>
      </c>
      <c r="D316" s="449" t="s">
        <v>40</v>
      </c>
      <c r="E316" s="449" t="s">
        <v>32</v>
      </c>
      <c r="F316" s="462" t="s">
        <v>358</v>
      </c>
      <c r="G316" s="463" t="s">
        <v>51</v>
      </c>
      <c r="H316" s="242">
        <f>'прил9 (ведом 22)'!M314</f>
        <v>2118.6999999999998</v>
      </c>
    </row>
    <row r="317" spans="1:8" ht="36" x14ac:dyDescent="0.35">
      <c r="A317" s="448"/>
      <c r="B317" s="414" t="s">
        <v>327</v>
      </c>
      <c r="C317" s="483" t="s">
        <v>221</v>
      </c>
      <c r="D317" s="449" t="s">
        <v>40</v>
      </c>
      <c r="E317" s="449" t="s">
        <v>34</v>
      </c>
      <c r="F317" s="462" t="s">
        <v>39</v>
      </c>
      <c r="G317" s="463"/>
      <c r="H317" s="242">
        <f>H318</f>
        <v>3819.5999999999995</v>
      </c>
    </row>
    <row r="318" spans="1:8" ht="36" x14ac:dyDescent="0.35">
      <c r="A318" s="448"/>
      <c r="B318" s="414" t="s">
        <v>326</v>
      </c>
      <c r="C318" s="483" t="s">
        <v>221</v>
      </c>
      <c r="D318" s="449" t="s">
        <v>40</v>
      </c>
      <c r="E318" s="449" t="s">
        <v>34</v>
      </c>
      <c r="F318" s="462" t="s">
        <v>325</v>
      </c>
      <c r="G318" s="463"/>
      <c r="H318" s="242">
        <f>SUM(H319:H319)</f>
        <v>3819.5999999999995</v>
      </c>
    </row>
    <row r="319" spans="1:8" ht="36" x14ac:dyDescent="0.35">
      <c r="A319" s="448"/>
      <c r="B319" s="414" t="s">
        <v>50</v>
      </c>
      <c r="C319" s="483" t="s">
        <v>221</v>
      </c>
      <c r="D319" s="449" t="s">
        <v>40</v>
      </c>
      <c r="E319" s="449" t="s">
        <v>34</v>
      </c>
      <c r="F319" s="462" t="s">
        <v>325</v>
      </c>
      <c r="G319" s="463" t="s">
        <v>51</v>
      </c>
      <c r="H319" s="242">
        <f>'прил9 (ведом 22)'!M276</f>
        <v>3819.5999999999995</v>
      </c>
    </row>
    <row r="320" spans="1:8" ht="36" x14ac:dyDescent="0.35">
      <c r="A320" s="448"/>
      <c r="B320" s="461" t="s">
        <v>224</v>
      </c>
      <c r="C320" s="428" t="s">
        <v>221</v>
      </c>
      <c r="D320" s="449" t="s">
        <v>84</v>
      </c>
      <c r="E320" s="449" t="s">
        <v>38</v>
      </c>
      <c r="F320" s="462" t="s">
        <v>39</v>
      </c>
      <c r="G320" s="463"/>
      <c r="H320" s="242">
        <f>H321+H334+H337</f>
        <v>24642.499999999996</v>
      </c>
    </row>
    <row r="321" spans="1:8" ht="72" x14ac:dyDescent="0.35">
      <c r="A321" s="448"/>
      <c r="B321" s="461" t="s">
        <v>290</v>
      </c>
      <c r="C321" s="428" t="s">
        <v>221</v>
      </c>
      <c r="D321" s="449" t="s">
        <v>84</v>
      </c>
      <c r="E321" s="449" t="s">
        <v>32</v>
      </c>
      <c r="F321" s="462" t="s">
        <v>39</v>
      </c>
      <c r="G321" s="463"/>
      <c r="H321" s="242">
        <f>H322+H326+H330+H332</f>
        <v>23958.6</v>
      </c>
    </row>
    <row r="322" spans="1:8" ht="36" x14ac:dyDescent="0.35">
      <c r="A322" s="448"/>
      <c r="B322" s="461" t="s">
        <v>42</v>
      </c>
      <c r="C322" s="464" t="s">
        <v>221</v>
      </c>
      <c r="D322" s="465" t="s">
        <v>84</v>
      </c>
      <c r="E322" s="465" t="s">
        <v>32</v>
      </c>
      <c r="F322" s="466" t="s">
        <v>43</v>
      </c>
      <c r="G322" s="463"/>
      <c r="H322" s="242">
        <f>SUM(H323:H325)</f>
        <v>15075.9</v>
      </c>
    </row>
    <row r="323" spans="1:8" ht="90" x14ac:dyDescent="0.35">
      <c r="A323" s="448"/>
      <c r="B323" s="461" t="s">
        <v>44</v>
      </c>
      <c r="C323" s="428" t="s">
        <v>221</v>
      </c>
      <c r="D323" s="449" t="s">
        <v>84</v>
      </c>
      <c r="E323" s="449" t="s">
        <v>32</v>
      </c>
      <c r="F323" s="462" t="s">
        <v>43</v>
      </c>
      <c r="G323" s="463" t="s">
        <v>45</v>
      </c>
      <c r="H323" s="242">
        <f>'прил9 (ведом 22)'!M280</f>
        <v>14720.199999999999</v>
      </c>
    </row>
    <row r="324" spans="1:8" ht="36" x14ac:dyDescent="0.35">
      <c r="A324" s="448"/>
      <c r="B324" s="414" t="s">
        <v>50</v>
      </c>
      <c r="C324" s="428" t="s">
        <v>221</v>
      </c>
      <c r="D324" s="449" t="s">
        <v>84</v>
      </c>
      <c r="E324" s="449" t="s">
        <v>32</v>
      </c>
      <c r="F324" s="462" t="s">
        <v>43</v>
      </c>
      <c r="G324" s="463" t="s">
        <v>51</v>
      </c>
      <c r="H324" s="242">
        <f>'прил9 (ведом 22)'!M281</f>
        <v>354.5</v>
      </c>
    </row>
    <row r="325" spans="1:8" ht="18" x14ac:dyDescent="0.35">
      <c r="A325" s="448"/>
      <c r="B325" s="461" t="s">
        <v>52</v>
      </c>
      <c r="C325" s="428" t="s">
        <v>221</v>
      </c>
      <c r="D325" s="449" t="s">
        <v>84</v>
      </c>
      <c r="E325" s="449" t="s">
        <v>32</v>
      </c>
      <c r="F325" s="462" t="s">
        <v>43</v>
      </c>
      <c r="G325" s="463" t="s">
        <v>53</v>
      </c>
      <c r="H325" s="242">
        <f>'прил9 (ведом 22)'!M282</f>
        <v>1.2</v>
      </c>
    </row>
    <row r="326" spans="1:8" ht="36" x14ac:dyDescent="0.35">
      <c r="A326" s="448"/>
      <c r="B326" s="414" t="s">
        <v>437</v>
      </c>
      <c r="C326" s="428" t="s">
        <v>221</v>
      </c>
      <c r="D326" s="449" t="s">
        <v>84</v>
      </c>
      <c r="E326" s="449" t="s">
        <v>32</v>
      </c>
      <c r="F326" s="462" t="s">
        <v>86</v>
      </c>
      <c r="G326" s="463"/>
      <c r="H326" s="242">
        <f>SUM(H327:H329)</f>
        <v>8803.6999999999971</v>
      </c>
    </row>
    <row r="327" spans="1:8" ht="90" x14ac:dyDescent="0.35">
      <c r="A327" s="448"/>
      <c r="B327" s="461" t="s">
        <v>44</v>
      </c>
      <c r="C327" s="428" t="s">
        <v>221</v>
      </c>
      <c r="D327" s="449" t="s">
        <v>84</v>
      </c>
      <c r="E327" s="449" t="s">
        <v>32</v>
      </c>
      <c r="F327" s="462" t="s">
        <v>86</v>
      </c>
      <c r="G327" s="463" t="s">
        <v>45</v>
      </c>
      <c r="H327" s="242">
        <f>'прил9 (ведом 22)'!M284</f>
        <v>8465.0999999999985</v>
      </c>
    </row>
    <row r="328" spans="1:8" ht="36" x14ac:dyDescent="0.35">
      <c r="A328" s="448"/>
      <c r="B328" s="414" t="s">
        <v>50</v>
      </c>
      <c r="C328" s="464" t="s">
        <v>221</v>
      </c>
      <c r="D328" s="465" t="s">
        <v>84</v>
      </c>
      <c r="E328" s="465" t="s">
        <v>32</v>
      </c>
      <c r="F328" s="466" t="s">
        <v>86</v>
      </c>
      <c r="G328" s="463" t="s">
        <v>51</v>
      </c>
      <c r="H328" s="242">
        <f>'прил9 (ведом 22)'!M285</f>
        <v>318.3</v>
      </c>
    </row>
    <row r="329" spans="1:8" ht="18" x14ac:dyDescent="0.35">
      <c r="A329" s="448"/>
      <c r="B329" s="461" t="s">
        <v>52</v>
      </c>
      <c r="C329" s="428" t="s">
        <v>221</v>
      </c>
      <c r="D329" s="449" t="s">
        <v>84</v>
      </c>
      <c r="E329" s="449" t="s">
        <v>32</v>
      </c>
      <c r="F329" s="462" t="s">
        <v>86</v>
      </c>
      <c r="G329" s="463" t="s">
        <v>53</v>
      </c>
      <c r="H329" s="242">
        <f>'прил9 (ведом 22)'!M286</f>
        <v>20.3</v>
      </c>
    </row>
    <row r="330" spans="1:8" ht="36" x14ac:dyDescent="0.35">
      <c r="A330" s="448"/>
      <c r="B330" s="30" t="s">
        <v>525</v>
      </c>
      <c r="C330" s="101" t="s">
        <v>221</v>
      </c>
      <c r="D330" s="89" t="s">
        <v>84</v>
      </c>
      <c r="E330" s="89" t="s">
        <v>32</v>
      </c>
      <c r="F330" s="90" t="s">
        <v>524</v>
      </c>
      <c r="G330" s="91"/>
      <c r="H330" s="242">
        <f>H331</f>
        <v>10</v>
      </c>
    </row>
    <row r="331" spans="1:8" ht="36" x14ac:dyDescent="0.35">
      <c r="A331" s="448"/>
      <c r="B331" s="30" t="s">
        <v>50</v>
      </c>
      <c r="C331" s="101" t="s">
        <v>221</v>
      </c>
      <c r="D331" s="89" t="s">
        <v>84</v>
      </c>
      <c r="E331" s="89" t="s">
        <v>32</v>
      </c>
      <c r="F331" s="90" t="s">
        <v>524</v>
      </c>
      <c r="G331" s="91" t="s">
        <v>51</v>
      </c>
      <c r="H331" s="242">
        <f>'прил9 (ведом 22)'!M344</f>
        <v>10</v>
      </c>
    </row>
    <row r="332" spans="1:8" ht="54" x14ac:dyDescent="0.35">
      <c r="A332" s="448"/>
      <c r="B332" s="240" t="s">
        <v>343</v>
      </c>
      <c r="C332" s="428" t="s">
        <v>221</v>
      </c>
      <c r="D332" s="449" t="s">
        <v>84</v>
      </c>
      <c r="E332" s="449" t="s">
        <v>32</v>
      </c>
      <c r="F332" s="462" t="s">
        <v>342</v>
      </c>
      <c r="G332" s="463"/>
      <c r="H332" s="242">
        <f>H333</f>
        <v>69</v>
      </c>
    </row>
    <row r="333" spans="1:8" ht="36" x14ac:dyDescent="0.35">
      <c r="A333" s="448"/>
      <c r="B333" s="240" t="s">
        <v>50</v>
      </c>
      <c r="C333" s="428" t="s">
        <v>221</v>
      </c>
      <c r="D333" s="449" t="s">
        <v>84</v>
      </c>
      <c r="E333" s="449" t="s">
        <v>32</v>
      </c>
      <c r="F333" s="462" t="s">
        <v>342</v>
      </c>
      <c r="G333" s="463" t="s">
        <v>51</v>
      </c>
      <c r="H333" s="242">
        <f>'прил9 (ведом 22)'!M288</f>
        <v>69</v>
      </c>
    </row>
    <row r="334" spans="1:8" ht="36" x14ac:dyDescent="0.35">
      <c r="A334" s="448"/>
      <c r="B334" s="521" t="s">
        <v>340</v>
      </c>
      <c r="C334" s="522" t="s">
        <v>221</v>
      </c>
      <c r="D334" s="523" t="s">
        <v>84</v>
      </c>
      <c r="E334" s="523" t="s">
        <v>34</v>
      </c>
      <c r="F334" s="524" t="s">
        <v>39</v>
      </c>
      <c r="G334" s="473"/>
      <c r="H334" s="525">
        <f>H335</f>
        <v>669.1</v>
      </c>
    </row>
    <row r="335" spans="1:8" ht="54" x14ac:dyDescent="0.35">
      <c r="A335" s="448"/>
      <c r="B335" s="526" t="s">
        <v>341</v>
      </c>
      <c r="C335" s="467" t="s">
        <v>221</v>
      </c>
      <c r="D335" s="471" t="s">
        <v>84</v>
      </c>
      <c r="E335" s="471" t="s">
        <v>34</v>
      </c>
      <c r="F335" s="472" t="s">
        <v>100</v>
      </c>
      <c r="G335" s="476"/>
      <c r="H335" s="242">
        <f>H336</f>
        <v>669.1</v>
      </c>
    </row>
    <row r="336" spans="1:8" ht="36" x14ac:dyDescent="0.35">
      <c r="A336" s="448"/>
      <c r="B336" s="527" t="s">
        <v>50</v>
      </c>
      <c r="C336" s="528" t="s">
        <v>221</v>
      </c>
      <c r="D336" s="471" t="s">
        <v>84</v>
      </c>
      <c r="E336" s="471" t="s">
        <v>34</v>
      </c>
      <c r="F336" s="472" t="s">
        <v>100</v>
      </c>
      <c r="G336" s="476" t="s">
        <v>51</v>
      </c>
      <c r="H336" s="242">
        <f>'прил9 (ведом 22)'!M291</f>
        <v>669.1</v>
      </c>
    </row>
    <row r="337" spans="1:8" ht="27" customHeight="1" x14ac:dyDescent="0.35">
      <c r="A337" s="448"/>
      <c r="B337" s="461" t="s">
        <v>363</v>
      </c>
      <c r="C337" s="482" t="s">
        <v>221</v>
      </c>
      <c r="D337" s="478" t="s">
        <v>84</v>
      </c>
      <c r="E337" s="529" t="s">
        <v>58</v>
      </c>
      <c r="F337" s="530" t="s">
        <v>39</v>
      </c>
      <c r="G337" s="531"/>
      <c r="H337" s="242">
        <f>H338</f>
        <v>14.8</v>
      </c>
    </row>
    <row r="338" spans="1:8" ht="36" x14ac:dyDescent="0.35">
      <c r="A338" s="448"/>
      <c r="B338" s="461" t="s">
        <v>326</v>
      </c>
      <c r="C338" s="482" t="s">
        <v>221</v>
      </c>
      <c r="D338" s="478" t="s">
        <v>84</v>
      </c>
      <c r="E338" s="532" t="s">
        <v>58</v>
      </c>
      <c r="F338" s="533" t="s">
        <v>325</v>
      </c>
      <c r="G338" s="531"/>
      <c r="H338" s="242">
        <f>H339</f>
        <v>14.8</v>
      </c>
    </row>
    <row r="339" spans="1:8" ht="18" x14ac:dyDescent="0.35">
      <c r="A339" s="448"/>
      <c r="B339" s="468" t="s">
        <v>52</v>
      </c>
      <c r="C339" s="428" t="s">
        <v>221</v>
      </c>
      <c r="D339" s="529" t="s">
        <v>84</v>
      </c>
      <c r="E339" s="529" t="s">
        <v>58</v>
      </c>
      <c r="F339" s="530" t="s">
        <v>325</v>
      </c>
      <c r="G339" s="531" t="s">
        <v>53</v>
      </c>
      <c r="H339" s="242">
        <f>'прил9 (ведом 22)'!M294</f>
        <v>14.8</v>
      </c>
    </row>
    <row r="340" spans="1:8" ht="18" x14ac:dyDescent="0.35">
      <c r="A340" s="448"/>
      <c r="B340" s="534" t="s">
        <v>328</v>
      </c>
      <c r="C340" s="467" t="s">
        <v>221</v>
      </c>
      <c r="D340" s="471" t="s">
        <v>25</v>
      </c>
      <c r="E340" s="471" t="s">
        <v>38</v>
      </c>
      <c r="F340" s="472" t="s">
        <v>39</v>
      </c>
      <c r="G340" s="531"/>
      <c r="H340" s="242">
        <f>H341+H344</f>
        <v>13973.9</v>
      </c>
    </row>
    <row r="341" spans="1:8" ht="18" x14ac:dyDescent="0.35">
      <c r="A341" s="448"/>
      <c r="B341" s="534" t="s">
        <v>517</v>
      </c>
      <c r="C341" s="467" t="s">
        <v>221</v>
      </c>
      <c r="D341" s="471" t="s">
        <v>25</v>
      </c>
      <c r="E341" s="471" t="s">
        <v>47</v>
      </c>
      <c r="F341" s="472" t="s">
        <v>39</v>
      </c>
      <c r="G341" s="476"/>
      <c r="H341" s="242">
        <f>H342</f>
        <v>13927</v>
      </c>
    </row>
    <row r="342" spans="1:8" ht="36" x14ac:dyDescent="0.35">
      <c r="A342" s="448"/>
      <c r="B342" s="534" t="s">
        <v>518</v>
      </c>
      <c r="C342" s="467" t="s">
        <v>221</v>
      </c>
      <c r="D342" s="471" t="s">
        <v>25</v>
      </c>
      <c r="E342" s="471" t="s">
        <v>47</v>
      </c>
      <c r="F342" s="472" t="s">
        <v>516</v>
      </c>
      <c r="G342" s="476"/>
      <c r="H342" s="242">
        <f>H343</f>
        <v>13927</v>
      </c>
    </row>
    <row r="343" spans="1:8" ht="18" x14ac:dyDescent="0.35">
      <c r="A343" s="448"/>
      <c r="B343" s="435" t="s">
        <v>52</v>
      </c>
      <c r="C343" s="467" t="s">
        <v>221</v>
      </c>
      <c r="D343" s="471" t="s">
        <v>25</v>
      </c>
      <c r="E343" s="471" t="s">
        <v>47</v>
      </c>
      <c r="F343" s="472" t="s">
        <v>516</v>
      </c>
      <c r="G343" s="476" t="s">
        <v>53</v>
      </c>
      <c r="H343" s="242">
        <f>'прил9 (ведом 22)'!M298</f>
        <v>13927</v>
      </c>
    </row>
    <row r="344" spans="1:8" ht="18" x14ac:dyDescent="0.35">
      <c r="A344" s="448"/>
      <c r="B344" s="149" t="s">
        <v>363</v>
      </c>
      <c r="C344" s="101" t="s">
        <v>221</v>
      </c>
      <c r="D344" s="102" t="s">
        <v>25</v>
      </c>
      <c r="E344" s="102" t="s">
        <v>221</v>
      </c>
      <c r="F344" s="103" t="s">
        <v>39</v>
      </c>
      <c r="G344" s="574"/>
      <c r="H344" s="242">
        <f>H345</f>
        <v>46.9</v>
      </c>
    </row>
    <row r="345" spans="1:8" ht="36" x14ac:dyDescent="0.35">
      <c r="A345" s="448"/>
      <c r="B345" s="193" t="s">
        <v>326</v>
      </c>
      <c r="C345" s="101" t="s">
        <v>221</v>
      </c>
      <c r="D345" s="102" t="s">
        <v>25</v>
      </c>
      <c r="E345" s="102" t="s">
        <v>221</v>
      </c>
      <c r="F345" s="103" t="s">
        <v>325</v>
      </c>
      <c r="G345" s="574"/>
      <c r="H345" s="242">
        <f>H346</f>
        <v>46.9</v>
      </c>
    </row>
    <row r="346" spans="1:8" ht="36" x14ac:dyDescent="0.35">
      <c r="A346" s="448"/>
      <c r="B346" s="108" t="s">
        <v>50</v>
      </c>
      <c r="C346" s="101" t="s">
        <v>221</v>
      </c>
      <c r="D346" s="102" t="s">
        <v>25</v>
      </c>
      <c r="E346" s="102" t="s">
        <v>221</v>
      </c>
      <c r="F346" s="103" t="s">
        <v>325</v>
      </c>
      <c r="G346" s="574" t="s">
        <v>51</v>
      </c>
      <c r="H346" s="242">
        <f>'прил9 (ведом 22)'!M301</f>
        <v>46.9</v>
      </c>
    </row>
    <row r="347" spans="1:8" ht="18" x14ac:dyDescent="0.35">
      <c r="A347" s="448"/>
      <c r="B347" s="422"/>
      <c r="C347" s="449"/>
      <c r="D347" s="577"/>
      <c r="E347" s="577"/>
      <c r="F347" s="578"/>
      <c r="G347" s="264"/>
      <c r="H347" s="242"/>
    </row>
    <row r="348" spans="1:8" s="413" customFormat="1" ht="52.2" x14ac:dyDescent="0.3">
      <c r="A348" s="423">
        <v>8</v>
      </c>
      <c r="B348" s="453" t="s">
        <v>284</v>
      </c>
      <c r="C348" s="424" t="s">
        <v>74</v>
      </c>
      <c r="D348" s="424" t="s">
        <v>37</v>
      </c>
      <c r="E348" s="424" t="s">
        <v>38</v>
      </c>
      <c r="F348" s="425" t="s">
        <v>39</v>
      </c>
      <c r="G348" s="412"/>
      <c r="H348" s="289">
        <f>H349</f>
        <v>123077.3</v>
      </c>
    </row>
    <row r="349" spans="1:8" ht="24.75" customHeight="1" x14ac:dyDescent="0.35">
      <c r="A349" s="403"/>
      <c r="B349" s="414" t="s">
        <v>328</v>
      </c>
      <c r="C349" s="483" t="s">
        <v>74</v>
      </c>
      <c r="D349" s="449" t="s">
        <v>40</v>
      </c>
      <c r="E349" s="449" t="s">
        <v>38</v>
      </c>
      <c r="F349" s="229" t="s">
        <v>39</v>
      </c>
      <c r="G349" s="264"/>
      <c r="H349" s="242">
        <f>H350+H363+H368+H378</f>
        <v>123077.3</v>
      </c>
    </row>
    <row r="350" spans="1:8" ht="36" x14ac:dyDescent="0.35">
      <c r="A350" s="403"/>
      <c r="B350" s="414" t="s">
        <v>273</v>
      </c>
      <c r="C350" s="227" t="s">
        <v>74</v>
      </c>
      <c r="D350" s="228" t="s">
        <v>40</v>
      </c>
      <c r="E350" s="228" t="s">
        <v>32</v>
      </c>
      <c r="F350" s="229" t="s">
        <v>39</v>
      </c>
      <c r="G350" s="264"/>
      <c r="H350" s="242">
        <f>H351+H354+H357+H360</f>
        <v>65283.799999999996</v>
      </c>
    </row>
    <row r="351" spans="1:8" ht="126" x14ac:dyDescent="0.35">
      <c r="A351" s="403"/>
      <c r="B351" s="557" t="s">
        <v>346</v>
      </c>
      <c r="C351" s="227" t="s">
        <v>74</v>
      </c>
      <c r="D351" s="228" t="s">
        <v>40</v>
      </c>
      <c r="E351" s="228" t="s">
        <v>32</v>
      </c>
      <c r="F351" s="229" t="s">
        <v>533</v>
      </c>
      <c r="G351" s="41"/>
      <c r="H351" s="242">
        <f>SUM(H352:H353)</f>
        <v>35369.600000000006</v>
      </c>
    </row>
    <row r="352" spans="1:8" ht="36" x14ac:dyDescent="0.35">
      <c r="A352" s="403"/>
      <c r="B352" s="558" t="s">
        <v>50</v>
      </c>
      <c r="C352" s="227" t="s">
        <v>74</v>
      </c>
      <c r="D352" s="228" t="s">
        <v>40</v>
      </c>
      <c r="E352" s="228" t="s">
        <v>32</v>
      </c>
      <c r="F352" s="229" t="s">
        <v>533</v>
      </c>
      <c r="G352" s="41" t="s">
        <v>51</v>
      </c>
      <c r="H352" s="242">
        <f>'прил9 (ведом 22)'!M692</f>
        <v>176.8</v>
      </c>
    </row>
    <row r="353" spans="1:8" ht="18" x14ac:dyDescent="0.35">
      <c r="A353" s="403"/>
      <c r="B353" s="414" t="s">
        <v>115</v>
      </c>
      <c r="C353" s="227" t="s">
        <v>74</v>
      </c>
      <c r="D353" s="228" t="s">
        <v>40</v>
      </c>
      <c r="E353" s="228" t="s">
        <v>32</v>
      </c>
      <c r="F353" s="229" t="s">
        <v>533</v>
      </c>
      <c r="G353" s="41" t="s">
        <v>116</v>
      </c>
      <c r="H353" s="242">
        <f>'прил9 (ведом 22)'!M693</f>
        <v>35192.800000000003</v>
      </c>
    </row>
    <row r="354" spans="1:8" ht="90" x14ac:dyDescent="0.35">
      <c r="A354" s="403"/>
      <c r="B354" s="414" t="s">
        <v>348</v>
      </c>
      <c r="C354" s="227" t="s">
        <v>74</v>
      </c>
      <c r="D354" s="228" t="s">
        <v>40</v>
      </c>
      <c r="E354" s="228" t="s">
        <v>32</v>
      </c>
      <c r="F354" s="229" t="s">
        <v>535</v>
      </c>
      <c r="G354" s="41"/>
      <c r="H354" s="242">
        <f>SUM(H355:H356)</f>
        <v>1437.7</v>
      </c>
    </row>
    <row r="355" spans="1:8" ht="36" x14ac:dyDescent="0.35">
      <c r="A355" s="403"/>
      <c r="B355" s="414" t="s">
        <v>50</v>
      </c>
      <c r="C355" s="227" t="s">
        <v>74</v>
      </c>
      <c r="D355" s="228" t="s">
        <v>40</v>
      </c>
      <c r="E355" s="228" t="s">
        <v>32</v>
      </c>
      <c r="F355" s="229" t="s">
        <v>535</v>
      </c>
      <c r="G355" s="41" t="s">
        <v>51</v>
      </c>
      <c r="H355" s="242">
        <f>'прил9 (ведом 22)'!M695</f>
        <v>7.2</v>
      </c>
    </row>
    <row r="356" spans="1:8" ht="18" x14ac:dyDescent="0.35">
      <c r="A356" s="403"/>
      <c r="B356" s="414" t="s">
        <v>115</v>
      </c>
      <c r="C356" s="227" t="s">
        <v>74</v>
      </c>
      <c r="D356" s="228" t="s">
        <v>40</v>
      </c>
      <c r="E356" s="228" t="s">
        <v>32</v>
      </c>
      <c r="F356" s="229" t="s">
        <v>535</v>
      </c>
      <c r="G356" s="41" t="s">
        <v>116</v>
      </c>
      <c r="H356" s="242">
        <f>'прил9 (ведом 22)'!M696</f>
        <v>1430.5</v>
      </c>
    </row>
    <row r="357" spans="1:8" ht="90" x14ac:dyDescent="0.35">
      <c r="A357" s="403"/>
      <c r="B357" s="414" t="s">
        <v>347</v>
      </c>
      <c r="C357" s="227" t="s">
        <v>74</v>
      </c>
      <c r="D357" s="228" t="s">
        <v>40</v>
      </c>
      <c r="E357" s="228" t="s">
        <v>32</v>
      </c>
      <c r="F357" s="229" t="s">
        <v>534</v>
      </c>
      <c r="G357" s="41"/>
      <c r="H357" s="242">
        <f>SUM(H358:H359)</f>
        <v>26725.899999999998</v>
      </c>
    </row>
    <row r="358" spans="1:8" ht="36" x14ac:dyDescent="0.35">
      <c r="A358" s="403"/>
      <c r="B358" s="558" t="s">
        <v>50</v>
      </c>
      <c r="C358" s="227" t="s">
        <v>74</v>
      </c>
      <c r="D358" s="228" t="s">
        <v>40</v>
      </c>
      <c r="E358" s="228" t="s">
        <v>32</v>
      </c>
      <c r="F358" s="229" t="s">
        <v>534</v>
      </c>
      <c r="G358" s="41" t="s">
        <v>51</v>
      </c>
      <c r="H358" s="242">
        <f>'прил9 (ведом 22)'!M698</f>
        <v>133.6</v>
      </c>
    </row>
    <row r="359" spans="1:8" ht="18" x14ac:dyDescent="0.35">
      <c r="A359" s="403"/>
      <c r="B359" s="414" t="s">
        <v>115</v>
      </c>
      <c r="C359" s="227" t="s">
        <v>74</v>
      </c>
      <c r="D359" s="228" t="s">
        <v>40</v>
      </c>
      <c r="E359" s="228" t="s">
        <v>32</v>
      </c>
      <c r="F359" s="229" t="s">
        <v>534</v>
      </c>
      <c r="G359" s="41" t="s">
        <v>116</v>
      </c>
      <c r="H359" s="242">
        <f>'прил9 (ведом 22)'!M699</f>
        <v>26592.3</v>
      </c>
    </row>
    <row r="360" spans="1:8" ht="108" x14ac:dyDescent="0.35">
      <c r="A360" s="403"/>
      <c r="B360" s="414" t="s">
        <v>354</v>
      </c>
      <c r="C360" s="227" t="s">
        <v>74</v>
      </c>
      <c r="D360" s="228" t="s">
        <v>40</v>
      </c>
      <c r="E360" s="228" t="s">
        <v>32</v>
      </c>
      <c r="F360" s="229" t="s">
        <v>536</v>
      </c>
      <c r="G360" s="41"/>
      <c r="H360" s="242">
        <f>SUM(H361:H362)</f>
        <v>1750.6</v>
      </c>
    </row>
    <row r="361" spans="1:8" ht="36" x14ac:dyDescent="0.35">
      <c r="A361" s="403"/>
      <c r="B361" s="414" t="s">
        <v>50</v>
      </c>
      <c r="C361" s="227" t="s">
        <v>74</v>
      </c>
      <c r="D361" s="228" t="s">
        <v>40</v>
      </c>
      <c r="E361" s="228" t="s">
        <v>32</v>
      </c>
      <c r="F361" s="229" t="s">
        <v>536</v>
      </c>
      <c r="G361" s="41" t="s">
        <v>51</v>
      </c>
      <c r="H361" s="242">
        <f>'прил9 (ведом 22)'!M701</f>
        <v>8.6</v>
      </c>
    </row>
    <row r="362" spans="1:8" ht="17.25" customHeight="1" x14ac:dyDescent="0.35">
      <c r="A362" s="403"/>
      <c r="B362" s="414" t="s">
        <v>115</v>
      </c>
      <c r="C362" s="227" t="s">
        <v>74</v>
      </c>
      <c r="D362" s="228" t="s">
        <v>40</v>
      </c>
      <c r="E362" s="228" t="s">
        <v>32</v>
      </c>
      <c r="F362" s="229" t="s">
        <v>536</v>
      </c>
      <c r="G362" s="41" t="s">
        <v>116</v>
      </c>
      <c r="H362" s="242">
        <f>'прил9 (ведом 22)'!M702</f>
        <v>1742</v>
      </c>
    </row>
    <row r="363" spans="1:8" ht="72" x14ac:dyDescent="0.35">
      <c r="A363" s="403"/>
      <c r="B363" s="459" t="s">
        <v>289</v>
      </c>
      <c r="C363" s="485" t="s">
        <v>74</v>
      </c>
      <c r="D363" s="486" t="s">
        <v>40</v>
      </c>
      <c r="E363" s="486" t="s">
        <v>34</v>
      </c>
      <c r="F363" s="487" t="s">
        <v>39</v>
      </c>
      <c r="G363" s="488"/>
      <c r="H363" s="242">
        <f>H364+H366</f>
        <v>48897.8</v>
      </c>
    </row>
    <row r="364" spans="1:8" ht="90" x14ac:dyDescent="0.35">
      <c r="A364" s="403"/>
      <c r="B364" s="435" t="s">
        <v>405</v>
      </c>
      <c r="C364" s="535" t="s">
        <v>74</v>
      </c>
      <c r="D364" s="536" t="s">
        <v>40</v>
      </c>
      <c r="E364" s="536" t="s">
        <v>34</v>
      </c>
      <c r="F364" s="537" t="s">
        <v>406</v>
      </c>
      <c r="G364" s="538"/>
      <c r="H364" s="242">
        <f>H365</f>
        <v>40756</v>
      </c>
    </row>
    <row r="365" spans="1:8" ht="36" x14ac:dyDescent="0.35">
      <c r="A365" s="403"/>
      <c r="B365" s="435" t="s">
        <v>198</v>
      </c>
      <c r="C365" s="415" t="s">
        <v>74</v>
      </c>
      <c r="D365" s="416" t="s">
        <v>40</v>
      </c>
      <c r="E365" s="416" t="s">
        <v>34</v>
      </c>
      <c r="F365" s="417" t="s">
        <v>406</v>
      </c>
      <c r="G365" s="418" t="s">
        <v>199</v>
      </c>
      <c r="H365" s="242">
        <f>'прил9 (ведом 22)'!M351</f>
        <v>40756</v>
      </c>
    </row>
    <row r="366" spans="1:8" ht="90" x14ac:dyDescent="0.35">
      <c r="A366" s="403"/>
      <c r="B366" s="113" t="s">
        <v>405</v>
      </c>
      <c r="C366" s="88" t="s">
        <v>74</v>
      </c>
      <c r="D366" s="89" t="s">
        <v>40</v>
      </c>
      <c r="E366" s="89" t="s">
        <v>34</v>
      </c>
      <c r="F366" s="114" t="s">
        <v>544</v>
      </c>
      <c r="G366" s="91"/>
      <c r="H366" s="242">
        <f>H367</f>
        <v>8141.8</v>
      </c>
    </row>
    <row r="367" spans="1:8" ht="36" x14ac:dyDescent="0.35">
      <c r="A367" s="403"/>
      <c r="B367" s="113" t="s">
        <v>198</v>
      </c>
      <c r="C367" s="88" t="s">
        <v>74</v>
      </c>
      <c r="D367" s="89" t="s">
        <v>40</v>
      </c>
      <c r="E367" s="89" t="s">
        <v>34</v>
      </c>
      <c r="F367" s="114" t="s">
        <v>544</v>
      </c>
      <c r="G367" s="91" t="s">
        <v>199</v>
      </c>
      <c r="H367" s="242">
        <f>'прил9 (ведом 22)'!M353</f>
        <v>8141.8</v>
      </c>
    </row>
    <row r="368" spans="1:8" ht="36" x14ac:dyDescent="0.35">
      <c r="A368" s="403"/>
      <c r="B368" s="414" t="s">
        <v>224</v>
      </c>
      <c r="C368" s="227" t="s">
        <v>74</v>
      </c>
      <c r="D368" s="228" t="s">
        <v>40</v>
      </c>
      <c r="E368" s="228" t="s">
        <v>58</v>
      </c>
      <c r="F368" s="229" t="s">
        <v>39</v>
      </c>
      <c r="G368" s="41"/>
      <c r="H368" s="242">
        <f>H369+H372+H375</f>
        <v>7695.7</v>
      </c>
    </row>
    <row r="369" spans="1:8" ht="234" x14ac:dyDescent="0.35">
      <c r="A369" s="403"/>
      <c r="B369" s="414" t="s">
        <v>227</v>
      </c>
      <c r="C369" s="227" t="s">
        <v>74</v>
      </c>
      <c r="D369" s="228" t="s">
        <v>40</v>
      </c>
      <c r="E369" s="228" t="s">
        <v>58</v>
      </c>
      <c r="F369" s="229" t="s">
        <v>537</v>
      </c>
      <c r="G369" s="41"/>
      <c r="H369" s="242">
        <f>SUM(H370:H371)</f>
        <v>884.4</v>
      </c>
    </row>
    <row r="370" spans="1:8" ht="90" x14ac:dyDescent="0.35">
      <c r="A370" s="403"/>
      <c r="B370" s="414" t="s">
        <v>44</v>
      </c>
      <c r="C370" s="227" t="s">
        <v>74</v>
      </c>
      <c r="D370" s="228" t="s">
        <v>40</v>
      </c>
      <c r="E370" s="228" t="s">
        <v>58</v>
      </c>
      <c r="F370" s="229" t="s">
        <v>537</v>
      </c>
      <c r="G370" s="41" t="s">
        <v>45</v>
      </c>
      <c r="H370" s="242">
        <f>'прил9 (ведом 22)'!M708</f>
        <v>824.4</v>
      </c>
    </row>
    <row r="371" spans="1:8" ht="36" x14ac:dyDescent="0.35">
      <c r="A371" s="403"/>
      <c r="B371" s="414" t="s">
        <v>50</v>
      </c>
      <c r="C371" s="227" t="s">
        <v>74</v>
      </c>
      <c r="D371" s="228" t="s">
        <v>40</v>
      </c>
      <c r="E371" s="228" t="s">
        <v>58</v>
      </c>
      <c r="F371" s="229" t="s">
        <v>537</v>
      </c>
      <c r="G371" s="41" t="s">
        <v>51</v>
      </c>
      <c r="H371" s="242">
        <f>'прил9 (ведом 22)'!M709</f>
        <v>60</v>
      </c>
    </row>
    <row r="372" spans="1:8" ht="90" x14ac:dyDescent="0.35">
      <c r="A372" s="403"/>
      <c r="B372" s="65" t="s">
        <v>434</v>
      </c>
      <c r="C372" s="227" t="s">
        <v>74</v>
      </c>
      <c r="D372" s="228" t="s">
        <v>40</v>
      </c>
      <c r="E372" s="228" t="s">
        <v>58</v>
      </c>
      <c r="F372" s="229" t="s">
        <v>531</v>
      </c>
      <c r="G372" s="41"/>
      <c r="H372" s="242">
        <f>SUM(H373:H374)</f>
        <v>645.4</v>
      </c>
    </row>
    <row r="373" spans="1:8" ht="90" x14ac:dyDescent="0.35">
      <c r="A373" s="403"/>
      <c r="B373" s="414" t="s">
        <v>44</v>
      </c>
      <c r="C373" s="227" t="s">
        <v>74</v>
      </c>
      <c r="D373" s="228" t="s">
        <v>40</v>
      </c>
      <c r="E373" s="228" t="s">
        <v>58</v>
      </c>
      <c r="F373" s="229" t="s">
        <v>531</v>
      </c>
      <c r="G373" s="41" t="s">
        <v>45</v>
      </c>
      <c r="H373" s="242">
        <f>'прил9 (ведом 22)'!M711</f>
        <v>615.4</v>
      </c>
    </row>
    <row r="374" spans="1:8" ht="36" x14ac:dyDescent="0.35">
      <c r="A374" s="403"/>
      <c r="B374" s="414" t="s">
        <v>50</v>
      </c>
      <c r="C374" s="227" t="s">
        <v>74</v>
      </c>
      <c r="D374" s="228" t="s">
        <v>40</v>
      </c>
      <c r="E374" s="228" t="s">
        <v>58</v>
      </c>
      <c r="F374" s="229" t="s">
        <v>531</v>
      </c>
      <c r="G374" s="41" t="s">
        <v>51</v>
      </c>
      <c r="H374" s="242">
        <f>'прил9 (ведом 22)'!M712</f>
        <v>30</v>
      </c>
    </row>
    <row r="375" spans="1:8" ht="72" x14ac:dyDescent="0.35">
      <c r="A375" s="403"/>
      <c r="B375" s="414" t="s">
        <v>226</v>
      </c>
      <c r="C375" s="227" t="s">
        <v>74</v>
      </c>
      <c r="D375" s="228" t="s">
        <v>40</v>
      </c>
      <c r="E375" s="228" t="s">
        <v>58</v>
      </c>
      <c r="F375" s="229" t="s">
        <v>532</v>
      </c>
      <c r="G375" s="41"/>
      <c r="H375" s="242">
        <f>H376+H377</f>
        <v>6165.9</v>
      </c>
    </row>
    <row r="376" spans="1:8" ht="90" x14ac:dyDescent="0.35">
      <c r="A376" s="403"/>
      <c r="B376" s="414" t="s">
        <v>44</v>
      </c>
      <c r="C376" s="227" t="s">
        <v>74</v>
      </c>
      <c r="D376" s="228" t="s">
        <v>40</v>
      </c>
      <c r="E376" s="228" t="s">
        <v>58</v>
      </c>
      <c r="F376" s="229" t="s">
        <v>532</v>
      </c>
      <c r="G376" s="41" t="s">
        <v>45</v>
      </c>
      <c r="H376" s="242">
        <f>'прил9 (ведом 22)'!M714</f>
        <v>5805.9</v>
      </c>
    </row>
    <row r="377" spans="1:8" ht="36" x14ac:dyDescent="0.35">
      <c r="A377" s="403"/>
      <c r="B377" s="414" t="s">
        <v>50</v>
      </c>
      <c r="C377" s="559" t="s">
        <v>74</v>
      </c>
      <c r="D377" s="560" t="s">
        <v>40</v>
      </c>
      <c r="E377" s="560" t="s">
        <v>58</v>
      </c>
      <c r="F377" s="561" t="s">
        <v>532</v>
      </c>
      <c r="G377" s="41" t="s">
        <v>51</v>
      </c>
      <c r="H377" s="242">
        <f>'прил9 (ведом 22)'!M715</f>
        <v>360</v>
      </c>
    </row>
    <row r="378" spans="1:8" ht="72" x14ac:dyDescent="0.35">
      <c r="A378" s="448"/>
      <c r="B378" s="443" t="s">
        <v>425</v>
      </c>
      <c r="C378" s="227" t="s">
        <v>74</v>
      </c>
      <c r="D378" s="228" t="s">
        <v>40</v>
      </c>
      <c r="E378" s="228" t="s">
        <v>47</v>
      </c>
      <c r="F378" s="229" t="s">
        <v>39</v>
      </c>
      <c r="G378" s="41"/>
      <c r="H378" s="242">
        <f>H379</f>
        <v>1200</v>
      </c>
    </row>
    <row r="379" spans="1:8" ht="72" x14ac:dyDescent="0.35">
      <c r="A379" s="448"/>
      <c r="B379" s="443" t="s">
        <v>420</v>
      </c>
      <c r="C379" s="227" t="s">
        <v>74</v>
      </c>
      <c r="D379" s="228" t="s">
        <v>40</v>
      </c>
      <c r="E379" s="228" t="s">
        <v>47</v>
      </c>
      <c r="F379" s="229" t="s">
        <v>345</v>
      </c>
      <c r="G379" s="41"/>
      <c r="H379" s="242">
        <f>H380</f>
        <v>1200</v>
      </c>
    </row>
    <row r="380" spans="1:8" ht="23.25" customHeight="1" x14ac:dyDescent="0.35">
      <c r="A380" s="448"/>
      <c r="B380" s="420" t="s">
        <v>115</v>
      </c>
      <c r="C380" s="227" t="s">
        <v>74</v>
      </c>
      <c r="D380" s="228" t="s">
        <v>40</v>
      </c>
      <c r="E380" s="228" t="s">
        <v>47</v>
      </c>
      <c r="F380" s="229" t="s">
        <v>345</v>
      </c>
      <c r="G380" s="41" t="s">
        <v>116</v>
      </c>
      <c r="H380" s="242">
        <f>'прил9 (ведом 22)'!M202</f>
        <v>1200</v>
      </c>
    </row>
    <row r="381" spans="1:8" ht="18" x14ac:dyDescent="0.35">
      <c r="A381" s="403"/>
      <c r="B381" s="414"/>
      <c r="C381" s="228"/>
      <c r="D381" s="228"/>
      <c r="E381" s="228"/>
      <c r="F381" s="229"/>
      <c r="G381" s="41"/>
      <c r="H381" s="242"/>
    </row>
    <row r="382" spans="1:8" ht="69.599999999999994" x14ac:dyDescent="0.3">
      <c r="A382" s="423">
        <v>9</v>
      </c>
      <c r="B382" s="434" t="s">
        <v>321</v>
      </c>
      <c r="C382" s="424" t="s">
        <v>99</v>
      </c>
      <c r="D382" s="424" t="s">
        <v>37</v>
      </c>
      <c r="E382" s="424" t="s">
        <v>38</v>
      </c>
      <c r="F382" s="425" t="s">
        <v>39</v>
      </c>
      <c r="G382" s="494"/>
      <c r="H382" s="289">
        <f>H383+H389+H393+H397</f>
        <v>60148.2</v>
      </c>
    </row>
    <row r="383" spans="1:8" ht="36" x14ac:dyDescent="0.35">
      <c r="A383" s="423"/>
      <c r="B383" s="414" t="s">
        <v>323</v>
      </c>
      <c r="C383" s="227" t="s">
        <v>99</v>
      </c>
      <c r="D383" s="228" t="s">
        <v>40</v>
      </c>
      <c r="E383" s="228" t="s">
        <v>38</v>
      </c>
      <c r="F383" s="229" t="s">
        <v>39</v>
      </c>
      <c r="G383" s="41"/>
      <c r="H383" s="242">
        <f>H384</f>
        <v>13384.6</v>
      </c>
    </row>
    <row r="384" spans="1:8" ht="54" x14ac:dyDescent="0.35">
      <c r="A384" s="423"/>
      <c r="B384" s="240" t="s">
        <v>360</v>
      </c>
      <c r="C384" s="227" t="s">
        <v>99</v>
      </c>
      <c r="D384" s="228" t="s">
        <v>40</v>
      </c>
      <c r="E384" s="228" t="s">
        <v>32</v>
      </c>
      <c r="F384" s="229" t="s">
        <v>39</v>
      </c>
      <c r="G384" s="41"/>
      <c r="H384" s="242">
        <f>H385+H387</f>
        <v>13384.6</v>
      </c>
    </row>
    <row r="385" spans="1:8" ht="54" x14ac:dyDescent="0.35">
      <c r="A385" s="423"/>
      <c r="B385" s="108" t="s">
        <v>551</v>
      </c>
      <c r="C385" s="88" t="s">
        <v>99</v>
      </c>
      <c r="D385" s="89" t="s">
        <v>40</v>
      </c>
      <c r="E385" s="89" t="s">
        <v>32</v>
      </c>
      <c r="F385" s="114" t="s">
        <v>550</v>
      </c>
      <c r="G385" s="91"/>
      <c r="H385" s="242">
        <f>H386</f>
        <v>1029.7</v>
      </c>
    </row>
    <row r="386" spans="1:8" ht="36" x14ac:dyDescent="0.35">
      <c r="A386" s="423"/>
      <c r="B386" s="108" t="s">
        <v>198</v>
      </c>
      <c r="C386" s="88" t="s">
        <v>99</v>
      </c>
      <c r="D386" s="89" t="s">
        <v>40</v>
      </c>
      <c r="E386" s="89" t="s">
        <v>32</v>
      </c>
      <c r="F386" s="114" t="s">
        <v>550</v>
      </c>
      <c r="G386" s="91" t="s">
        <v>199</v>
      </c>
      <c r="H386" s="242">
        <f>'прил9 (ведом 22)'!M321</f>
        <v>1029.7</v>
      </c>
    </row>
    <row r="387" spans="1:8" ht="54" x14ac:dyDescent="0.35">
      <c r="A387" s="423"/>
      <c r="B387" s="459" t="s">
        <v>482</v>
      </c>
      <c r="C387" s="415" t="s">
        <v>99</v>
      </c>
      <c r="D387" s="416" t="s">
        <v>40</v>
      </c>
      <c r="E387" s="416" t="s">
        <v>32</v>
      </c>
      <c r="F387" s="417" t="s">
        <v>404</v>
      </c>
      <c r="G387" s="418"/>
      <c r="H387" s="242">
        <f>SUM(H388:H388)</f>
        <v>12354.9</v>
      </c>
    </row>
    <row r="388" spans="1:8" ht="36" x14ac:dyDescent="0.35">
      <c r="A388" s="539"/>
      <c r="B388" s="540" t="s">
        <v>198</v>
      </c>
      <c r="C388" s="456" t="s">
        <v>99</v>
      </c>
      <c r="D388" s="457" t="s">
        <v>40</v>
      </c>
      <c r="E388" s="457" t="s">
        <v>32</v>
      </c>
      <c r="F388" s="541" t="s">
        <v>404</v>
      </c>
      <c r="G388" s="542" t="s">
        <v>199</v>
      </c>
      <c r="H388" s="543">
        <f>'прил9 (ведом 22)'!M323</f>
        <v>12354.9</v>
      </c>
    </row>
    <row r="389" spans="1:8" ht="18" x14ac:dyDescent="0.35">
      <c r="A389" s="539"/>
      <c r="B389" s="225" t="s">
        <v>328</v>
      </c>
      <c r="C389" s="227" t="s">
        <v>99</v>
      </c>
      <c r="D389" s="228" t="s">
        <v>25</v>
      </c>
      <c r="E389" s="228" t="s">
        <v>38</v>
      </c>
      <c r="F389" s="229" t="s">
        <v>39</v>
      </c>
      <c r="G389" s="544"/>
      <c r="H389" s="543">
        <f>H390</f>
        <v>2109.1999999999998</v>
      </c>
    </row>
    <row r="390" spans="1:8" ht="36" x14ac:dyDescent="0.35">
      <c r="A390" s="539"/>
      <c r="B390" s="545" t="s">
        <v>486</v>
      </c>
      <c r="C390" s="227" t="s">
        <v>99</v>
      </c>
      <c r="D390" s="228" t="s">
        <v>25</v>
      </c>
      <c r="E390" s="228" t="s">
        <v>221</v>
      </c>
      <c r="F390" s="229" t="s">
        <v>39</v>
      </c>
      <c r="G390" s="544"/>
      <c r="H390" s="543">
        <f>H391</f>
        <v>2109.1999999999998</v>
      </c>
    </row>
    <row r="391" spans="1:8" ht="18" x14ac:dyDescent="0.35">
      <c r="A391" s="539"/>
      <c r="B391" s="545" t="s">
        <v>487</v>
      </c>
      <c r="C391" s="227" t="s">
        <v>99</v>
      </c>
      <c r="D391" s="228" t="s">
        <v>25</v>
      </c>
      <c r="E391" s="228" t="s">
        <v>221</v>
      </c>
      <c r="F391" s="229" t="s">
        <v>485</v>
      </c>
      <c r="G391" s="544"/>
      <c r="H391" s="543">
        <f>H392</f>
        <v>2109.1999999999998</v>
      </c>
    </row>
    <row r="392" spans="1:8" ht="36" x14ac:dyDescent="0.35">
      <c r="A392" s="539"/>
      <c r="B392" s="545" t="s">
        <v>50</v>
      </c>
      <c r="C392" s="227" t="s">
        <v>99</v>
      </c>
      <c r="D392" s="228" t="s">
        <v>25</v>
      </c>
      <c r="E392" s="228" t="s">
        <v>221</v>
      </c>
      <c r="F392" s="229" t="s">
        <v>485</v>
      </c>
      <c r="G392" s="544" t="s">
        <v>51</v>
      </c>
      <c r="H392" s="230">
        <f>'прил9 (ведом 22)'!M184</f>
        <v>2109.1999999999998</v>
      </c>
    </row>
    <row r="393" spans="1:8" ht="54" x14ac:dyDescent="0.35">
      <c r="A393" s="539"/>
      <c r="B393" s="240" t="s">
        <v>477</v>
      </c>
      <c r="C393" s="227" t="s">
        <v>99</v>
      </c>
      <c r="D393" s="228" t="s">
        <v>29</v>
      </c>
      <c r="E393" s="228" t="s">
        <v>38</v>
      </c>
      <c r="F393" s="229" t="s">
        <v>39</v>
      </c>
      <c r="G393" s="41"/>
      <c r="H393" s="543">
        <f>H394</f>
        <v>1224.5</v>
      </c>
    </row>
    <row r="394" spans="1:8" ht="36" x14ac:dyDescent="0.35">
      <c r="A394" s="539"/>
      <c r="B394" s="240" t="s">
        <v>478</v>
      </c>
      <c r="C394" s="227" t="s">
        <v>99</v>
      </c>
      <c r="D394" s="228" t="s">
        <v>29</v>
      </c>
      <c r="E394" s="228" t="s">
        <v>32</v>
      </c>
      <c r="F394" s="229" t="s">
        <v>39</v>
      </c>
      <c r="G394" s="41"/>
      <c r="H394" s="543">
        <f>H395</f>
        <v>1224.5</v>
      </c>
    </row>
    <row r="395" spans="1:8" ht="36" x14ac:dyDescent="0.35">
      <c r="A395" s="539"/>
      <c r="B395" s="240" t="s">
        <v>479</v>
      </c>
      <c r="C395" s="227" t="s">
        <v>99</v>
      </c>
      <c r="D395" s="228" t="s">
        <v>29</v>
      </c>
      <c r="E395" s="228" t="s">
        <v>32</v>
      </c>
      <c r="F395" s="229" t="s">
        <v>480</v>
      </c>
      <c r="G395" s="41"/>
      <c r="H395" s="543">
        <f>H396</f>
        <v>1224.5</v>
      </c>
    </row>
    <row r="396" spans="1:8" ht="36" x14ac:dyDescent="0.35">
      <c r="A396" s="539"/>
      <c r="B396" s="240" t="s">
        <v>50</v>
      </c>
      <c r="C396" s="227" t="s">
        <v>99</v>
      </c>
      <c r="D396" s="228" t="s">
        <v>29</v>
      </c>
      <c r="E396" s="228" t="s">
        <v>32</v>
      </c>
      <c r="F396" s="229" t="s">
        <v>480</v>
      </c>
      <c r="G396" s="41" t="s">
        <v>51</v>
      </c>
      <c r="H396" s="543">
        <f>'прил9 (ведом 22)'!M188</f>
        <v>1224.5</v>
      </c>
    </row>
    <row r="397" spans="1:8" ht="36" x14ac:dyDescent="0.35">
      <c r="A397" s="539"/>
      <c r="B397" s="546" t="s">
        <v>459</v>
      </c>
      <c r="C397" s="227" t="s">
        <v>99</v>
      </c>
      <c r="D397" s="228" t="s">
        <v>460</v>
      </c>
      <c r="E397" s="228" t="s">
        <v>38</v>
      </c>
      <c r="F397" s="229" t="s">
        <v>39</v>
      </c>
      <c r="G397" s="41"/>
      <c r="H397" s="543">
        <f>H398+H401</f>
        <v>43429.899999999994</v>
      </c>
    </row>
    <row r="398" spans="1:8" ht="36" x14ac:dyDescent="0.35">
      <c r="A398" s="539"/>
      <c r="B398" s="590" t="s">
        <v>559</v>
      </c>
      <c r="C398" s="227" t="s">
        <v>99</v>
      </c>
      <c r="D398" s="228" t="s">
        <v>460</v>
      </c>
      <c r="E398" s="228" t="s">
        <v>32</v>
      </c>
      <c r="F398" s="229" t="s">
        <v>39</v>
      </c>
      <c r="G398" s="41"/>
      <c r="H398" s="543">
        <f>H399</f>
        <v>10.199999999999999</v>
      </c>
    </row>
    <row r="399" spans="1:8" ht="54" x14ac:dyDescent="0.35">
      <c r="A399" s="539"/>
      <c r="B399" s="590" t="s">
        <v>560</v>
      </c>
      <c r="C399" s="227" t="s">
        <v>99</v>
      </c>
      <c r="D399" s="228" t="s">
        <v>460</v>
      </c>
      <c r="E399" s="228" t="s">
        <v>32</v>
      </c>
      <c r="F399" s="229" t="s">
        <v>558</v>
      </c>
      <c r="G399" s="41"/>
      <c r="H399" s="543">
        <f>H400</f>
        <v>10.199999999999999</v>
      </c>
    </row>
    <row r="400" spans="1:8" ht="36" x14ac:dyDescent="0.35">
      <c r="A400" s="539"/>
      <c r="B400" s="590" t="s">
        <v>50</v>
      </c>
      <c r="C400" s="227" t="s">
        <v>99</v>
      </c>
      <c r="D400" s="228" t="s">
        <v>460</v>
      </c>
      <c r="E400" s="228" t="s">
        <v>32</v>
      </c>
      <c r="F400" s="229" t="s">
        <v>558</v>
      </c>
      <c r="G400" s="41" t="s">
        <v>51</v>
      </c>
      <c r="H400" s="596">
        <f>'прил9 (ведом 22)'!M65</f>
        <v>10.199999999999999</v>
      </c>
    </row>
    <row r="401" spans="1:8" ht="54" x14ac:dyDescent="0.35">
      <c r="A401" s="539"/>
      <c r="B401" s="240" t="s">
        <v>451</v>
      </c>
      <c r="C401" s="227" t="s">
        <v>99</v>
      </c>
      <c r="D401" s="228" t="s">
        <v>460</v>
      </c>
      <c r="E401" s="228" t="s">
        <v>448</v>
      </c>
      <c r="F401" s="229" t="s">
        <v>39</v>
      </c>
      <c r="G401" s="41"/>
      <c r="H401" s="543">
        <f>H402+H404+H406</f>
        <v>43419.7</v>
      </c>
    </row>
    <row r="402" spans="1:8" ht="90" x14ac:dyDescent="0.35">
      <c r="A402" s="539"/>
      <c r="B402" s="240" t="s">
        <v>452</v>
      </c>
      <c r="C402" s="227" t="s">
        <v>99</v>
      </c>
      <c r="D402" s="228" t="s">
        <v>460</v>
      </c>
      <c r="E402" s="228" t="s">
        <v>448</v>
      </c>
      <c r="F402" s="229" t="s">
        <v>449</v>
      </c>
      <c r="G402" s="41"/>
      <c r="H402" s="543">
        <f>H403</f>
        <v>21532.7</v>
      </c>
    </row>
    <row r="403" spans="1:8" ht="36" x14ac:dyDescent="0.35">
      <c r="A403" s="539"/>
      <c r="B403" s="240" t="s">
        <v>198</v>
      </c>
      <c r="C403" s="227" t="s">
        <v>99</v>
      </c>
      <c r="D403" s="228" t="s">
        <v>460</v>
      </c>
      <c r="E403" s="228" t="s">
        <v>448</v>
      </c>
      <c r="F403" s="229" t="s">
        <v>449</v>
      </c>
      <c r="G403" s="41" t="s">
        <v>199</v>
      </c>
      <c r="H403" s="543">
        <f>'прил9 (ведом 22)'!M174</f>
        <v>21532.7</v>
      </c>
    </row>
    <row r="404" spans="1:8" ht="90" x14ac:dyDescent="0.35">
      <c r="A404" s="539"/>
      <c r="B404" s="240" t="s">
        <v>452</v>
      </c>
      <c r="C404" s="227" t="s">
        <v>99</v>
      </c>
      <c r="D404" s="228" t="s">
        <v>460</v>
      </c>
      <c r="E404" s="228" t="s">
        <v>448</v>
      </c>
      <c r="F404" s="229" t="s">
        <v>450</v>
      </c>
      <c r="G404" s="41"/>
      <c r="H404" s="543">
        <f>H405</f>
        <v>15225.8</v>
      </c>
    </row>
    <row r="405" spans="1:8" ht="36" x14ac:dyDescent="0.35">
      <c r="A405" s="539"/>
      <c r="B405" s="515" t="s">
        <v>198</v>
      </c>
      <c r="C405" s="227" t="s">
        <v>99</v>
      </c>
      <c r="D405" s="228" t="s">
        <v>460</v>
      </c>
      <c r="E405" s="228" t="s">
        <v>448</v>
      </c>
      <c r="F405" s="229" t="s">
        <v>450</v>
      </c>
      <c r="G405" s="41" t="s">
        <v>199</v>
      </c>
      <c r="H405" s="543">
        <f>'прил9 (ведом 22)'!M176</f>
        <v>15225.8</v>
      </c>
    </row>
    <row r="406" spans="1:8" ht="90" x14ac:dyDescent="0.35">
      <c r="A406" s="539"/>
      <c r="B406" s="240" t="s">
        <v>452</v>
      </c>
      <c r="C406" s="227" t="s">
        <v>99</v>
      </c>
      <c r="D406" s="228" t="s">
        <v>460</v>
      </c>
      <c r="E406" s="228" t="s">
        <v>448</v>
      </c>
      <c r="F406" s="229" t="s">
        <v>506</v>
      </c>
      <c r="G406" s="41"/>
      <c r="H406" s="543">
        <f>H407</f>
        <v>6661.2000000000007</v>
      </c>
    </row>
    <row r="407" spans="1:8" ht="36" x14ac:dyDescent="0.35">
      <c r="A407" s="539"/>
      <c r="B407" s="240" t="s">
        <v>198</v>
      </c>
      <c r="C407" s="227" t="s">
        <v>99</v>
      </c>
      <c r="D407" s="228" t="s">
        <v>460</v>
      </c>
      <c r="E407" s="228" t="s">
        <v>448</v>
      </c>
      <c r="F407" s="229" t="s">
        <v>506</v>
      </c>
      <c r="G407" s="41" t="s">
        <v>199</v>
      </c>
      <c r="H407" s="543">
        <f>'прил9 (ведом 22)'!M178</f>
        <v>6661.2000000000007</v>
      </c>
    </row>
    <row r="408" spans="1:8" ht="18" x14ac:dyDescent="0.35">
      <c r="A408" s="539"/>
      <c r="B408" s="240"/>
      <c r="C408" s="228"/>
      <c r="D408" s="228"/>
      <c r="E408" s="228"/>
      <c r="F408" s="229"/>
      <c r="G408" s="41"/>
      <c r="H408" s="543"/>
    </row>
    <row r="409" spans="1:8" s="413" customFormat="1" ht="52.2" x14ac:dyDescent="0.3">
      <c r="A409" s="423">
        <v>10</v>
      </c>
      <c r="B409" s="434" t="s">
        <v>89</v>
      </c>
      <c r="C409" s="424" t="s">
        <v>62</v>
      </c>
      <c r="D409" s="424" t="s">
        <v>37</v>
      </c>
      <c r="E409" s="424" t="s">
        <v>38</v>
      </c>
      <c r="F409" s="425" t="s">
        <v>39</v>
      </c>
      <c r="G409" s="494"/>
      <c r="H409" s="289">
        <f>H410</f>
        <v>12646.2</v>
      </c>
    </row>
    <row r="410" spans="1:8" ht="18" x14ac:dyDescent="0.35">
      <c r="A410" s="403"/>
      <c r="B410" s="414" t="s">
        <v>328</v>
      </c>
      <c r="C410" s="227" t="s">
        <v>62</v>
      </c>
      <c r="D410" s="228" t="s">
        <v>40</v>
      </c>
      <c r="E410" s="228" t="s">
        <v>38</v>
      </c>
      <c r="F410" s="229" t="s">
        <v>39</v>
      </c>
      <c r="G410" s="431"/>
      <c r="H410" s="242">
        <f>H411+H414</f>
        <v>12646.2</v>
      </c>
    </row>
    <row r="411" spans="1:8" ht="36" x14ac:dyDescent="0.35">
      <c r="A411" s="403"/>
      <c r="B411" s="414" t="s">
        <v>90</v>
      </c>
      <c r="C411" s="227" t="s">
        <v>62</v>
      </c>
      <c r="D411" s="228" t="s">
        <v>40</v>
      </c>
      <c r="E411" s="228" t="s">
        <v>32</v>
      </c>
      <c r="F411" s="229" t="s">
        <v>39</v>
      </c>
      <c r="G411" s="431"/>
      <c r="H411" s="242">
        <f>H412</f>
        <v>11095.300000000001</v>
      </c>
    </row>
    <row r="412" spans="1:8" ht="54" x14ac:dyDescent="0.35">
      <c r="A412" s="403"/>
      <c r="B412" s="495" t="s">
        <v>397</v>
      </c>
      <c r="C412" s="227" t="s">
        <v>62</v>
      </c>
      <c r="D412" s="228" t="s">
        <v>40</v>
      </c>
      <c r="E412" s="228" t="s">
        <v>32</v>
      </c>
      <c r="F412" s="229" t="s">
        <v>56</v>
      </c>
      <c r="G412" s="41"/>
      <c r="H412" s="242">
        <f>H413</f>
        <v>11095.300000000001</v>
      </c>
    </row>
    <row r="413" spans="1:8" ht="18" x14ac:dyDescent="0.35">
      <c r="A413" s="403"/>
      <c r="B413" s="414" t="s">
        <v>52</v>
      </c>
      <c r="C413" s="227" t="s">
        <v>62</v>
      </c>
      <c r="D413" s="228" t="s">
        <v>40</v>
      </c>
      <c r="E413" s="228" t="s">
        <v>32</v>
      </c>
      <c r="F413" s="229" t="s">
        <v>56</v>
      </c>
      <c r="G413" s="41" t="s">
        <v>53</v>
      </c>
      <c r="H413" s="242">
        <f>'прил9 (ведом 22)'!M131</f>
        <v>11095.300000000001</v>
      </c>
    </row>
    <row r="414" spans="1:8" ht="54" x14ac:dyDescent="0.35">
      <c r="A414" s="403"/>
      <c r="B414" s="414" t="s">
        <v>91</v>
      </c>
      <c r="C414" s="227" t="s">
        <v>62</v>
      </c>
      <c r="D414" s="228" t="s">
        <v>40</v>
      </c>
      <c r="E414" s="228" t="s">
        <v>34</v>
      </c>
      <c r="F414" s="229" t="s">
        <v>39</v>
      </c>
      <c r="G414" s="41"/>
      <c r="H414" s="242">
        <f>H415</f>
        <v>1550.9</v>
      </c>
    </row>
    <row r="415" spans="1:8" ht="162" x14ac:dyDescent="0.35">
      <c r="A415" s="403"/>
      <c r="B415" s="240" t="s">
        <v>514</v>
      </c>
      <c r="C415" s="227" t="s">
        <v>62</v>
      </c>
      <c r="D415" s="228" t="s">
        <v>40</v>
      </c>
      <c r="E415" s="228" t="s">
        <v>34</v>
      </c>
      <c r="F415" s="229" t="s">
        <v>92</v>
      </c>
      <c r="G415" s="41"/>
      <c r="H415" s="242">
        <f>H416</f>
        <v>1550.9</v>
      </c>
    </row>
    <row r="416" spans="1:8" ht="36" x14ac:dyDescent="0.35">
      <c r="A416" s="403"/>
      <c r="B416" s="414" t="s">
        <v>50</v>
      </c>
      <c r="C416" s="227" t="s">
        <v>62</v>
      </c>
      <c r="D416" s="228" t="s">
        <v>40</v>
      </c>
      <c r="E416" s="228" t="s">
        <v>34</v>
      </c>
      <c r="F416" s="229" t="s">
        <v>92</v>
      </c>
      <c r="G416" s="41" t="s">
        <v>51</v>
      </c>
      <c r="H416" s="242">
        <f>'прил9 (ведом 22)'!M134</f>
        <v>1550.9</v>
      </c>
    </row>
    <row r="417" spans="1:8" ht="18" x14ac:dyDescent="0.35">
      <c r="A417" s="403"/>
      <c r="B417" s="422"/>
      <c r="C417" s="577"/>
      <c r="D417" s="577"/>
      <c r="E417" s="577"/>
      <c r="F417" s="578"/>
      <c r="G417" s="264"/>
      <c r="H417" s="242"/>
    </row>
    <row r="418" spans="1:8" s="413" customFormat="1" ht="52.2" x14ac:dyDescent="0.3">
      <c r="A418" s="423">
        <v>11</v>
      </c>
      <c r="B418" s="434" t="s">
        <v>94</v>
      </c>
      <c r="C418" s="424" t="s">
        <v>95</v>
      </c>
      <c r="D418" s="424" t="s">
        <v>37</v>
      </c>
      <c r="E418" s="424" t="s">
        <v>38</v>
      </c>
      <c r="F418" s="425" t="s">
        <v>39</v>
      </c>
      <c r="G418" s="412"/>
      <c r="H418" s="289">
        <f>H419</f>
        <v>6255.7</v>
      </c>
    </row>
    <row r="419" spans="1:8" s="413" customFormat="1" ht="27.75" customHeight="1" x14ac:dyDescent="0.35">
      <c r="A419" s="403"/>
      <c r="B419" s="414" t="s">
        <v>328</v>
      </c>
      <c r="C419" s="227" t="s">
        <v>95</v>
      </c>
      <c r="D419" s="228" t="s">
        <v>40</v>
      </c>
      <c r="E419" s="228" t="s">
        <v>38</v>
      </c>
      <c r="F419" s="229" t="s">
        <v>39</v>
      </c>
      <c r="G419" s="41"/>
      <c r="H419" s="242">
        <f>H420</f>
        <v>6255.7</v>
      </c>
    </row>
    <row r="420" spans="1:8" s="413" customFormat="1" ht="72" x14ac:dyDescent="0.35">
      <c r="A420" s="403"/>
      <c r="B420" s="414" t="s">
        <v>96</v>
      </c>
      <c r="C420" s="227" t="s">
        <v>95</v>
      </c>
      <c r="D420" s="228" t="s">
        <v>40</v>
      </c>
      <c r="E420" s="228" t="s">
        <v>32</v>
      </c>
      <c r="F420" s="229" t="s">
        <v>39</v>
      </c>
      <c r="G420" s="41"/>
      <c r="H420" s="242">
        <f>H421</f>
        <v>6255.7</v>
      </c>
    </row>
    <row r="421" spans="1:8" s="413" customFormat="1" ht="72" x14ac:dyDescent="0.35">
      <c r="A421" s="403"/>
      <c r="B421" s="426" t="s">
        <v>97</v>
      </c>
      <c r="C421" s="227" t="s">
        <v>95</v>
      </c>
      <c r="D421" s="228" t="s">
        <v>40</v>
      </c>
      <c r="E421" s="228" t="s">
        <v>32</v>
      </c>
      <c r="F421" s="229" t="s">
        <v>98</v>
      </c>
      <c r="G421" s="41"/>
      <c r="H421" s="242">
        <f>H422</f>
        <v>6255.7</v>
      </c>
    </row>
    <row r="422" spans="1:8" ht="36" x14ac:dyDescent="0.35">
      <c r="A422" s="403"/>
      <c r="B422" s="414" t="s">
        <v>50</v>
      </c>
      <c r="C422" s="227" t="s">
        <v>95</v>
      </c>
      <c r="D422" s="228" t="s">
        <v>40</v>
      </c>
      <c r="E422" s="228" t="s">
        <v>32</v>
      </c>
      <c r="F422" s="229" t="s">
        <v>98</v>
      </c>
      <c r="G422" s="41" t="s">
        <v>51</v>
      </c>
      <c r="H422" s="242">
        <f>'прил9 (ведом 22)'!M140</f>
        <v>6255.7</v>
      </c>
    </row>
    <row r="423" spans="1:8" ht="18" x14ac:dyDescent="0.35">
      <c r="A423" s="403"/>
      <c r="B423" s="422"/>
      <c r="C423" s="577"/>
      <c r="D423" s="577"/>
      <c r="E423" s="577"/>
      <c r="F423" s="578"/>
      <c r="G423" s="264"/>
      <c r="H423" s="242"/>
    </row>
    <row r="424" spans="1:8" s="413" customFormat="1" ht="69.599999999999994" x14ac:dyDescent="0.3">
      <c r="A424" s="423">
        <v>12</v>
      </c>
      <c r="B424" s="434" t="s">
        <v>102</v>
      </c>
      <c r="C424" s="424" t="s">
        <v>66</v>
      </c>
      <c r="D424" s="424" t="s">
        <v>37</v>
      </c>
      <c r="E424" s="424" t="s">
        <v>38</v>
      </c>
      <c r="F424" s="425" t="s">
        <v>39</v>
      </c>
      <c r="G424" s="412"/>
      <c r="H424" s="289">
        <f>H425+H429</f>
        <v>1025.0999999999999</v>
      </c>
    </row>
    <row r="425" spans="1:8" s="413" customFormat="1" ht="36" x14ac:dyDescent="0.35">
      <c r="A425" s="403"/>
      <c r="B425" s="440" t="s">
        <v>103</v>
      </c>
      <c r="C425" s="227" t="s">
        <v>66</v>
      </c>
      <c r="D425" s="228" t="s">
        <v>40</v>
      </c>
      <c r="E425" s="228" t="s">
        <v>38</v>
      </c>
      <c r="F425" s="229" t="s">
        <v>39</v>
      </c>
      <c r="G425" s="41"/>
      <c r="H425" s="242">
        <f>H426</f>
        <v>310</v>
      </c>
    </row>
    <row r="426" spans="1:8" s="413" customFormat="1" ht="36" x14ac:dyDescent="0.35">
      <c r="A426" s="403"/>
      <c r="B426" s="414" t="s">
        <v>104</v>
      </c>
      <c r="C426" s="227" t="s">
        <v>66</v>
      </c>
      <c r="D426" s="228" t="s">
        <v>40</v>
      </c>
      <c r="E426" s="228" t="s">
        <v>32</v>
      </c>
      <c r="F426" s="229" t="s">
        <v>39</v>
      </c>
      <c r="G426" s="41"/>
      <c r="H426" s="242">
        <f>H427</f>
        <v>310</v>
      </c>
    </row>
    <row r="427" spans="1:8" s="413" customFormat="1" ht="36" x14ac:dyDescent="0.35">
      <c r="A427" s="403"/>
      <c r="B427" s="440" t="s">
        <v>105</v>
      </c>
      <c r="C427" s="227" t="s">
        <v>66</v>
      </c>
      <c r="D427" s="228" t="s">
        <v>40</v>
      </c>
      <c r="E427" s="228" t="s">
        <v>32</v>
      </c>
      <c r="F427" s="229" t="s">
        <v>106</v>
      </c>
      <c r="G427" s="41"/>
      <c r="H427" s="242">
        <f>SUM(H428:H428)</f>
        <v>310</v>
      </c>
    </row>
    <row r="428" spans="1:8" s="413" customFormat="1" ht="36" x14ac:dyDescent="0.35">
      <c r="A428" s="403"/>
      <c r="B428" s="414" t="s">
        <v>50</v>
      </c>
      <c r="C428" s="227" t="s">
        <v>66</v>
      </c>
      <c r="D428" s="228" t="s">
        <v>40</v>
      </c>
      <c r="E428" s="228" t="s">
        <v>32</v>
      </c>
      <c r="F428" s="229" t="s">
        <v>106</v>
      </c>
      <c r="G428" s="41" t="s">
        <v>51</v>
      </c>
      <c r="H428" s="242">
        <f>'прил9 (ведом 22)'!M146</f>
        <v>310</v>
      </c>
    </row>
    <row r="429" spans="1:8" s="413" customFormat="1" ht="19.2" customHeight="1" x14ac:dyDescent="0.35">
      <c r="A429" s="403"/>
      <c r="B429" s="440" t="s">
        <v>107</v>
      </c>
      <c r="C429" s="227" t="s">
        <v>66</v>
      </c>
      <c r="D429" s="228" t="s">
        <v>84</v>
      </c>
      <c r="E429" s="228" t="s">
        <v>38</v>
      </c>
      <c r="F429" s="229" t="s">
        <v>39</v>
      </c>
      <c r="G429" s="41"/>
      <c r="H429" s="242">
        <f>H430</f>
        <v>715.1</v>
      </c>
    </row>
    <row r="430" spans="1:8" s="413" customFormat="1" ht="36" x14ac:dyDescent="0.35">
      <c r="A430" s="403"/>
      <c r="B430" s="440" t="s">
        <v>108</v>
      </c>
      <c r="C430" s="227" t="s">
        <v>66</v>
      </c>
      <c r="D430" s="228" t="s">
        <v>84</v>
      </c>
      <c r="E430" s="228" t="s">
        <v>32</v>
      </c>
      <c r="F430" s="229" t="s">
        <v>39</v>
      </c>
      <c r="G430" s="41"/>
      <c r="H430" s="242">
        <f>H431</f>
        <v>715.1</v>
      </c>
    </row>
    <row r="431" spans="1:8" s="413" customFormat="1" ht="72" x14ac:dyDescent="0.35">
      <c r="A431" s="403"/>
      <c r="B431" s="440" t="s">
        <v>109</v>
      </c>
      <c r="C431" s="227" t="s">
        <v>66</v>
      </c>
      <c r="D431" s="228" t="s">
        <v>84</v>
      </c>
      <c r="E431" s="228" t="s">
        <v>32</v>
      </c>
      <c r="F431" s="229" t="s">
        <v>110</v>
      </c>
      <c r="G431" s="41"/>
      <c r="H431" s="242">
        <f>H432</f>
        <v>715.1</v>
      </c>
    </row>
    <row r="432" spans="1:8" ht="36" x14ac:dyDescent="0.35">
      <c r="A432" s="403"/>
      <c r="B432" s="414" t="s">
        <v>50</v>
      </c>
      <c r="C432" s="227" t="s">
        <v>66</v>
      </c>
      <c r="D432" s="228" t="s">
        <v>84</v>
      </c>
      <c r="E432" s="228" t="s">
        <v>32</v>
      </c>
      <c r="F432" s="229" t="s">
        <v>110</v>
      </c>
      <c r="G432" s="41" t="s">
        <v>51</v>
      </c>
      <c r="H432" s="242">
        <f>'прил9 (ведом 22)'!M150</f>
        <v>715.1</v>
      </c>
    </row>
    <row r="433" spans="1:8" ht="18" x14ac:dyDescent="0.35">
      <c r="A433" s="403"/>
      <c r="B433" s="422"/>
      <c r="C433" s="577"/>
      <c r="D433" s="577"/>
      <c r="E433" s="577"/>
      <c r="F433" s="578"/>
      <c r="G433" s="264"/>
      <c r="H433" s="242"/>
    </row>
    <row r="434" spans="1:8" s="413" customFormat="1" ht="59.25" customHeight="1" x14ac:dyDescent="0.3">
      <c r="A434" s="423">
        <v>13</v>
      </c>
      <c r="B434" s="434" t="s">
        <v>111</v>
      </c>
      <c r="C434" s="424" t="s">
        <v>83</v>
      </c>
      <c r="D434" s="424" t="s">
        <v>37</v>
      </c>
      <c r="E434" s="424" t="s">
        <v>38</v>
      </c>
      <c r="F434" s="425" t="s">
        <v>39</v>
      </c>
      <c r="G434" s="412"/>
      <c r="H434" s="289">
        <f>H435</f>
        <v>5731.2000000000007</v>
      </c>
    </row>
    <row r="435" spans="1:8" s="413" customFormat="1" ht="31.5" customHeight="1" x14ac:dyDescent="0.35">
      <c r="A435" s="403"/>
      <c r="B435" s="414" t="s">
        <v>328</v>
      </c>
      <c r="C435" s="227" t="s">
        <v>83</v>
      </c>
      <c r="D435" s="228" t="s">
        <v>40</v>
      </c>
      <c r="E435" s="228" t="s">
        <v>38</v>
      </c>
      <c r="F435" s="229" t="s">
        <v>39</v>
      </c>
      <c r="G435" s="41"/>
      <c r="H435" s="242">
        <f>H436</f>
        <v>5731.2000000000007</v>
      </c>
    </row>
    <row r="436" spans="1:8" s="413" customFormat="1" ht="54" x14ac:dyDescent="0.35">
      <c r="A436" s="403"/>
      <c r="B436" s="440" t="s">
        <v>295</v>
      </c>
      <c r="C436" s="227" t="s">
        <v>83</v>
      </c>
      <c r="D436" s="228" t="s">
        <v>40</v>
      </c>
      <c r="E436" s="228" t="s">
        <v>32</v>
      </c>
      <c r="F436" s="229" t="s">
        <v>39</v>
      </c>
      <c r="G436" s="41"/>
      <c r="H436" s="242">
        <f>H437+H439</f>
        <v>5731.2000000000007</v>
      </c>
    </row>
    <row r="437" spans="1:8" s="413" customFormat="1" ht="54" x14ac:dyDescent="0.35">
      <c r="A437" s="403"/>
      <c r="B437" s="440" t="s">
        <v>112</v>
      </c>
      <c r="C437" s="227" t="s">
        <v>83</v>
      </c>
      <c r="D437" s="228" t="s">
        <v>40</v>
      </c>
      <c r="E437" s="228" t="s">
        <v>32</v>
      </c>
      <c r="F437" s="229" t="s">
        <v>113</v>
      </c>
      <c r="G437" s="41"/>
      <c r="H437" s="242">
        <f>H438</f>
        <v>4952.2000000000007</v>
      </c>
    </row>
    <row r="438" spans="1:8" ht="36" x14ac:dyDescent="0.35">
      <c r="A438" s="403"/>
      <c r="B438" s="414" t="s">
        <v>50</v>
      </c>
      <c r="C438" s="227" t="s">
        <v>83</v>
      </c>
      <c r="D438" s="228" t="s">
        <v>40</v>
      </c>
      <c r="E438" s="228" t="s">
        <v>32</v>
      </c>
      <c r="F438" s="229" t="s">
        <v>113</v>
      </c>
      <c r="G438" s="41" t="s">
        <v>51</v>
      </c>
      <c r="H438" s="242">
        <f>'прил9 (ведом 22)'!M155</f>
        <v>4952.2000000000007</v>
      </c>
    </row>
    <row r="439" spans="1:8" ht="72" x14ac:dyDescent="0.35">
      <c r="A439" s="403"/>
      <c r="B439" s="240" t="s">
        <v>515</v>
      </c>
      <c r="C439" s="227" t="s">
        <v>83</v>
      </c>
      <c r="D439" s="228" t="s">
        <v>40</v>
      </c>
      <c r="E439" s="228" t="s">
        <v>32</v>
      </c>
      <c r="F439" s="229" t="s">
        <v>513</v>
      </c>
      <c r="G439" s="41"/>
      <c r="H439" s="242">
        <f>H440</f>
        <v>779</v>
      </c>
    </row>
    <row r="440" spans="1:8" ht="36" x14ac:dyDescent="0.35">
      <c r="A440" s="403"/>
      <c r="B440" s="240" t="s">
        <v>50</v>
      </c>
      <c r="C440" s="227" t="s">
        <v>83</v>
      </c>
      <c r="D440" s="228" t="s">
        <v>40</v>
      </c>
      <c r="E440" s="228" t="s">
        <v>32</v>
      </c>
      <c r="F440" s="229" t="s">
        <v>513</v>
      </c>
      <c r="G440" s="41" t="s">
        <v>51</v>
      </c>
      <c r="H440" s="242">
        <f>'прил9 (ведом 22)'!M157</f>
        <v>779</v>
      </c>
    </row>
    <row r="441" spans="1:8" s="413" customFormat="1" ht="18" x14ac:dyDescent="0.35">
      <c r="A441" s="403"/>
      <c r="B441" s="420"/>
      <c r="C441" s="577"/>
      <c r="D441" s="577"/>
      <c r="E441" s="577"/>
      <c r="F441" s="578"/>
      <c r="G441" s="264"/>
      <c r="H441" s="242"/>
    </row>
    <row r="442" spans="1:8" s="413" customFormat="1" ht="69.599999999999994" x14ac:dyDescent="0.3">
      <c r="A442" s="423">
        <v>14</v>
      </c>
      <c r="B442" s="434" t="s">
        <v>67</v>
      </c>
      <c r="C442" s="424" t="s">
        <v>68</v>
      </c>
      <c r="D442" s="424" t="s">
        <v>37</v>
      </c>
      <c r="E442" s="424" t="s">
        <v>38</v>
      </c>
      <c r="F442" s="425" t="s">
        <v>39</v>
      </c>
      <c r="G442" s="412"/>
      <c r="H442" s="289">
        <f>H443</f>
        <v>1331.3000000000002</v>
      </c>
    </row>
    <row r="443" spans="1:8" ht="19.5" customHeight="1" x14ac:dyDescent="0.35">
      <c r="A443" s="403"/>
      <c r="B443" s="414" t="s">
        <v>328</v>
      </c>
      <c r="C443" s="227" t="s">
        <v>68</v>
      </c>
      <c r="D443" s="228" t="s">
        <v>40</v>
      </c>
      <c r="E443" s="228" t="s">
        <v>38</v>
      </c>
      <c r="F443" s="229" t="s">
        <v>39</v>
      </c>
      <c r="G443" s="41"/>
      <c r="H443" s="242">
        <f>H444</f>
        <v>1331.3000000000002</v>
      </c>
    </row>
    <row r="444" spans="1:8" ht="36" x14ac:dyDescent="0.35">
      <c r="A444" s="403"/>
      <c r="B444" s="443" t="s">
        <v>254</v>
      </c>
      <c r="C444" s="227" t="s">
        <v>68</v>
      </c>
      <c r="D444" s="228" t="s">
        <v>40</v>
      </c>
      <c r="E444" s="228" t="s">
        <v>32</v>
      </c>
      <c r="F444" s="229" t="s">
        <v>39</v>
      </c>
      <c r="G444" s="41"/>
      <c r="H444" s="242">
        <f>H445</f>
        <v>1331.3000000000002</v>
      </c>
    </row>
    <row r="445" spans="1:8" ht="36" x14ac:dyDescent="0.35">
      <c r="A445" s="403"/>
      <c r="B445" s="443" t="s">
        <v>69</v>
      </c>
      <c r="C445" s="227" t="s">
        <v>68</v>
      </c>
      <c r="D445" s="228" t="s">
        <v>40</v>
      </c>
      <c r="E445" s="228" t="s">
        <v>32</v>
      </c>
      <c r="F445" s="229" t="s">
        <v>70</v>
      </c>
      <c r="G445" s="41"/>
      <c r="H445" s="242">
        <f>H446</f>
        <v>1331.3000000000002</v>
      </c>
    </row>
    <row r="446" spans="1:8" ht="40.5" customHeight="1" x14ac:dyDescent="0.35">
      <c r="A446" s="403"/>
      <c r="B446" s="420" t="s">
        <v>71</v>
      </c>
      <c r="C446" s="227" t="s">
        <v>68</v>
      </c>
      <c r="D446" s="228" t="s">
        <v>40</v>
      </c>
      <c r="E446" s="228" t="s">
        <v>32</v>
      </c>
      <c r="F446" s="229" t="s">
        <v>70</v>
      </c>
      <c r="G446" s="41" t="s">
        <v>72</v>
      </c>
      <c r="H446" s="242">
        <f>'прил9 (ведом 22)'!M70+'прил9 (ведом 22)'!M208</f>
        <v>1331.3000000000002</v>
      </c>
    </row>
    <row r="447" spans="1:8" ht="18" x14ac:dyDescent="0.35">
      <c r="A447" s="403"/>
      <c r="B447" s="420"/>
      <c r="C447" s="577"/>
      <c r="D447" s="577"/>
      <c r="E447" s="577"/>
      <c r="F447" s="578"/>
      <c r="G447" s="264"/>
      <c r="H447" s="242"/>
    </row>
    <row r="448" spans="1:8" s="413" customFormat="1" ht="52.2" x14ac:dyDescent="0.3">
      <c r="A448" s="423">
        <v>15</v>
      </c>
      <c r="B448" s="434" t="s">
        <v>35</v>
      </c>
      <c r="C448" s="424" t="s">
        <v>36</v>
      </c>
      <c r="D448" s="424" t="s">
        <v>37</v>
      </c>
      <c r="E448" s="424" t="s">
        <v>38</v>
      </c>
      <c r="F448" s="425" t="s">
        <v>39</v>
      </c>
      <c r="G448" s="412"/>
      <c r="H448" s="289">
        <f>H449</f>
        <v>123726.126</v>
      </c>
    </row>
    <row r="449" spans="1:8" s="413" customFormat="1" ht="30" customHeight="1" x14ac:dyDescent="0.35">
      <c r="A449" s="403"/>
      <c r="B449" s="414" t="s">
        <v>328</v>
      </c>
      <c r="C449" s="227" t="s">
        <v>36</v>
      </c>
      <c r="D449" s="228" t="s">
        <v>40</v>
      </c>
      <c r="E449" s="228" t="s">
        <v>38</v>
      </c>
      <c r="F449" s="229" t="s">
        <v>39</v>
      </c>
      <c r="G449" s="41"/>
      <c r="H449" s="242">
        <f>H450+H453+H474+H482+H487+H491+H494+H502+H505</f>
        <v>123726.126</v>
      </c>
    </row>
    <row r="450" spans="1:8" s="413" customFormat="1" ht="36" x14ac:dyDescent="0.35">
      <c r="A450" s="403"/>
      <c r="B450" s="414" t="s">
        <v>41</v>
      </c>
      <c r="C450" s="227" t="s">
        <v>36</v>
      </c>
      <c r="D450" s="228" t="s">
        <v>40</v>
      </c>
      <c r="E450" s="228" t="s">
        <v>32</v>
      </c>
      <c r="F450" s="229" t="s">
        <v>39</v>
      </c>
      <c r="G450" s="41"/>
      <c r="H450" s="242">
        <f>H451</f>
        <v>2439.1999999999998</v>
      </c>
    </row>
    <row r="451" spans="1:8" s="413" customFormat="1" ht="36" x14ac:dyDescent="0.35">
      <c r="A451" s="403"/>
      <c r="B451" s="414" t="s">
        <v>42</v>
      </c>
      <c r="C451" s="227" t="s">
        <v>36</v>
      </c>
      <c r="D451" s="228" t="s">
        <v>40</v>
      </c>
      <c r="E451" s="228" t="s">
        <v>32</v>
      </c>
      <c r="F451" s="229" t="s">
        <v>43</v>
      </c>
      <c r="G451" s="41"/>
      <c r="H451" s="242">
        <f>H452</f>
        <v>2439.1999999999998</v>
      </c>
    </row>
    <row r="452" spans="1:8" s="413" customFormat="1" ht="90" x14ac:dyDescent="0.35">
      <c r="A452" s="403"/>
      <c r="B452" s="414" t="s">
        <v>44</v>
      </c>
      <c r="C452" s="227" t="s">
        <v>36</v>
      </c>
      <c r="D452" s="228" t="s">
        <v>40</v>
      </c>
      <c r="E452" s="228" t="s">
        <v>32</v>
      </c>
      <c r="F452" s="229" t="s">
        <v>43</v>
      </c>
      <c r="G452" s="41" t="s">
        <v>45</v>
      </c>
      <c r="H452" s="242">
        <f>'прил9 (ведом 22)'!M23</f>
        <v>2439.1999999999998</v>
      </c>
    </row>
    <row r="453" spans="1:8" s="413" customFormat="1" ht="36" x14ac:dyDescent="0.35">
      <c r="A453" s="403"/>
      <c r="B453" s="414" t="s">
        <v>49</v>
      </c>
      <c r="C453" s="227" t="s">
        <v>36</v>
      </c>
      <c r="D453" s="228" t="s">
        <v>40</v>
      </c>
      <c r="E453" s="228" t="s">
        <v>34</v>
      </c>
      <c r="F453" s="229" t="s">
        <v>39</v>
      </c>
      <c r="G453" s="41"/>
      <c r="H453" s="242">
        <f>H454+H462+H464+H466+H469+H460+H459+H471</f>
        <v>85845.126000000004</v>
      </c>
    </row>
    <row r="454" spans="1:8" s="413" customFormat="1" ht="36" x14ac:dyDescent="0.35">
      <c r="A454" s="403"/>
      <c r="B454" s="414" t="s">
        <v>42</v>
      </c>
      <c r="C454" s="227" t="s">
        <v>36</v>
      </c>
      <c r="D454" s="228" t="s">
        <v>40</v>
      </c>
      <c r="E454" s="228" t="s">
        <v>34</v>
      </c>
      <c r="F454" s="229" t="s">
        <v>43</v>
      </c>
      <c r="G454" s="41"/>
      <c r="H454" s="242">
        <f>SUM(H455:H457)</f>
        <v>79727.026000000013</v>
      </c>
    </row>
    <row r="455" spans="1:8" s="413" customFormat="1" ht="90" x14ac:dyDescent="0.35">
      <c r="A455" s="403"/>
      <c r="B455" s="414" t="s">
        <v>44</v>
      </c>
      <c r="C455" s="227" t="s">
        <v>36</v>
      </c>
      <c r="D455" s="228" t="s">
        <v>40</v>
      </c>
      <c r="E455" s="228" t="s">
        <v>34</v>
      </c>
      <c r="F455" s="229" t="s">
        <v>43</v>
      </c>
      <c r="G455" s="41" t="s">
        <v>45</v>
      </c>
      <c r="H455" s="242">
        <f>'прил9 (ведом 22)'!M29</f>
        <v>73851.800000000017</v>
      </c>
    </row>
    <row r="456" spans="1:8" ht="36" x14ac:dyDescent="0.35">
      <c r="A456" s="403"/>
      <c r="B456" s="414" t="s">
        <v>50</v>
      </c>
      <c r="C456" s="227" t="s">
        <v>36</v>
      </c>
      <c r="D456" s="228" t="s">
        <v>40</v>
      </c>
      <c r="E456" s="228" t="s">
        <v>34</v>
      </c>
      <c r="F456" s="229" t="s">
        <v>43</v>
      </c>
      <c r="G456" s="41" t="s">
        <v>51</v>
      </c>
      <c r="H456" s="242">
        <f>'прил9 (ведом 22)'!M30</f>
        <v>5774.326</v>
      </c>
    </row>
    <row r="457" spans="1:8" s="413" customFormat="1" ht="18" x14ac:dyDescent="0.35">
      <c r="A457" s="403"/>
      <c r="B457" s="414" t="s">
        <v>52</v>
      </c>
      <c r="C457" s="227" t="s">
        <v>36</v>
      </c>
      <c r="D457" s="228" t="s">
        <v>40</v>
      </c>
      <c r="E457" s="228" t="s">
        <v>34</v>
      </c>
      <c r="F457" s="229" t="s">
        <v>43</v>
      </c>
      <c r="G457" s="41" t="s">
        <v>53</v>
      </c>
      <c r="H457" s="242">
        <f>'прил9 (ведом 22)'!M31</f>
        <v>100.9</v>
      </c>
    </row>
    <row r="458" spans="1:8" s="413" customFormat="1" ht="18" x14ac:dyDescent="0.35">
      <c r="A458" s="403"/>
      <c r="B458" s="240" t="s">
        <v>438</v>
      </c>
      <c r="C458" s="227" t="s">
        <v>36</v>
      </c>
      <c r="D458" s="228" t="s">
        <v>40</v>
      </c>
      <c r="E458" s="228" t="s">
        <v>34</v>
      </c>
      <c r="F458" s="229" t="s">
        <v>376</v>
      </c>
      <c r="G458" s="41"/>
      <c r="H458" s="242">
        <f>H459</f>
        <v>1076.3</v>
      </c>
    </row>
    <row r="459" spans="1:8" s="413" customFormat="1" ht="36" x14ac:dyDescent="0.35">
      <c r="A459" s="403"/>
      <c r="B459" s="240" t="s">
        <v>50</v>
      </c>
      <c r="C459" s="227" t="s">
        <v>36</v>
      </c>
      <c r="D459" s="228" t="s">
        <v>40</v>
      </c>
      <c r="E459" s="228" t="s">
        <v>34</v>
      </c>
      <c r="F459" s="229" t="s">
        <v>376</v>
      </c>
      <c r="G459" s="41" t="s">
        <v>51</v>
      </c>
      <c r="H459" s="242">
        <f>'прил9 (ведом 22)'!M75+'прил9 (ведом 22)'!M33</f>
        <v>1076.3</v>
      </c>
    </row>
    <row r="460" spans="1:8" s="413" customFormat="1" ht="72" x14ac:dyDescent="0.35">
      <c r="A460" s="403"/>
      <c r="B460" s="240" t="s">
        <v>385</v>
      </c>
      <c r="C460" s="227" t="s">
        <v>36</v>
      </c>
      <c r="D460" s="228" t="s">
        <v>40</v>
      </c>
      <c r="E460" s="228" t="s">
        <v>34</v>
      </c>
      <c r="F460" s="229" t="s">
        <v>384</v>
      </c>
      <c r="G460" s="41"/>
      <c r="H460" s="242">
        <f>H461</f>
        <v>140</v>
      </c>
    </row>
    <row r="461" spans="1:8" s="413" customFormat="1" ht="36" x14ac:dyDescent="0.35">
      <c r="A461" s="403"/>
      <c r="B461" s="240" t="s">
        <v>50</v>
      </c>
      <c r="C461" s="227" t="s">
        <v>36</v>
      </c>
      <c r="D461" s="228" t="s">
        <v>40</v>
      </c>
      <c r="E461" s="228" t="s">
        <v>34</v>
      </c>
      <c r="F461" s="229" t="s">
        <v>384</v>
      </c>
      <c r="G461" s="41" t="s">
        <v>51</v>
      </c>
      <c r="H461" s="242">
        <f>'прил9 (ведом 22)'!M54</f>
        <v>140</v>
      </c>
    </row>
    <row r="462" spans="1:8" ht="90" x14ac:dyDescent="0.35">
      <c r="A462" s="403"/>
      <c r="B462" s="414" t="s">
        <v>421</v>
      </c>
      <c r="C462" s="227" t="s">
        <v>36</v>
      </c>
      <c r="D462" s="228" t="s">
        <v>40</v>
      </c>
      <c r="E462" s="228" t="s">
        <v>34</v>
      </c>
      <c r="F462" s="229" t="s">
        <v>253</v>
      </c>
      <c r="G462" s="41"/>
      <c r="H462" s="242">
        <f>H463</f>
        <v>63</v>
      </c>
    </row>
    <row r="463" spans="1:8" ht="36" x14ac:dyDescent="0.35">
      <c r="A463" s="403"/>
      <c r="B463" s="414" t="s">
        <v>50</v>
      </c>
      <c r="C463" s="227" t="s">
        <v>36</v>
      </c>
      <c r="D463" s="228" t="s">
        <v>40</v>
      </c>
      <c r="E463" s="228" t="s">
        <v>34</v>
      </c>
      <c r="F463" s="229" t="s">
        <v>253</v>
      </c>
      <c r="G463" s="41" t="s">
        <v>51</v>
      </c>
      <c r="H463" s="242">
        <f>'прил9 (ведом 22)'!M35</f>
        <v>63</v>
      </c>
    </row>
    <row r="464" spans="1:8" ht="162.75" customHeight="1" x14ac:dyDescent="0.35">
      <c r="A464" s="403"/>
      <c r="B464" s="495" t="s">
        <v>429</v>
      </c>
      <c r="C464" s="227" t="s">
        <v>36</v>
      </c>
      <c r="D464" s="228" t="s">
        <v>40</v>
      </c>
      <c r="E464" s="228" t="s">
        <v>34</v>
      </c>
      <c r="F464" s="229" t="s">
        <v>54</v>
      </c>
      <c r="G464" s="41"/>
      <c r="H464" s="242">
        <f>H465</f>
        <v>645.20000000000005</v>
      </c>
    </row>
    <row r="465" spans="1:8" ht="90" x14ac:dyDescent="0.35">
      <c r="A465" s="403"/>
      <c r="B465" s="240" t="s">
        <v>44</v>
      </c>
      <c r="C465" s="227" t="s">
        <v>36</v>
      </c>
      <c r="D465" s="228" t="s">
        <v>40</v>
      </c>
      <c r="E465" s="228" t="s">
        <v>34</v>
      </c>
      <c r="F465" s="229" t="s">
        <v>54</v>
      </c>
      <c r="G465" s="41" t="s">
        <v>45</v>
      </c>
      <c r="H465" s="242">
        <f>'прил9 (ведом 22)'!M37</f>
        <v>645.20000000000005</v>
      </c>
    </row>
    <row r="466" spans="1:8" ht="54" x14ac:dyDescent="0.35">
      <c r="A466" s="403"/>
      <c r="B466" s="240" t="s">
        <v>397</v>
      </c>
      <c r="C466" s="227" t="s">
        <v>36</v>
      </c>
      <c r="D466" s="228" t="s">
        <v>40</v>
      </c>
      <c r="E466" s="228" t="s">
        <v>34</v>
      </c>
      <c r="F466" s="229" t="s">
        <v>56</v>
      </c>
      <c r="G466" s="41"/>
      <c r="H466" s="242">
        <f>H467+H468</f>
        <v>645.4</v>
      </c>
    </row>
    <row r="467" spans="1:8" ht="90" x14ac:dyDescent="0.35">
      <c r="A467" s="403"/>
      <c r="B467" s="240" t="s">
        <v>44</v>
      </c>
      <c r="C467" s="227" t="s">
        <v>36</v>
      </c>
      <c r="D467" s="228" t="s">
        <v>40</v>
      </c>
      <c r="E467" s="228" t="s">
        <v>34</v>
      </c>
      <c r="F467" s="229" t="s">
        <v>56</v>
      </c>
      <c r="G467" s="41" t="s">
        <v>45</v>
      </c>
      <c r="H467" s="242">
        <f>'прил9 (ведом 22)'!M39</f>
        <v>641</v>
      </c>
    </row>
    <row r="468" spans="1:8" ht="36" x14ac:dyDescent="0.35">
      <c r="A468" s="403"/>
      <c r="B468" s="240" t="s">
        <v>50</v>
      </c>
      <c r="C468" s="227" t="s">
        <v>36</v>
      </c>
      <c r="D468" s="228" t="s">
        <v>40</v>
      </c>
      <c r="E468" s="228" t="s">
        <v>34</v>
      </c>
      <c r="F468" s="229" t="s">
        <v>56</v>
      </c>
      <c r="G468" s="41" t="s">
        <v>51</v>
      </c>
      <c r="H468" s="242">
        <f>'прил9 (ведом 22)'!M40</f>
        <v>4.4000000000000004</v>
      </c>
    </row>
    <row r="469" spans="1:8" ht="162" x14ac:dyDescent="0.35">
      <c r="A469" s="403"/>
      <c r="B469" s="240" t="s">
        <v>365</v>
      </c>
      <c r="C469" s="227" t="s">
        <v>36</v>
      </c>
      <c r="D469" s="228" t="s">
        <v>40</v>
      </c>
      <c r="E469" s="228" t="s">
        <v>34</v>
      </c>
      <c r="F469" s="229" t="s">
        <v>364</v>
      </c>
      <c r="G469" s="41"/>
      <c r="H469" s="242">
        <f>H470</f>
        <v>63</v>
      </c>
    </row>
    <row r="470" spans="1:8" ht="36" x14ac:dyDescent="0.35">
      <c r="A470" s="403"/>
      <c r="B470" s="240" t="s">
        <v>50</v>
      </c>
      <c r="C470" s="227" t="s">
        <v>36</v>
      </c>
      <c r="D470" s="228" t="s">
        <v>40</v>
      </c>
      <c r="E470" s="228" t="s">
        <v>34</v>
      </c>
      <c r="F470" s="229" t="s">
        <v>364</v>
      </c>
      <c r="G470" s="41" t="s">
        <v>51</v>
      </c>
      <c r="H470" s="242">
        <f>'прил9 (ведом 22)'!M42</f>
        <v>63</v>
      </c>
    </row>
    <row r="471" spans="1:8" ht="72" x14ac:dyDescent="0.35">
      <c r="A471" s="403"/>
      <c r="B471" s="414" t="s">
        <v>55</v>
      </c>
      <c r="C471" s="227" t="s">
        <v>36</v>
      </c>
      <c r="D471" s="228" t="s">
        <v>40</v>
      </c>
      <c r="E471" s="228" t="s">
        <v>34</v>
      </c>
      <c r="F471" s="229" t="s">
        <v>530</v>
      </c>
      <c r="G471" s="41"/>
      <c r="H471" s="242">
        <f>H472+H473</f>
        <v>3485.2</v>
      </c>
    </row>
    <row r="472" spans="1:8" ht="90" x14ac:dyDescent="0.35">
      <c r="A472" s="403"/>
      <c r="B472" s="414" t="s">
        <v>44</v>
      </c>
      <c r="C472" s="227" t="s">
        <v>36</v>
      </c>
      <c r="D472" s="228" t="s">
        <v>40</v>
      </c>
      <c r="E472" s="228" t="s">
        <v>34</v>
      </c>
      <c r="F472" s="229" t="s">
        <v>530</v>
      </c>
      <c r="G472" s="41" t="s">
        <v>45</v>
      </c>
      <c r="H472" s="242">
        <f>'прил9 (ведом 22)'!M44</f>
        <v>3293.6</v>
      </c>
    </row>
    <row r="473" spans="1:8" ht="36" x14ac:dyDescent="0.35">
      <c r="A473" s="403"/>
      <c r="B473" s="240" t="s">
        <v>50</v>
      </c>
      <c r="C473" s="227" t="s">
        <v>36</v>
      </c>
      <c r="D473" s="228" t="s">
        <v>40</v>
      </c>
      <c r="E473" s="228" t="s">
        <v>34</v>
      </c>
      <c r="F473" s="229" t="s">
        <v>530</v>
      </c>
      <c r="G473" s="41" t="s">
        <v>51</v>
      </c>
      <c r="H473" s="242">
        <f>'прил9 (ведом 22)'!M45</f>
        <v>191.6</v>
      </c>
    </row>
    <row r="474" spans="1:8" ht="18" x14ac:dyDescent="0.35">
      <c r="A474" s="403"/>
      <c r="B474" s="414" t="s">
        <v>57</v>
      </c>
      <c r="C474" s="227" t="s">
        <v>36</v>
      </c>
      <c r="D474" s="228" t="s">
        <v>40</v>
      </c>
      <c r="E474" s="228" t="s">
        <v>58</v>
      </c>
      <c r="F474" s="229" t="s">
        <v>39</v>
      </c>
      <c r="G474" s="41"/>
      <c r="H474" s="242">
        <f>H475+H477+H479</f>
        <v>1648.8</v>
      </c>
    </row>
    <row r="475" spans="1:8" ht="36" x14ac:dyDescent="0.35">
      <c r="A475" s="403"/>
      <c r="B475" s="414" t="s">
        <v>42</v>
      </c>
      <c r="C475" s="227" t="s">
        <v>36</v>
      </c>
      <c r="D475" s="228" t="s">
        <v>40</v>
      </c>
      <c r="E475" s="228" t="s">
        <v>58</v>
      </c>
      <c r="F475" s="229" t="s">
        <v>43</v>
      </c>
      <c r="G475" s="41"/>
      <c r="H475" s="242">
        <f>H476</f>
        <v>15</v>
      </c>
    </row>
    <row r="476" spans="1:8" ht="36" x14ac:dyDescent="0.35">
      <c r="A476" s="403"/>
      <c r="B476" s="414" t="s">
        <v>50</v>
      </c>
      <c r="C476" s="227" t="s">
        <v>36</v>
      </c>
      <c r="D476" s="228" t="s">
        <v>40</v>
      </c>
      <c r="E476" s="228" t="s">
        <v>58</v>
      </c>
      <c r="F476" s="229" t="s">
        <v>43</v>
      </c>
      <c r="G476" s="41" t="s">
        <v>51</v>
      </c>
      <c r="H476" s="242">
        <f>'прил9 (ведом 22)'!M48</f>
        <v>15</v>
      </c>
    </row>
    <row r="477" spans="1:8" ht="36" x14ac:dyDescent="0.35">
      <c r="A477" s="403"/>
      <c r="B477" s="30" t="s">
        <v>525</v>
      </c>
      <c r="C477" s="583" t="s">
        <v>36</v>
      </c>
      <c r="D477" s="584" t="s">
        <v>40</v>
      </c>
      <c r="E477" s="584" t="s">
        <v>58</v>
      </c>
      <c r="F477" s="585" t="s">
        <v>524</v>
      </c>
      <c r="G477" s="41"/>
      <c r="H477" s="242">
        <f>H478</f>
        <v>112.4</v>
      </c>
    </row>
    <row r="478" spans="1:8" ht="36" x14ac:dyDescent="0.35">
      <c r="A478" s="403"/>
      <c r="B478" s="30" t="s">
        <v>50</v>
      </c>
      <c r="C478" s="583" t="s">
        <v>36</v>
      </c>
      <c r="D478" s="584" t="s">
        <v>40</v>
      </c>
      <c r="E478" s="584" t="s">
        <v>58</v>
      </c>
      <c r="F478" s="585" t="s">
        <v>524</v>
      </c>
      <c r="G478" s="41" t="s">
        <v>51</v>
      </c>
      <c r="H478" s="242">
        <f>'прил9 (ведом 22)'!M195</f>
        <v>112.4</v>
      </c>
    </row>
    <row r="479" spans="1:8" ht="54" x14ac:dyDescent="0.35">
      <c r="A479" s="403"/>
      <c r="B479" s="240" t="s">
        <v>375</v>
      </c>
      <c r="C479" s="227" t="s">
        <v>36</v>
      </c>
      <c r="D479" s="228" t="s">
        <v>40</v>
      </c>
      <c r="E479" s="228" t="s">
        <v>58</v>
      </c>
      <c r="F479" s="229" t="s">
        <v>374</v>
      </c>
      <c r="G479" s="41"/>
      <c r="H479" s="242">
        <f>H480+H481</f>
        <v>1521.3999999999999</v>
      </c>
    </row>
    <row r="480" spans="1:8" ht="36" x14ac:dyDescent="0.35">
      <c r="A480" s="403"/>
      <c r="B480" s="240" t="s">
        <v>50</v>
      </c>
      <c r="C480" s="227" t="s">
        <v>36</v>
      </c>
      <c r="D480" s="228" t="s">
        <v>40</v>
      </c>
      <c r="E480" s="228" t="s">
        <v>58</v>
      </c>
      <c r="F480" s="229" t="s">
        <v>374</v>
      </c>
      <c r="G480" s="41" t="s">
        <v>51</v>
      </c>
      <c r="H480" s="242">
        <f>'прил9 (ведом 22)'!M78</f>
        <v>1293.0999999999999</v>
      </c>
    </row>
    <row r="481" spans="1:8" ht="18" x14ac:dyDescent="0.35">
      <c r="A481" s="403"/>
      <c r="B481" s="240" t="s">
        <v>52</v>
      </c>
      <c r="C481" s="227" t="s">
        <v>36</v>
      </c>
      <c r="D481" s="228" t="s">
        <v>40</v>
      </c>
      <c r="E481" s="228" t="s">
        <v>58</v>
      </c>
      <c r="F481" s="229" t="s">
        <v>374</v>
      </c>
      <c r="G481" s="41" t="s">
        <v>53</v>
      </c>
      <c r="H481" s="242">
        <f>'прил9 (ведом 22)'!M79</f>
        <v>228.3</v>
      </c>
    </row>
    <row r="482" spans="1:8" ht="18" x14ac:dyDescent="0.35">
      <c r="A482" s="403"/>
      <c r="B482" s="414" t="s">
        <v>59</v>
      </c>
      <c r="C482" s="227" t="s">
        <v>36</v>
      </c>
      <c r="D482" s="228" t="s">
        <v>40</v>
      </c>
      <c r="E482" s="228" t="s">
        <v>47</v>
      </c>
      <c r="F482" s="229" t="s">
        <v>39</v>
      </c>
      <c r="G482" s="41"/>
      <c r="H482" s="242">
        <f>H483+H485</f>
        <v>2943.1</v>
      </c>
    </row>
    <row r="483" spans="1:8" ht="54" x14ac:dyDescent="0.35">
      <c r="A483" s="403"/>
      <c r="B483" s="440" t="s">
        <v>341</v>
      </c>
      <c r="C483" s="227" t="s">
        <v>36</v>
      </c>
      <c r="D483" s="228" t="s">
        <v>40</v>
      </c>
      <c r="E483" s="228" t="s">
        <v>47</v>
      </c>
      <c r="F483" s="229" t="s">
        <v>100</v>
      </c>
      <c r="G483" s="41"/>
      <c r="H483" s="242">
        <f>H484</f>
        <v>948.3</v>
      </c>
    </row>
    <row r="484" spans="1:8" ht="36" x14ac:dyDescent="0.35">
      <c r="A484" s="403"/>
      <c r="B484" s="414" t="s">
        <v>50</v>
      </c>
      <c r="C484" s="227" t="s">
        <v>36</v>
      </c>
      <c r="D484" s="228" t="s">
        <v>40</v>
      </c>
      <c r="E484" s="228" t="s">
        <v>47</v>
      </c>
      <c r="F484" s="229" t="s">
        <v>100</v>
      </c>
      <c r="G484" s="41" t="s">
        <v>51</v>
      </c>
      <c r="H484" s="242">
        <f>'прил9 (ведом 22)'!M82</f>
        <v>948.3</v>
      </c>
    </row>
    <row r="485" spans="1:8" ht="54" x14ac:dyDescent="0.35">
      <c r="A485" s="403"/>
      <c r="B485" s="414" t="s">
        <v>343</v>
      </c>
      <c r="C485" s="227" t="s">
        <v>36</v>
      </c>
      <c r="D485" s="228" t="s">
        <v>40</v>
      </c>
      <c r="E485" s="228" t="s">
        <v>47</v>
      </c>
      <c r="F485" s="229" t="s">
        <v>342</v>
      </c>
      <c r="G485" s="41"/>
      <c r="H485" s="242">
        <f>H486</f>
        <v>1994.8</v>
      </c>
    </row>
    <row r="486" spans="1:8" ht="36" x14ac:dyDescent="0.35">
      <c r="A486" s="403"/>
      <c r="B486" s="414" t="s">
        <v>50</v>
      </c>
      <c r="C486" s="227" t="s">
        <v>36</v>
      </c>
      <c r="D486" s="228" t="s">
        <v>40</v>
      </c>
      <c r="E486" s="228" t="s">
        <v>47</v>
      </c>
      <c r="F486" s="229" t="s">
        <v>342</v>
      </c>
      <c r="G486" s="41" t="s">
        <v>51</v>
      </c>
      <c r="H486" s="242">
        <f>'прил9 (ведом 22)'!M84</f>
        <v>1994.8</v>
      </c>
    </row>
    <row r="487" spans="1:8" ht="51" customHeight="1" x14ac:dyDescent="0.35">
      <c r="A487" s="448"/>
      <c r="B487" s="461" t="s">
        <v>288</v>
      </c>
      <c r="C487" s="428" t="s">
        <v>36</v>
      </c>
      <c r="D487" s="449" t="s">
        <v>40</v>
      </c>
      <c r="E487" s="449" t="s">
        <v>76</v>
      </c>
      <c r="F487" s="462" t="s">
        <v>39</v>
      </c>
      <c r="G487" s="463"/>
      <c r="H487" s="242">
        <f>H488</f>
        <v>5965.0000000000009</v>
      </c>
    </row>
    <row r="488" spans="1:8" ht="36" x14ac:dyDescent="0.35">
      <c r="A488" s="448"/>
      <c r="B488" s="414" t="s">
        <v>437</v>
      </c>
      <c r="C488" s="428" t="s">
        <v>36</v>
      </c>
      <c r="D488" s="449" t="s">
        <v>40</v>
      </c>
      <c r="E488" s="449" t="s">
        <v>76</v>
      </c>
      <c r="F488" s="462" t="s">
        <v>86</v>
      </c>
      <c r="G488" s="463"/>
      <c r="H488" s="242">
        <f>SUM(H489:H490)</f>
        <v>5965.0000000000009</v>
      </c>
    </row>
    <row r="489" spans="1:8" ht="90" x14ac:dyDescent="0.35">
      <c r="A489" s="448"/>
      <c r="B489" s="461" t="s">
        <v>44</v>
      </c>
      <c r="C489" s="428" t="s">
        <v>36</v>
      </c>
      <c r="D489" s="449" t="s">
        <v>40</v>
      </c>
      <c r="E489" s="449" t="s">
        <v>76</v>
      </c>
      <c r="F489" s="462" t="s">
        <v>86</v>
      </c>
      <c r="G489" s="463" t="s">
        <v>45</v>
      </c>
      <c r="H489" s="242">
        <f>'прил9 (ведом 22)'!M306</f>
        <v>5494.4000000000005</v>
      </c>
    </row>
    <row r="490" spans="1:8" ht="36" x14ac:dyDescent="0.35">
      <c r="A490" s="448"/>
      <c r="B490" s="414" t="s">
        <v>50</v>
      </c>
      <c r="C490" s="428" t="s">
        <v>36</v>
      </c>
      <c r="D490" s="449" t="s">
        <v>40</v>
      </c>
      <c r="E490" s="449" t="s">
        <v>76</v>
      </c>
      <c r="F490" s="462" t="s">
        <v>86</v>
      </c>
      <c r="G490" s="463" t="s">
        <v>51</v>
      </c>
      <c r="H490" s="242">
        <f>'прил9 (ведом 22)'!M307</f>
        <v>470.6</v>
      </c>
    </row>
    <row r="491" spans="1:8" ht="38.25" customHeight="1" x14ac:dyDescent="0.35">
      <c r="A491" s="448"/>
      <c r="B491" s="427" t="s">
        <v>369</v>
      </c>
      <c r="C491" s="227" t="s">
        <v>36</v>
      </c>
      <c r="D491" s="228" t="s">
        <v>40</v>
      </c>
      <c r="E491" s="228" t="s">
        <v>74</v>
      </c>
      <c r="F491" s="229" t="s">
        <v>39</v>
      </c>
      <c r="G491" s="41"/>
      <c r="H491" s="242">
        <f>H492</f>
        <v>9.4</v>
      </c>
    </row>
    <row r="492" spans="1:8" ht="18" x14ac:dyDescent="0.35">
      <c r="A492" s="448"/>
      <c r="B492" s="427" t="s">
        <v>370</v>
      </c>
      <c r="C492" s="227" t="s">
        <v>36</v>
      </c>
      <c r="D492" s="228" t="s">
        <v>40</v>
      </c>
      <c r="E492" s="228" t="s">
        <v>74</v>
      </c>
      <c r="F492" s="229" t="s">
        <v>371</v>
      </c>
      <c r="G492" s="41"/>
      <c r="H492" s="242">
        <f>H493</f>
        <v>9.4</v>
      </c>
    </row>
    <row r="493" spans="1:8" ht="36" x14ac:dyDescent="0.35">
      <c r="A493" s="448"/>
      <c r="B493" s="427" t="s">
        <v>372</v>
      </c>
      <c r="C493" s="227" t="s">
        <v>36</v>
      </c>
      <c r="D493" s="228" t="s">
        <v>40</v>
      </c>
      <c r="E493" s="228" t="s">
        <v>74</v>
      </c>
      <c r="F493" s="229" t="s">
        <v>371</v>
      </c>
      <c r="G493" s="41" t="s">
        <v>373</v>
      </c>
      <c r="H493" s="242">
        <f>'прил9 (ведом 22)'!M215</f>
        <v>9.4</v>
      </c>
    </row>
    <row r="494" spans="1:8" ht="36" x14ac:dyDescent="0.35">
      <c r="A494" s="448"/>
      <c r="B494" s="240" t="s">
        <v>320</v>
      </c>
      <c r="C494" s="227" t="s">
        <v>36</v>
      </c>
      <c r="D494" s="228" t="s">
        <v>40</v>
      </c>
      <c r="E494" s="228" t="s">
        <v>83</v>
      </c>
      <c r="F494" s="229" t="s">
        <v>39</v>
      </c>
      <c r="G494" s="463"/>
      <c r="H494" s="242">
        <f>H495+H500+H498</f>
        <v>24695.399999999998</v>
      </c>
    </row>
    <row r="495" spans="1:8" ht="36" x14ac:dyDescent="0.35">
      <c r="A495" s="448"/>
      <c r="B495" s="414" t="s">
        <v>437</v>
      </c>
      <c r="C495" s="227" t="s">
        <v>36</v>
      </c>
      <c r="D495" s="228" t="s">
        <v>40</v>
      </c>
      <c r="E495" s="228" t="s">
        <v>83</v>
      </c>
      <c r="F495" s="229" t="s">
        <v>86</v>
      </c>
      <c r="G495" s="41"/>
      <c r="H495" s="242">
        <f>SUM(H496:H497)</f>
        <v>4732.0999999999995</v>
      </c>
    </row>
    <row r="496" spans="1:8" ht="90" x14ac:dyDescent="0.35">
      <c r="A496" s="448"/>
      <c r="B496" s="240" t="s">
        <v>44</v>
      </c>
      <c r="C496" s="227" t="s">
        <v>36</v>
      </c>
      <c r="D496" s="228" t="s">
        <v>40</v>
      </c>
      <c r="E496" s="228" t="s">
        <v>83</v>
      </c>
      <c r="F496" s="229" t="s">
        <v>86</v>
      </c>
      <c r="G496" s="41" t="s">
        <v>45</v>
      </c>
      <c r="H496" s="242">
        <f>'прил9 (ведом 22)'!M162</f>
        <v>4586.7999999999993</v>
      </c>
    </row>
    <row r="497" spans="1:8" ht="36" x14ac:dyDescent="0.35">
      <c r="A497" s="448"/>
      <c r="B497" s="240" t="s">
        <v>50</v>
      </c>
      <c r="C497" s="227" t="s">
        <v>36</v>
      </c>
      <c r="D497" s="228" t="s">
        <v>40</v>
      </c>
      <c r="E497" s="228" t="s">
        <v>83</v>
      </c>
      <c r="F497" s="229" t="s">
        <v>86</v>
      </c>
      <c r="G497" s="41" t="s">
        <v>51</v>
      </c>
      <c r="H497" s="242">
        <f>'прил9 (ведом 22)'!M163</f>
        <v>145.30000000000001</v>
      </c>
    </row>
    <row r="498" spans="1:8" ht="36" x14ac:dyDescent="0.35">
      <c r="A498" s="448"/>
      <c r="B498" s="30" t="s">
        <v>556</v>
      </c>
      <c r="C498" s="583" t="s">
        <v>36</v>
      </c>
      <c r="D498" s="584" t="s">
        <v>40</v>
      </c>
      <c r="E498" s="584" t="s">
        <v>83</v>
      </c>
      <c r="F498" s="585" t="s">
        <v>557</v>
      </c>
      <c r="G498" s="16"/>
      <c r="H498" s="242">
        <f>H499</f>
        <v>6607.3</v>
      </c>
    </row>
    <row r="499" spans="1:8" ht="36" x14ac:dyDescent="0.35">
      <c r="A499" s="448"/>
      <c r="B499" s="30" t="s">
        <v>50</v>
      </c>
      <c r="C499" s="583" t="s">
        <v>36</v>
      </c>
      <c r="D499" s="584" t="s">
        <v>40</v>
      </c>
      <c r="E499" s="584" t="s">
        <v>83</v>
      </c>
      <c r="F499" s="585" t="s">
        <v>557</v>
      </c>
      <c r="G499" s="16" t="s">
        <v>51</v>
      </c>
      <c r="H499" s="242">
        <f>'прил9 (ведом 22)'!M165</f>
        <v>6607.3</v>
      </c>
    </row>
    <row r="500" spans="1:8" ht="36" x14ac:dyDescent="0.35">
      <c r="A500" s="448"/>
      <c r="B500" s="240" t="s">
        <v>529</v>
      </c>
      <c r="C500" s="227" t="s">
        <v>36</v>
      </c>
      <c r="D500" s="228" t="s">
        <v>40</v>
      </c>
      <c r="E500" s="228" t="s">
        <v>83</v>
      </c>
      <c r="F500" s="229" t="s">
        <v>528</v>
      </c>
      <c r="G500" s="41"/>
      <c r="H500" s="242">
        <f>H501</f>
        <v>13356</v>
      </c>
    </row>
    <row r="501" spans="1:8" ht="36" x14ac:dyDescent="0.35">
      <c r="A501" s="448"/>
      <c r="B501" s="240" t="s">
        <v>50</v>
      </c>
      <c r="C501" s="227" t="s">
        <v>36</v>
      </c>
      <c r="D501" s="228" t="s">
        <v>40</v>
      </c>
      <c r="E501" s="228" t="s">
        <v>83</v>
      </c>
      <c r="F501" s="229" t="s">
        <v>528</v>
      </c>
      <c r="G501" s="41" t="s">
        <v>51</v>
      </c>
      <c r="H501" s="242">
        <f>'прил9 (ведом 22)'!M167</f>
        <v>13356</v>
      </c>
    </row>
    <row r="502" spans="1:8" ht="36" x14ac:dyDescent="0.35">
      <c r="A502" s="448"/>
      <c r="B502" s="240" t="s">
        <v>445</v>
      </c>
      <c r="C502" s="227" t="s">
        <v>36</v>
      </c>
      <c r="D502" s="228" t="s">
        <v>40</v>
      </c>
      <c r="E502" s="228" t="s">
        <v>400</v>
      </c>
      <c r="F502" s="229" t="s">
        <v>39</v>
      </c>
      <c r="G502" s="41"/>
      <c r="H502" s="242">
        <f>H503</f>
        <v>120.1</v>
      </c>
    </row>
    <row r="503" spans="1:8" ht="36" x14ac:dyDescent="0.35">
      <c r="A503" s="448"/>
      <c r="B503" s="442" t="s">
        <v>122</v>
      </c>
      <c r="C503" s="227" t="s">
        <v>36</v>
      </c>
      <c r="D503" s="228" t="s">
        <v>40</v>
      </c>
      <c r="E503" s="228" t="s">
        <v>400</v>
      </c>
      <c r="F503" s="229" t="s">
        <v>85</v>
      </c>
      <c r="G503" s="41"/>
      <c r="H503" s="242">
        <f>H504</f>
        <v>120.1</v>
      </c>
    </row>
    <row r="504" spans="1:8" ht="36" x14ac:dyDescent="0.35">
      <c r="A504" s="448"/>
      <c r="B504" s="240" t="s">
        <v>50</v>
      </c>
      <c r="C504" s="227" t="s">
        <v>36</v>
      </c>
      <c r="D504" s="228" t="s">
        <v>40</v>
      </c>
      <c r="E504" s="228" t="s">
        <v>400</v>
      </c>
      <c r="F504" s="229" t="s">
        <v>85</v>
      </c>
      <c r="G504" s="41" t="s">
        <v>51</v>
      </c>
      <c r="H504" s="242">
        <f>'прил9 (ведом 22)'!M87</f>
        <v>120.1</v>
      </c>
    </row>
    <row r="505" spans="1:8" ht="36" x14ac:dyDescent="0.35">
      <c r="A505" s="448"/>
      <c r="B505" s="240" t="s">
        <v>441</v>
      </c>
      <c r="C505" s="227" t="s">
        <v>36</v>
      </c>
      <c r="D505" s="228" t="s">
        <v>40</v>
      </c>
      <c r="E505" s="228" t="s">
        <v>36</v>
      </c>
      <c r="F505" s="229" t="s">
        <v>39</v>
      </c>
      <c r="G505" s="41"/>
      <c r="H505" s="242">
        <f>H506</f>
        <v>60</v>
      </c>
    </row>
    <row r="506" spans="1:8" ht="18" x14ac:dyDescent="0.35">
      <c r="A506" s="448"/>
      <c r="B506" s="442" t="s">
        <v>439</v>
      </c>
      <c r="C506" s="227" t="s">
        <v>36</v>
      </c>
      <c r="D506" s="228" t="s">
        <v>40</v>
      </c>
      <c r="E506" s="228" t="s">
        <v>36</v>
      </c>
      <c r="F506" s="229" t="s">
        <v>440</v>
      </c>
      <c r="G506" s="41"/>
      <c r="H506" s="242">
        <f>H507</f>
        <v>60</v>
      </c>
    </row>
    <row r="507" spans="1:8" ht="39.6" customHeight="1" x14ac:dyDescent="0.35">
      <c r="A507" s="448"/>
      <c r="B507" s="240" t="s">
        <v>50</v>
      </c>
      <c r="C507" s="227" t="s">
        <v>36</v>
      </c>
      <c r="D507" s="228" t="s">
        <v>40</v>
      </c>
      <c r="E507" s="228" t="s">
        <v>36</v>
      </c>
      <c r="F507" s="229" t="s">
        <v>440</v>
      </c>
      <c r="G507" s="41" t="s">
        <v>51</v>
      </c>
      <c r="H507" s="242">
        <f>'прил9 (ведом 22)'!M90</f>
        <v>60</v>
      </c>
    </row>
    <row r="508" spans="1:8" ht="18" x14ac:dyDescent="0.35">
      <c r="A508" s="448"/>
      <c r="B508" s="414"/>
      <c r="C508" s="228"/>
      <c r="D508" s="228"/>
      <c r="E508" s="228"/>
      <c r="F508" s="229"/>
      <c r="G508" s="41"/>
      <c r="H508" s="242"/>
    </row>
    <row r="509" spans="1:8" ht="55.2" customHeight="1" x14ac:dyDescent="0.3">
      <c r="A509" s="423">
        <v>16</v>
      </c>
      <c r="B509" s="453" t="s">
        <v>228</v>
      </c>
      <c r="C509" s="424" t="s">
        <v>229</v>
      </c>
      <c r="D509" s="424" t="s">
        <v>37</v>
      </c>
      <c r="E509" s="424" t="s">
        <v>38</v>
      </c>
      <c r="F509" s="425" t="s">
        <v>39</v>
      </c>
      <c r="G509" s="412"/>
      <c r="H509" s="289">
        <f>H510</f>
        <v>53.4</v>
      </c>
    </row>
    <row r="510" spans="1:8" ht="20.399999999999999" customHeight="1" x14ac:dyDescent="0.35">
      <c r="A510" s="403"/>
      <c r="B510" s="414" t="s">
        <v>328</v>
      </c>
      <c r="C510" s="227" t="s">
        <v>229</v>
      </c>
      <c r="D510" s="228" t="s">
        <v>40</v>
      </c>
      <c r="E510" s="228" t="s">
        <v>38</v>
      </c>
      <c r="F510" s="229" t="s">
        <v>39</v>
      </c>
      <c r="G510" s="41"/>
      <c r="H510" s="242">
        <f>H511</f>
        <v>53.4</v>
      </c>
    </row>
    <row r="511" spans="1:8" ht="56.4" customHeight="1" x14ac:dyDescent="0.35">
      <c r="A511" s="403"/>
      <c r="B511" s="414" t="s">
        <v>274</v>
      </c>
      <c r="C511" s="227" t="s">
        <v>229</v>
      </c>
      <c r="D511" s="228" t="s">
        <v>40</v>
      </c>
      <c r="E511" s="228" t="s">
        <v>32</v>
      </c>
      <c r="F511" s="229" t="s">
        <v>39</v>
      </c>
      <c r="G511" s="41"/>
      <c r="H511" s="242">
        <f>H512</f>
        <v>53.4</v>
      </c>
    </row>
    <row r="512" spans="1:8" ht="36" x14ac:dyDescent="0.35">
      <c r="A512" s="403"/>
      <c r="B512" s="414" t="s">
        <v>230</v>
      </c>
      <c r="C512" s="227" t="s">
        <v>229</v>
      </c>
      <c r="D512" s="228" t="s">
        <v>40</v>
      </c>
      <c r="E512" s="228" t="s">
        <v>32</v>
      </c>
      <c r="F512" s="229" t="s">
        <v>268</v>
      </c>
      <c r="G512" s="41"/>
      <c r="H512" s="242">
        <f>H513</f>
        <v>53.4</v>
      </c>
    </row>
    <row r="513" spans="1:8" ht="39" customHeight="1" x14ac:dyDescent="0.35">
      <c r="A513" s="403"/>
      <c r="B513" s="414" t="s">
        <v>71</v>
      </c>
      <c r="C513" s="227" t="s">
        <v>229</v>
      </c>
      <c r="D513" s="228" t="s">
        <v>40</v>
      </c>
      <c r="E513" s="228" t="s">
        <v>32</v>
      </c>
      <c r="F513" s="229" t="s">
        <v>268</v>
      </c>
      <c r="G513" s="41" t="s">
        <v>72</v>
      </c>
      <c r="H513" s="242">
        <f>'прил9 (ведом 22)'!M402</f>
        <v>53.4</v>
      </c>
    </row>
    <row r="514" spans="1:8" ht="18" x14ac:dyDescent="0.35">
      <c r="A514" s="448"/>
      <c r="B514" s="414"/>
      <c r="C514" s="228"/>
      <c r="D514" s="228"/>
      <c r="E514" s="228"/>
      <c r="F514" s="228"/>
      <c r="G514" s="41"/>
      <c r="H514" s="242"/>
    </row>
    <row r="515" spans="1:8" ht="34.799999999999997" x14ac:dyDescent="0.3">
      <c r="A515" s="423">
        <v>17</v>
      </c>
      <c r="B515" s="500" t="s">
        <v>125</v>
      </c>
      <c r="C515" s="424" t="s">
        <v>126</v>
      </c>
      <c r="D515" s="424" t="s">
        <v>37</v>
      </c>
      <c r="E515" s="424" t="s">
        <v>38</v>
      </c>
      <c r="F515" s="424" t="s">
        <v>39</v>
      </c>
      <c r="G515" s="412"/>
      <c r="H515" s="289">
        <f>H516</f>
        <v>6007</v>
      </c>
    </row>
    <row r="516" spans="1:8" ht="39.6" customHeight="1" x14ac:dyDescent="0.35">
      <c r="A516" s="403"/>
      <c r="B516" s="441" t="s">
        <v>127</v>
      </c>
      <c r="C516" s="227" t="s">
        <v>126</v>
      </c>
      <c r="D516" s="228" t="s">
        <v>40</v>
      </c>
      <c r="E516" s="228" t="s">
        <v>38</v>
      </c>
      <c r="F516" s="229" t="s">
        <v>39</v>
      </c>
      <c r="G516" s="41"/>
      <c r="H516" s="242">
        <f>H517+H521</f>
        <v>6007</v>
      </c>
    </row>
    <row r="517" spans="1:8" ht="37.950000000000003" customHeight="1" x14ac:dyDescent="0.35">
      <c r="A517" s="403"/>
      <c r="B517" s="414" t="s">
        <v>42</v>
      </c>
      <c r="C517" s="227" t="s">
        <v>126</v>
      </c>
      <c r="D517" s="228" t="s">
        <v>40</v>
      </c>
      <c r="E517" s="228" t="s">
        <v>38</v>
      </c>
      <c r="F517" s="229" t="s">
        <v>43</v>
      </c>
      <c r="G517" s="41"/>
      <c r="H517" s="242">
        <f>H518+H519+H520</f>
        <v>4928.1000000000004</v>
      </c>
    </row>
    <row r="518" spans="1:8" ht="91.95" customHeight="1" x14ac:dyDescent="0.35">
      <c r="A518" s="403"/>
      <c r="B518" s="443" t="s">
        <v>44</v>
      </c>
      <c r="C518" s="227" t="s">
        <v>126</v>
      </c>
      <c r="D518" s="228" t="s">
        <v>40</v>
      </c>
      <c r="E518" s="228" t="s">
        <v>38</v>
      </c>
      <c r="F518" s="229" t="s">
        <v>43</v>
      </c>
      <c r="G518" s="41" t="s">
        <v>45</v>
      </c>
      <c r="H518" s="242">
        <f>'прил9 (ведом 22)'!M260</f>
        <v>4671.3</v>
      </c>
    </row>
    <row r="519" spans="1:8" ht="36" x14ac:dyDescent="0.35">
      <c r="A519" s="403"/>
      <c r="B519" s="414" t="s">
        <v>50</v>
      </c>
      <c r="C519" s="227" t="s">
        <v>126</v>
      </c>
      <c r="D519" s="228" t="s">
        <v>40</v>
      </c>
      <c r="E519" s="228" t="s">
        <v>38</v>
      </c>
      <c r="F519" s="229" t="s">
        <v>43</v>
      </c>
      <c r="G519" s="41" t="s">
        <v>51</v>
      </c>
      <c r="H519" s="242">
        <f>'прил9 (ведом 22)'!M261</f>
        <v>246.8</v>
      </c>
    </row>
    <row r="520" spans="1:8" ht="18" x14ac:dyDescent="0.35">
      <c r="A520" s="403"/>
      <c r="B520" s="414" t="s">
        <v>52</v>
      </c>
      <c r="C520" s="227" t="s">
        <v>126</v>
      </c>
      <c r="D520" s="228" t="s">
        <v>40</v>
      </c>
      <c r="E520" s="228" t="s">
        <v>38</v>
      </c>
      <c r="F520" s="229" t="s">
        <v>43</v>
      </c>
      <c r="G520" s="41" t="s">
        <v>53</v>
      </c>
      <c r="H520" s="242">
        <f>'прил9 (ведом 22)'!M262</f>
        <v>10</v>
      </c>
    </row>
    <row r="521" spans="1:8" ht="38.4" customHeight="1" x14ac:dyDescent="0.35">
      <c r="A521" s="403"/>
      <c r="B521" s="414" t="s">
        <v>231</v>
      </c>
      <c r="C521" s="227" t="s">
        <v>126</v>
      </c>
      <c r="D521" s="228" t="s">
        <v>40</v>
      </c>
      <c r="E521" s="228" t="s">
        <v>38</v>
      </c>
      <c r="F521" s="229" t="s">
        <v>128</v>
      </c>
      <c r="G521" s="41"/>
      <c r="H521" s="242">
        <f>SUM(H522:H522)</f>
        <v>1078.9000000000001</v>
      </c>
    </row>
    <row r="522" spans="1:8" ht="92.4" customHeight="1" x14ac:dyDescent="0.35">
      <c r="A522" s="403"/>
      <c r="B522" s="414" t="s">
        <v>44</v>
      </c>
      <c r="C522" s="227" t="s">
        <v>126</v>
      </c>
      <c r="D522" s="228" t="s">
        <v>40</v>
      </c>
      <c r="E522" s="228" t="s">
        <v>38</v>
      </c>
      <c r="F522" s="229" t="s">
        <v>128</v>
      </c>
      <c r="G522" s="41" t="s">
        <v>45</v>
      </c>
      <c r="H522" s="242">
        <f>'прил9 (ведом 22)'!M264</f>
        <v>1078.9000000000001</v>
      </c>
    </row>
    <row r="523" spans="1:8" ht="18" x14ac:dyDescent="0.35">
      <c r="A523" s="403"/>
      <c r="B523" s="240"/>
      <c r="C523" s="577"/>
      <c r="D523" s="577"/>
      <c r="E523" s="577"/>
      <c r="F523" s="577"/>
      <c r="G523" s="264"/>
      <c r="H523" s="242"/>
    </row>
    <row r="524" spans="1:8" s="413" customFormat="1" ht="44.25" customHeight="1" x14ac:dyDescent="0.3">
      <c r="A524" s="423">
        <v>18</v>
      </c>
      <c r="B524" s="547" t="s">
        <v>427</v>
      </c>
      <c r="C524" s="424" t="s">
        <v>63</v>
      </c>
      <c r="D524" s="424" t="s">
        <v>37</v>
      </c>
      <c r="E524" s="424" t="s">
        <v>38</v>
      </c>
      <c r="F524" s="424" t="s">
        <v>39</v>
      </c>
      <c r="G524" s="412"/>
      <c r="H524" s="289">
        <f>H525</f>
        <v>21700</v>
      </c>
    </row>
    <row r="525" spans="1:8" ht="18.600000000000001" customHeight="1" x14ac:dyDescent="0.35">
      <c r="A525" s="403"/>
      <c r="B525" s="443" t="s">
        <v>424</v>
      </c>
      <c r="C525" s="227" t="s">
        <v>63</v>
      </c>
      <c r="D525" s="228" t="s">
        <v>40</v>
      </c>
      <c r="E525" s="228" t="s">
        <v>38</v>
      </c>
      <c r="F525" s="229" t="s">
        <v>39</v>
      </c>
      <c r="G525" s="41"/>
      <c r="H525" s="242">
        <f>H526</f>
        <v>21700</v>
      </c>
    </row>
    <row r="526" spans="1:8" ht="36" x14ac:dyDescent="0.35">
      <c r="A526" s="403"/>
      <c r="B526" s="414" t="s">
        <v>422</v>
      </c>
      <c r="C526" s="227" t="s">
        <v>63</v>
      </c>
      <c r="D526" s="228" t="s">
        <v>40</v>
      </c>
      <c r="E526" s="228" t="s">
        <v>38</v>
      </c>
      <c r="F526" s="229" t="s">
        <v>64</v>
      </c>
      <c r="G526" s="41"/>
      <c r="H526" s="242">
        <f>H527</f>
        <v>21700</v>
      </c>
    </row>
    <row r="527" spans="1:8" ht="18" x14ac:dyDescent="0.35">
      <c r="A527" s="403"/>
      <c r="B527" s="414" t="s">
        <v>52</v>
      </c>
      <c r="C527" s="227" t="s">
        <v>63</v>
      </c>
      <c r="D527" s="228" t="s">
        <v>40</v>
      </c>
      <c r="E527" s="228" t="s">
        <v>38</v>
      </c>
      <c r="F527" s="229" t="s">
        <v>64</v>
      </c>
      <c r="G527" s="41" t="s">
        <v>53</v>
      </c>
      <c r="H527" s="242">
        <f>'прил9 (ведом 22)'!M59</f>
        <v>21700</v>
      </c>
    </row>
    <row r="528" spans="1:8" ht="18" x14ac:dyDescent="0.35">
      <c r="A528" s="548"/>
      <c r="B528" s="549"/>
      <c r="C528" s="73"/>
      <c r="D528" s="73"/>
      <c r="E528" s="73"/>
      <c r="F528" s="73"/>
      <c r="G528" s="73"/>
      <c r="H528" s="550"/>
    </row>
    <row r="529" spans="1:8" ht="17.399999999999999" x14ac:dyDescent="0.3">
      <c r="A529" s="399"/>
      <c r="B529" s="56"/>
      <c r="C529" s="57"/>
      <c r="D529" s="57"/>
      <c r="E529" s="57"/>
      <c r="F529" s="57"/>
      <c r="G529" s="58"/>
    </row>
    <row r="530" spans="1:8" ht="18" x14ac:dyDescent="0.35">
      <c r="A530" s="55" t="s">
        <v>366</v>
      </c>
      <c r="B530" s="56"/>
      <c r="C530" s="57"/>
      <c r="D530" s="57"/>
      <c r="E530" s="57"/>
      <c r="F530" s="57"/>
      <c r="G530" s="58"/>
    </row>
    <row r="531" spans="1:8" ht="18" x14ac:dyDescent="0.35">
      <c r="A531" s="55" t="s">
        <v>367</v>
      </c>
      <c r="B531" s="56"/>
      <c r="C531" s="57"/>
      <c r="D531" s="57"/>
      <c r="E531" s="57"/>
      <c r="F531" s="57"/>
      <c r="G531" s="58"/>
    </row>
    <row r="532" spans="1:8" ht="18" x14ac:dyDescent="0.35">
      <c r="A532" s="61" t="s">
        <v>368</v>
      </c>
      <c r="B532" s="56"/>
      <c r="C532" s="60"/>
      <c r="D532" s="57"/>
      <c r="E532" s="57"/>
      <c r="F532" s="57"/>
      <c r="G532" s="60"/>
      <c r="H532" s="62" t="s">
        <v>387</v>
      </c>
    </row>
    <row r="533" spans="1:8" x14ac:dyDescent="0.3">
      <c r="A533" s="399"/>
      <c r="B533" s="56"/>
      <c r="C533" s="57"/>
      <c r="D533" s="57"/>
      <c r="E533" s="57"/>
      <c r="F533" s="57"/>
    </row>
    <row r="534" spans="1:8" x14ac:dyDescent="0.3">
      <c r="A534" s="399"/>
      <c r="B534" s="56"/>
      <c r="C534" s="57"/>
      <c r="D534" s="57"/>
      <c r="E534" s="57"/>
      <c r="F534" s="57"/>
    </row>
    <row r="535" spans="1:8" x14ac:dyDescent="0.3">
      <c r="A535" s="399"/>
      <c r="B535" s="56"/>
      <c r="C535" s="57"/>
      <c r="D535" s="57"/>
      <c r="E535" s="57"/>
      <c r="F535" s="57"/>
    </row>
    <row r="536" spans="1:8" ht="17.399999999999999" hidden="1" x14ac:dyDescent="0.3">
      <c r="A536" s="399"/>
      <c r="B536" s="56"/>
      <c r="C536" s="57"/>
      <c r="D536" s="57"/>
      <c r="E536" s="57"/>
      <c r="F536" s="57"/>
      <c r="G536" s="58"/>
    </row>
    <row r="537" spans="1:8" hidden="1" x14ac:dyDescent="0.3">
      <c r="B537" s="507" t="s">
        <v>232</v>
      </c>
      <c r="H537" s="398">
        <f>H15+H134+H188+H229+H254+H288+H310+H348+H409+H418+H424+H434+H442+H448+H382+H509</f>
        <v>1856919.8869999996</v>
      </c>
    </row>
    <row r="538" spans="1:8" hidden="1" x14ac:dyDescent="0.3"/>
    <row r="539" spans="1:8" hidden="1" x14ac:dyDescent="0.3">
      <c r="H539" s="398">
        <f>(H537/H14)*100</f>
        <v>98.529841625887826</v>
      </c>
    </row>
    <row r="540" spans="1:8" hidden="1" x14ac:dyDescent="0.3"/>
    <row r="541" spans="1:8" hidden="1" x14ac:dyDescent="0.3">
      <c r="B541" s="507" t="s">
        <v>233</v>
      </c>
      <c r="H541" s="398">
        <f>H515+H524</f>
        <v>27707</v>
      </c>
    </row>
    <row r="542" spans="1:8" hidden="1" x14ac:dyDescent="0.3">
      <c r="H542" s="398">
        <f>(H541/H543)*100</f>
        <v>1.4701583741121702</v>
      </c>
    </row>
    <row r="543" spans="1:8" hidden="1" x14ac:dyDescent="0.3">
      <c r="H543" s="398">
        <f>H537+H541</f>
        <v>1884626.8869999996</v>
      </c>
    </row>
    <row r="544" spans="1:8" hidden="1" x14ac:dyDescent="0.3"/>
    <row r="545" hidden="1" x14ac:dyDescent="0.3"/>
  </sheetData>
  <autoFilter ref="A4:H543"/>
  <mergeCells count="3">
    <mergeCell ref="A9:H9"/>
    <mergeCell ref="C12:F12"/>
    <mergeCell ref="C13:F13"/>
  </mergeCells>
  <printOptions horizontalCentered="1"/>
  <pageMargins left="1.1811023622047245" right="0.39370078740157483" top="0.78740157480314965" bottom="0.39370078740157483" header="0" footer="0"/>
  <pageSetup paperSize="9" scale="78" fitToHeight="0" orientation="portrait" blackAndWhite="1" r:id="rId1"/>
  <headerFooter differentFirst="1" alignWithMargins="0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56"/>
  <sheetViews>
    <sheetView zoomScale="80" zoomScaleNormal="80" zoomScaleSheetLayoutView="40" workbookViewId="0">
      <pane ySplit="6" topLeftCell="A427" activePane="bottomLeft" state="frozen"/>
      <selection activeCell="F25" sqref="F25"/>
      <selection pane="bottomLeft" activeCell="M440" sqref="M440"/>
    </sheetView>
  </sheetViews>
  <sheetFormatPr defaultColWidth="9.109375" defaultRowHeight="15.6" x14ac:dyDescent="0.3"/>
  <cols>
    <col min="1" max="1" width="4.5546875" style="397" customWidth="1"/>
    <col min="2" max="2" width="62.44140625" style="507" customWidth="1"/>
    <col min="3" max="3" width="3.109375" style="508" customWidth="1"/>
    <col min="4" max="4" width="2.33203125" style="508" customWidth="1"/>
    <col min="5" max="5" width="3" style="508" customWidth="1"/>
    <col min="6" max="6" width="8" style="508" customWidth="1"/>
    <col min="7" max="7" width="5.5546875" style="506" customWidth="1"/>
    <col min="8" max="8" width="14.109375" style="59" customWidth="1"/>
    <col min="9" max="9" width="13.33203125" style="60" customWidth="1"/>
    <col min="10" max="10" width="17.6640625" style="60" customWidth="1"/>
    <col min="11" max="11" width="16.44140625" style="60" hidden="1" customWidth="1"/>
    <col min="12" max="12" width="14.77734375" style="60" hidden="1" customWidth="1"/>
    <col min="13" max="16384" width="9.109375" style="60"/>
  </cols>
  <sheetData>
    <row r="1" spans="1:12" ht="18" x14ac:dyDescent="0.35">
      <c r="I1" s="172" t="s">
        <v>499</v>
      </c>
    </row>
    <row r="2" spans="1:12" ht="18" x14ac:dyDescent="0.35">
      <c r="I2" s="172" t="s">
        <v>546</v>
      </c>
    </row>
    <row r="4" spans="1:12" s="49" customFormat="1" ht="18" x14ac:dyDescent="0.35">
      <c r="I4" s="53" t="s">
        <v>502</v>
      </c>
    </row>
    <row r="5" spans="1:12" s="49" customFormat="1" ht="18" x14ac:dyDescent="0.35">
      <c r="I5" s="53" t="s">
        <v>545</v>
      </c>
    </row>
    <row r="9" spans="1:12" ht="76.5" customHeight="1" x14ac:dyDescent="0.3">
      <c r="A9" s="622" t="s">
        <v>494</v>
      </c>
      <c r="B9" s="622"/>
      <c r="C9" s="622"/>
      <c r="D9" s="622"/>
      <c r="E9" s="622"/>
      <c r="F9" s="622"/>
      <c r="G9" s="622"/>
      <c r="H9" s="622"/>
      <c r="I9" s="622"/>
    </row>
    <row r="10" spans="1:12" x14ac:dyDescent="0.3">
      <c r="A10" s="60"/>
      <c r="B10" s="60"/>
      <c r="C10" s="397"/>
      <c r="D10" s="397"/>
      <c r="E10" s="397"/>
      <c r="F10" s="397"/>
      <c r="G10" s="398"/>
    </row>
    <row r="11" spans="1:12" ht="18" x14ac:dyDescent="0.35">
      <c r="A11" s="399"/>
      <c r="B11" s="56"/>
      <c r="C11" s="57"/>
      <c r="D11" s="57"/>
      <c r="E11" s="57"/>
      <c r="F11" s="57"/>
      <c r="G11" s="60"/>
      <c r="I11" s="400" t="s">
        <v>17</v>
      </c>
    </row>
    <row r="12" spans="1:12" ht="18" x14ac:dyDescent="0.35">
      <c r="A12" s="630" t="s">
        <v>18</v>
      </c>
      <c r="B12" s="631" t="s">
        <v>19</v>
      </c>
      <c r="C12" s="631" t="s">
        <v>23</v>
      </c>
      <c r="D12" s="631"/>
      <c r="E12" s="631"/>
      <c r="F12" s="631"/>
      <c r="G12" s="631" t="s">
        <v>24</v>
      </c>
      <c r="H12" s="629" t="s">
        <v>13</v>
      </c>
      <c r="I12" s="629"/>
    </row>
    <row r="13" spans="1:12" ht="40.950000000000003" customHeight="1" x14ac:dyDescent="0.3">
      <c r="A13" s="630"/>
      <c r="B13" s="631"/>
      <c r="C13" s="631"/>
      <c r="D13" s="631"/>
      <c r="E13" s="631"/>
      <c r="F13" s="631"/>
      <c r="G13" s="631"/>
      <c r="H13" s="401" t="s">
        <v>433</v>
      </c>
      <c r="I13" s="401" t="s">
        <v>491</v>
      </c>
    </row>
    <row r="14" spans="1:12" ht="18" x14ac:dyDescent="0.35">
      <c r="A14" s="250">
        <v>1</v>
      </c>
      <c r="B14" s="402">
        <v>2</v>
      </c>
      <c r="C14" s="626" t="s">
        <v>25</v>
      </c>
      <c r="D14" s="627"/>
      <c r="E14" s="627"/>
      <c r="F14" s="628"/>
      <c r="G14" s="264" t="s">
        <v>26</v>
      </c>
      <c r="H14" s="251">
        <v>5</v>
      </c>
      <c r="I14" s="251">
        <v>6</v>
      </c>
    </row>
    <row r="15" spans="1:12" ht="18" x14ac:dyDescent="0.35">
      <c r="A15" s="403"/>
      <c r="B15" s="404" t="s">
        <v>197</v>
      </c>
      <c r="C15" s="405"/>
      <c r="D15" s="405"/>
      <c r="E15" s="405"/>
      <c r="F15" s="405"/>
      <c r="G15" s="406"/>
      <c r="H15" s="407">
        <f>H16+H115+H157+H194+H217+H245+H262+H286+H320+H326+H335+H341+H351+H365+H423+H430+H435+H359+H417</f>
        <v>1593166.6999999995</v>
      </c>
      <c r="I15" s="407">
        <f>I16+I115+I157+I194+I217+I245+I262+I286+I320+I326+I335+I341+I351+I365+I423+I430+I435+I359+I417</f>
        <v>1597406.2999999996</v>
      </c>
      <c r="J15" s="408"/>
      <c r="K15" s="408">
        <f>H15-'прил10 (ведом 23-24)'!M16</f>
        <v>0</v>
      </c>
      <c r="L15" s="565">
        <f>I15-'прил10 (ведом 23-24)'!N16</f>
        <v>0</v>
      </c>
    </row>
    <row r="16" spans="1:12" s="413" customFormat="1" ht="52.2" x14ac:dyDescent="0.3">
      <c r="A16" s="409">
        <v>1</v>
      </c>
      <c r="B16" s="339" t="s">
        <v>200</v>
      </c>
      <c r="C16" s="410" t="s">
        <v>34</v>
      </c>
      <c r="D16" s="410" t="s">
        <v>37</v>
      </c>
      <c r="E16" s="410" t="s">
        <v>38</v>
      </c>
      <c r="F16" s="411" t="s">
        <v>39</v>
      </c>
      <c r="G16" s="412"/>
      <c r="H16" s="289">
        <f>H17+H71+H85</f>
        <v>1097686.2</v>
      </c>
      <c r="I16" s="289">
        <f>I17+I71+I85</f>
        <v>1098278.2</v>
      </c>
    </row>
    <row r="17" spans="1:9" ht="24" customHeight="1" x14ac:dyDescent="0.35">
      <c r="A17" s="403"/>
      <c r="B17" s="414" t="s">
        <v>201</v>
      </c>
      <c r="C17" s="599" t="s">
        <v>34</v>
      </c>
      <c r="D17" s="599" t="s">
        <v>40</v>
      </c>
      <c r="E17" s="599" t="s">
        <v>38</v>
      </c>
      <c r="F17" s="600" t="s">
        <v>39</v>
      </c>
      <c r="G17" s="264"/>
      <c r="H17" s="242">
        <f>H18+H32</f>
        <v>1008574.8</v>
      </c>
      <c r="I17" s="242">
        <f>I18+I32</f>
        <v>955979.39999999991</v>
      </c>
    </row>
    <row r="18" spans="1:9" ht="18" x14ac:dyDescent="0.35">
      <c r="A18" s="403"/>
      <c r="B18" s="414" t="s">
        <v>255</v>
      </c>
      <c r="C18" s="227" t="s">
        <v>34</v>
      </c>
      <c r="D18" s="228" t="s">
        <v>40</v>
      </c>
      <c r="E18" s="228" t="s">
        <v>32</v>
      </c>
      <c r="F18" s="229" t="s">
        <v>39</v>
      </c>
      <c r="G18" s="264"/>
      <c r="H18" s="242">
        <f>H25+H21+H28+H30+H19+H23</f>
        <v>388381.19999999995</v>
      </c>
      <c r="I18" s="242">
        <f>I25+I21+I28+I30+I19+I23</f>
        <v>343717.4</v>
      </c>
    </row>
    <row r="19" spans="1:9" ht="36" x14ac:dyDescent="0.35">
      <c r="A19" s="403"/>
      <c r="B19" s="414" t="s">
        <v>437</v>
      </c>
      <c r="C19" s="227" t="s">
        <v>34</v>
      </c>
      <c r="D19" s="228" t="s">
        <v>40</v>
      </c>
      <c r="E19" s="228" t="s">
        <v>32</v>
      </c>
      <c r="F19" s="229" t="s">
        <v>86</v>
      </c>
      <c r="G19" s="41"/>
      <c r="H19" s="242">
        <f>H20</f>
        <v>88673.2</v>
      </c>
      <c r="I19" s="242">
        <f>I20</f>
        <v>97540.6</v>
      </c>
    </row>
    <row r="20" spans="1:9" ht="42" customHeight="1" x14ac:dyDescent="0.35">
      <c r="A20" s="403"/>
      <c r="B20" s="414" t="s">
        <v>71</v>
      </c>
      <c r="C20" s="227" t="s">
        <v>34</v>
      </c>
      <c r="D20" s="228" t="s">
        <v>40</v>
      </c>
      <c r="E20" s="228" t="s">
        <v>32</v>
      </c>
      <c r="F20" s="229" t="s">
        <v>86</v>
      </c>
      <c r="G20" s="41" t="s">
        <v>72</v>
      </c>
      <c r="H20" s="242">
        <f>'прил10 (ведом 23-24)'!M291</f>
        <v>88673.2</v>
      </c>
      <c r="I20" s="242">
        <f>'прил10 (ведом 23-24)'!N291</f>
        <v>97540.6</v>
      </c>
    </row>
    <row r="21" spans="1:9" ht="42" customHeight="1" x14ac:dyDescent="0.35">
      <c r="A21" s="403"/>
      <c r="B21" s="240" t="s">
        <v>202</v>
      </c>
      <c r="C21" s="227" t="s">
        <v>34</v>
      </c>
      <c r="D21" s="228" t="s">
        <v>40</v>
      </c>
      <c r="E21" s="228" t="s">
        <v>32</v>
      </c>
      <c r="F21" s="229" t="s">
        <v>261</v>
      </c>
      <c r="G21" s="41"/>
      <c r="H21" s="242">
        <f>H22</f>
        <v>25889.5</v>
      </c>
      <c r="I21" s="242">
        <f>I22</f>
        <v>25889.5</v>
      </c>
    </row>
    <row r="22" spans="1:9" ht="42" customHeight="1" x14ac:dyDescent="0.35">
      <c r="A22" s="403"/>
      <c r="B22" s="240" t="s">
        <v>71</v>
      </c>
      <c r="C22" s="227" t="s">
        <v>34</v>
      </c>
      <c r="D22" s="228" t="s">
        <v>40</v>
      </c>
      <c r="E22" s="228" t="s">
        <v>32</v>
      </c>
      <c r="F22" s="229" t="s">
        <v>261</v>
      </c>
      <c r="G22" s="41" t="s">
        <v>72</v>
      </c>
      <c r="H22" s="242">
        <f>'прил10 (ведом 23-24)'!M293</f>
        <v>25889.5</v>
      </c>
      <c r="I22" s="242">
        <f>'прил10 (ведом 23-24)'!N293</f>
        <v>25889.5</v>
      </c>
    </row>
    <row r="23" spans="1:9" ht="42" customHeight="1" x14ac:dyDescent="0.35">
      <c r="A23" s="403"/>
      <c r="B23" s="240" t="s">
        <v>203</v>
      </c>
      <c r="C23" s="415" t="s">
        <v>34</v>
      </c>
      <c r="D23" s="416" t="s">
        <v>40</v>
      </c>
      <c r="E23" s="416" t="s">
        <v>32</v>
      </c>
      <c r="F23" s="417" t="s">
        <v>262</v>
      </c>
      <c r="G23" s="418"/>
      <c r="H23" s="242">
        <f>H24</f>
        <v>53548.399999999994</v>
      </c>
      <c r="I23" s="242">
        <f>I24</f>
        <v>0</v>
      </c>
    </row>
    <row r="24" spans="1:9" ht="42" customHeight="1" x14ac:dyDescent="0.35">
      <c r="A24" s="403"/>
      <c r="B24" s="419" t="s">
        <v>198</v>
      </c>
      <c r="C24" s="415" t="s">
        <v>34</v>
      </c>
      <c r="D24" s="416" t="s">
        <v>40</v>
      </c>
      <c r="E24" s="416" t="s">
        <v>32</v>
      </c>
      <c r="F24" s="417" t="s">
        <v>262</v>
      </c>
      <c r="G24" s="418" t="s">
        <v>199</v>
      </c>
      <c r="H24" s="242">
        <f>'прил10 (ведом 23-24)'!M247</f>
        <v>53548.399999999994</v>
      </c>
      <c r="I24" s="242">
        <f>'прил10 (ведом 23-24)'!N247</f>
        <v>0</v>
      </c>
    </row>
    <row r="25" spans="1:9" ht="117.75" customHeight="1" x14ac:dyDescent="0.35">
      <c r="A25" s="403"/>
      <c r="B25" s="414" t="s">
        <v>271</v>
      </c>
      <c r="C25" s="227" t="s">
        <v>34</v>
      </c>
      <c r="D25" s="228" t="s">
        <v>40</v>
      </c>
      <c r="E25" s="228" t="s">
        <v>32</v>
      </c>
      <c r="F25" s="229" t="s">
        <v>272</v>
      </c>
      <c r="G25" s="41"/>
      <c r="H25" s="242">
        <f>SUM(H26:H27)</f>
        <v>5452.5</v>
      </c>
      <c r="I25" s="242">
        <f>SUM(I26:I27)</f>
        <v>5452.5</v>
      </c>
    </row>
    <row r="26" spans="1:9" ht="36" x14ac:dyDescent="0.35">
      <c r="A26" s="403"/>
      <c r="B26" s="414" t="s">
        <v>50</v>
      </c>
      <c r="C26" s="227" t="s">
        <v>34</v>
      </c>
      <c r="D26" s="228" t="s">
        <v>40</v>
      </c>
      <c r="E26" s="228" t="s">
        <v>32</v>
      </c>
      <c r="F26" s="229" t="s">
        <v>272</v>
      </c>
      <c r="G26" s="41" t="s">
        <v>51</v>
      </c>
      <c r="H26" s="242">
        <f>'прил10 (ведом 23-24)'!M403</f>
        <v>80.5</v>
      </c>
      <c r="I26" s="242">
        <f>'прил10 (ведом 23-24)'!N403</f>
        <v>80.5</v>
      </c>
    </row>
    <row r="27" spans="1:9" ht="24" customHeight="1" x14ac:dyDescent="0.35">
      <c r="A27" s="403"/>
      <c r="B27" s="420" t="s">
        <v>115</v>
      </c>
      <c r="C27" s="227" t="s">
        <v>34</v>
      </c>
      <c r="D27" s="228" t="s">
        <v>40</v>
      </c>
      <c r="E27" s="228" t="s">
        <v>32</v>
      </c>
      <c r="F27" s="229" t="s">
        <v>272</v>
      </c>
      <c r="G27" s="41" t="s">
        <v>116</v>
      </c>
      <c r="H27" s="242">
        <f>'прил10 (ведом 23-24)'!M404</f>
        <v>5372</v>
      </c>
      <c r="I27" s="242">
        <f>'прил10 (ведом 23-24)'!N404</f>
        <v>5372</v>
      </c>
    </row>
    <row r="28" spans="1:9" ht="162" x14ac:dyDescent="0.35">
      <c r="A28" s="403"/>
      <c r="B28" s="414" t="s">
        <v>256</v>
      </c>
      <c r="C28" s="227" t="s">
        <v>34</v>
      </c>
      <c r="D28" s="228" t="s">
        <v>40</v>
      </c>
      <c r="E28" s="228" t="s">
        <v>32</v>
      </c>
      <c r="F28" s="229" t="s">
        <v>257</v>
      </c>
      <c r="G28" s="41"/>
      <c r="H28" s="242">
        <f>H29</f>
        <v>571.29999999999995</v>
      </c>
      <c r="I28" s="242">
        <f>I29</f>
        <v>588.5</v>
      </c>
    </row>
    <row r="29" spans="1:9" ht="42.75" customHeight="1" x14ac:dyDescent="0.35">
      <c r="A29" s="403"/>
      <c r="B29" s="414" t="s">
        <v>71</v>
      </c>
      <c r="C29" s="227" t="s">
        <v>34</v>
      </c>
      <c r="D29" s="228" t="s">
        <v>40</v>
      </c>
      <c r="E29" s="228" t="s">
        <v>32</v>
      </c>
      <c r="F29" s="229" t="s">
        <v>257</v>
      </c>
      <c r="G29" s="41" t="s">
        <v>72</v>
      </c>
      <c r="H29" s="242">
        <f>'прил10 (ведом 23-24)'!M295</f>
        <v>571.29999999999995</v>
      </c>
      <c r="I29" s="242">
        <f>'прил10 (ведом 23-24)'!N295</f>
        <v>588.5</v>
      </c>
    </row>
    <row r="30" spans="1:9" ht="97.5" customHeight="1" x14ac:dyDescent="0.35">
      <c r="A30" s="403"/>
      <c r="B30" s="414" t="s">
        <v>334</v>
      </c>
      <c r="C30" s="227" t="s">
        <v>34</v>
      </c>
      <c r="D30" s="228" t="s">
        <v>40</v>
      </c>
      <c r="E30" s="228" t="s">
        <v>32</v>
      </c>
      <c r="F30" s="229" t="s">
        <v>258</v>
      </c>
      <c r="G30" s="41"/>
      <c r="H30" s="242">
        <f>H31</f>
        <v>214246.3</v>
      </c>
      <c r="I30" s="242">
        <f>I31</f>
        <v>214246.3</v>
      </c>
    </row>
    <row r="31" spans="1:9" ht="42.75" customHeight="1" x14ac:dyDescent="0.35">
      <c r="A31" s="403"/>
      <c r="B31" s="420" t="s">
        <v>71</v>
      </c>
      <c r="C31" s="227" t="s">
        <v>34</v>
      </c>
      <c r="D31" s="228" t="s">
        <v>40</v>
      </c>
      <c r="E31" s="228" t="s">
        <v>32</v>
      </c>
      <c r="F31" s="229" t="s">
        <v>258</v>
      </c>
      <c r="G31" s="41" t="s">
        <v>72</v>
      </c>
      <c r="H31" s="242">
        <f>'прил10 (ведом 23-24)'!M297</f>
        <v>214246.3</v>
      </c>
      <c r="I31" s="242">
        <f>'прил10 (ведом 23-24)'!N297</f>
        <v>214246.3</v>
      </c>
    </row>
    <row r="32" spans="1:9" ht="18" x14ac:dyDescent="0.35">
      <c r="A32" s="403"/>
      <c r="B32" s="414" t="s">
        <v>260</v>
      </c>
      <c r="C32" s="227" t="s">
        <v>34</v>
      </c>
      <c r="D32" s="228" t="s">
        <v>40</v>
      </c>
      <c r="E32" s="228" t="s">
        <v>34</v>
      </c>
      <c r="F32" s="229" t="s">
        <v>39</v>
      </c>
      <c r="G32" s="41"/>
      <c r="H32" s="242">
        <f>H48+H52+H56+H33+H41+H62+H45+H38+H59+H67</f>
        <v>620193.60000000009</v>
      </c>
      <c r="I32" s="242">
        <f>I48+I52+I56+I33+I41+I62+I45+I38+I59+I67+I65</f>
        <v>612261.99999999988</v>
      </c>
    </row>
    <row r="33" spans="1:9" ht="36" x14ac:dyDescent="0.35">
      <c r="A33" s="403"/>
      <c r="B33" s="414" t="s">
        <v>437</v>
      </c>
      <c r="C33" s="227" t="s">
        <v>34</v>
      </c>
      <c r="D33" s="228" t="s">
        <v>40</v>
      </c>
      <c r="E33" s="228" t="s">
        <v>34</v>
      </c>
      <c r="F33" s="229" t="s">
        <v>86</v>
      </c>
      <c r="G33" s="41"/>
      <c r="H33" s="242">
        <f>SUM(H34:H37)</f>
        <v>63512.2</v>
      </c>
      <c r="I33" s="242">
        <f>SUM(I34:I37)</f>
        <v>69863.400000000009</v>
      </c>
    </row>
    <row r="34" spans="1:9" ht="90" x14ac:dyDescent="0.35">
      <c r="A34" s="403"/>
      <c r="B34" s="240" t="s">
        <v>44</v>
      </c>
      <c r="C34" s="227" t="s">
        <v>34</v>
      </c>
      <c r="D34" s="228" t="s">
        <v>40</v>
      </c>
      <c r="E34" s="228" t="s">
        <v>34</v>
      </c>
      <c r="F34" s="229" t="s">
        <v>86</v>
      </c>
      <c r="G34" s="41" t="s">
        <v>45</v>
      </c>
      <c r="H34" s="242">
        <f>'прил10 (ведом 23-24)'!M313</f>
        <v>319.10000000000002</v>
      </c>
      <c r="I34" s="242">
        <f>'прил10 (ведом 23-24)'!N313</f>
        <v>319.10000000000002</v>
      </c>
    </row>
    <row r="35" spans="1:9" ht="36" x14ac:dyDescent="0.35">
      <c r="A35" s="403"/>
      <c r="B35" s="240" t="s">
        <v>50</v>
      </c>
      <c r="C35" s="227" t="s">
        <v>34</v>
      </c>
      <c r="D35" s="228" t="s">
        <v>40</v>
      </c>
      <c r="E35" s="228" t="s">
        <v>34</v>
      </c>
      <c r="F35" s="229" t="s">
        <v>86</v>
      </c>
      <c r="G35" s="41" t="s">
        <v>51</v>
      </c>
      <c r="H35" s="242">
        <f>'прил10 (ведом 23-24)'!M314</f>
        <v>4475.6000000000004</v>
      </c>
      <c r="I35" s="242">
        <f>'прил10 (ведом 23-24)'!N314</f>
        <v>5635.2</v>
      </c>
    </row>
    <row r="36" spans="1:9" ht="43.5" customHeight="1" x14ac:dyDescent="0.35">
      <c r="A36" s="403"/>
      <c r="B36" s="414" t="s">
        <v>71</v>
      </c>
      <c r="C36" s="227" t="s">
        <v>34</v>
      </c>
      <c r="D36" s="228" t="s">
        <v>40</v>
      </c>
      <c r="E36" s="228" t="s">
        <v>34</v>
      </c>
      <c r="F36" s="229" t="s">
        <v>86</v>
      </c>
      <c r="G36" s="41" t="s">
        <v>72</v>
      </c>
      <c r="H36" s="242">
        <f>'прил10 (ведом 23-24)'!M315</f>
        <v>58156.5</v>
      </c>
      <c r="I36" s="242">
        <f>'прил10 (ведом 23-24)'!N315</f>
        <v>63353.5</v>
      </c>
    </row>
    <row r="37" spans="1:9" ht="18" x14ac:dyDescent="0.35">
      <c r="A37" s="403"/>
      <c r="B37" s="414" t="s">
        <v>52</v>
      </c>
      <c r="C37" s="227" t="s">
        <v>34</v>
      </c>
      <c r="D37" s="228" t="s">
        <v>40</v>
      </c>
      <c r="E37" s="228" t="s">
        <v>34</v>
      </c>
      <c r="F37" s="229" t="s">
        <v>86</v>
      </c>
      <c r="G37" s="41" t="s">
        <v>53</v>
      </c>
      <c r="H37" s="242">
        <f>'прил10 (ведом 23-24)'!M316</f>
        <v>561</v>
      </c>
      <c r="I37" s="242">
        <f>'прил10 (ведом 23-24)'!N316</f>
        <v>555.6</v>
      </c>
    </row>
    <row r="38" spans="1:9" ht="36" x14ac:dyDescent="0.35">
      <c r="A38" s="403"/>
      <c r="B38" s="240" t="s">
        <v>202</v>
      </c>
      <c r="C38" s="227" t="s">
        <v>34</v>
      </c>
      <c r="D38" s="228" t="s">
        <v>40</v>
      </c>
      <c r="E38" s="228" t="s">
        <v>34</v>
      </c>
      <c r="F38" s="229" t="s">
        <v>261</v>
      </c>
      <c r="G38" s="41"/>
      <c r="H38" s="242">
        <f>H39+H40</f>
        <v>19606.299999999996</v>
      </c>
      <c r="I38" s="242">
        <f>I39+I40</f>
        <v>20406</v>
      </c>
    </row>
    <row r="39" spans="1:9" ht="36" x14ac:dyDescent="0.35">
      <c r="A39" s="403"/>
      <c r="B39" s="240" t="s">
        <v>50</v>
      </c>
      <c r="C39" s="227" t="s">
        <v>34</v>
      </c>
      <c r="D39" s="228" t="s">
        <v>40</v>
      </c>
      <c r="E39" s="228" t="s">
        <v>34</v>
      </c>
      <c r="F39" s="229" t="s">
        <v>261</v>
      </c>
      <c r="G39" s="41" t="s">
        <v>51</v>
      </c>
      <c r="H39" s="242">
        <f>'прил10 (ведом 23-24)'!M318</f>
        <v>0</v>
      </c>
      <c r="I39" s="242">
        <f>'прил10 (ведом 23-24)'!N318</f>
        <v>3854.4</v>
      </c>
    </row>
    <row r="40" spans="1:9" ht="36" x14ac:dyDescent="0.35">
      <c r="A40" s="403"/>
      <c r="B40" s="240" t="s">
        <v>71</v>
      </c>
      <c r="C40" s="227" t="s">
        <v>34</v>
      </c>
      <c r="D40" s="228" t="s">
        <v>40</v>
      </c>
      <c r="E40" s="228" t="s">
        <v>34</v>
      </c>
      <c r="F40" s="229" t="s">
        <v>261</v>
      </c>
      <c r="G40" s="41" t="s">
        <v>72</v>
      </c>
      <c r="H40" s="242">
        <f>'прил10 (ведом 23-24)'!M319</f>
        <v>19606.299999999996</v>
      </c>
      <c r="I40" s="242">
        <f>'прил10 (ведом 23-24)'!N319</f>
        <v>16551.599999999999</v>
      </c>
    </row>
    <row r="41" spans="1:9" ht="36" x14ac:dyDescent="0.35">
      <c r="A41" s="403"/>
      <c r="B41" s="240" t="s">
        <v>203</v>
      </c>
      <c r="C41" s="227" t="s">
        <v>34</v>
      </c>
      <c r="D41" s="228" t="s">
        <v>40</v>
      </c>
      <c r="E41" s="228" t="s">
        <v>34</v>
      </c>
      <c r="F41" s="229" t="s">
        <v>262</v>
      </c>
      <c r="G41" s="41"/>
      <c r="H41" s="242">
        <f>H42+H44+H43</f>
        <v>26825.699999999997</v>
      </c>
      <c r="I41" s="242">
        <f>I42+I44+I43</f>
        <v>4618.1000000000004</v>
      </c>
    </row>
    <row r="42" spans="1:9" ht="36" x14ac:dyDescent="0.35">
      <c r="A42" s="403"/>
      <c r="B42" s="240" t="s">
        <v>50</v>
      </c>
      <c r="C42" s="227" t="s">
        <v>34</v>
      </c>
      <c r="D42" s="228" t="s">
        <v>40</v>
      </c>
      <c r="E42" s="228" t="s">
        <v>34</v>
      </c>
      <c r="F42" s="229" t="s">
        <v>262</v>
      </c>
      <c r="G42" s="41" t="s">
        <v>51</v>
      </c>
      <c r="H42" s="242">
        <f>'прил10 (ведом 23-24)'!M321</f>
        <v>142</v>
      </c>
      <c r="I42" s="242">
        <f>'прил10 (ведом 23-24)'!N321</f>
        <v>142</v>
      </c>
    </row>
    <row r="43" spans="1:9" ht="36" x14ac:dyDescent="0.35">
      <c r="A43" s="403"/>
      <c r="B43" s="419" t="s">
        <v>198</v>
      </c>
      <c r="C43" s="227" t="s">
        <v>34</v>
      </c>
      <c r="D43" s="228" t="s">
        <v>40</v>
      </c>
      <c r="E43" s="228" t="s">
        <v>34</v>
      </c>
      <c r="F43" s="229" t="s">
        <v>262</v>
      </c>
      <c r="G43" s="41" t="s">
        <v>199</v>
      </c>
      <c r="H43" s="242">
        <f>'прил10 (ведом 23-24)'!M253</f>
        <v>22207.599999999999</v>
      </c>
      <c r="I43" s="242">
        <f>'прил10 (ведом 23-24)'!N253</f>
        <v>0</v>
      </c>
    </row>
    <row r="44" spans="1:9" ht="37.5" customHeight="1" x14ac:dyDescent="0.35">
      <c r="A44" s="403"/>
      <c r="B44" s="240" t="s">
        <v>71</v>
      </c>
      <c r="C44" s="227" t="s">
        <v>34</v>
      </c>
      <c r="D44" s="228" t="s">
        <v>40</v>
      </c>
      <c r="E44" s="228" t="s">
        <v>34</v>
      </c>
      <c r="F44" s="229" t="s">
        <v>262</v>
      </c>
      <c r="G44" s="41" t="s">
        <v>72</v>
      </c>
      <c r="H44" s="242">
        <f>'прил10 (ведом 23-24)'!M322</f>
        <v>4476.1000000000004</v>
      </c>
      <c r="I44" s="242">
        <f>'прил10 (ведом 23-24)'!N322</f>
        <v>4476.1000000000004</v>
      </c>
    </row>
    <row r="45" spans="1:9" ht="144" x14ac:dyDescent="0.35">
      <c r="A45" s="403"/>
      <c r="B45" s="240" t="s">
        <v>511</v>
      </c>
      <c r="C45" s="227" t="s">
        <v>34</v>
      </c>
      <c r="D45" s="228" t="s">
        <v>40</v>
      </c>
      <c r="E45" s="228" t="s">
        <v>34</v>
      </c>
      <c r="F45" s="229" t="s">
        <v>510</v>
      </c>
      <c r="G45" s="41"/>
      <c r="H45" s="242">
        <f>H46+H47</f>
        <v>33409.299999999996</v>
      </c>
      <c r="I45" s="242">
        <f>I46+I47</f>
        <v>35284.199999999997</v>
      </c>
    </row>
    <row r="46" spans="1:9" ht="90.75" customHeight="1" x14ac:dyDescent="0.35">
      <c r="A46" s="403"/>
      <c r="B46" s="240" t="s">
        <v>44</v>
      </c>
      <c r="C46" s="227" t="s">
        <v>34</v>
      </c>
      <c r="D46" s="228" t="s">
        <v>40</v>
      </c>
      <c r="E46" s="228" t="s">
        <v>34</v>
      </c>
      <c r="F46" s="229" t="s">
        <v>510</v>
      </c>
      <c r="G46" s="41" t="s">
        <v>45</v>
      </c>
      <c r="H46" s="242">
        <f>'прил10 (ведом 23-24)'!M324</f>
        <v>2734.2</v>
      </c>
      <c r="I46" s="242">
        <f>'прил10 (ведом 23-24)'!N324</f>
        <v>2812.4</v>
      </c>
    </row>
    <row r="47" spans="1:9" ht="36" customHeight="1" x14ac:dyDescent="0.35">
      <c r="A47" s="403"/>
      <c r="B47" s="240" t="s">
        <v>71</v>
      </c>
      <c r="C47" s="227" t="s">
        <v>34</v>
      </c>
      <c r="D47" s="228" t="s">
        <v>40</v>
      </c>
      <c r="E47" s="228" t="s">
        <v>34</v>
      </c>
      <c r="F47" s="229" t="s">
        <v>510</v>
      </c>
      <c r="G47" s="41" t="s">
        <v>72</v>
      </c>
      <c r="H47" s="242">
        <f>'прил10 (ведом 23-24)'!M325</f>
        <v>30675.1</v>
      </c>
      <c r="I47" s="242">
        <f>'прил10 (ведом 23-24)'!N325</f>
        <v>32471.8</v>
      </c>
    </row>
    <row r="48" spans="1:9" ht="162" x14ac:dyDescent="0.35">
      <c r="A48" s="403"/>
      <c r="B48" s="414" t="s">
        <v>256</v>
      </c>
      <c r="C48" s="227" t="s">
        <v>34</v>
      </c>
      <c r="D48" s="228" t="s">
        <v>40</v>
      </c>
      <c r="E48" s="228" t="s">
        <v>34</v>
      </c>
      <c r="F48" s="229" t="s">
        <v>257</v>
      </c>
      <c r="G48" s="41"/>
      <c r="H48" s="242">
        <f>SUM(H49:H51)</f>
        <v>1659.2</v>
      </c>
      <c r="I48" s="242">
        <f>SUM(I49:I51)</f>
        <v>1709</v>
      </c>
    </row>
    <row r="49" spans="1:9" ht="90" x14ac:dyDescent="0.35">
      <c r="A49" s="403"/>
      <c r="B49" s="240" t="s">
        <v>44</v>
      </c>
      <c r="C49" s="227" t="s">
        <v>34</v>
      </c>
      <c r="D49" s="228" t="s">
        <v>40</v>
      </c>
      <c r="E49" s="228" t="s">
        <v>34</v>
      </c>
      <c r="F49" s="229" t="s">
        <v>257</v>
      </c>
      <c r="G49" s="41" t="s">
        <v>45</v>
      </c>
      <c r="H49" s="242">
        <f>'прил10 (ведом 23-24)'!M327</f>
        <v>99.7</v>
      </c>
      <c r="I49" s="242">
        <f>'прил10 (ведом 23-24)'!N327</f>
        <v>99.7</v>
      </c>
    </row>
    <row r="50" spans="1:9" ht="26.25" customHeight="1" x14ac:dyDescent="0.35">
      <c r="A50" s="403"/>
      <c r="B50" s="240" t="s">
        <v>115</v>
      </c>
      <c r="C50" s="227" t="s">
        <v>34</v>
      </c>
      <c r="D50" s="228" t="s">
        <v>40</v>
      </c>
      <c r="E50" s="228" t="s">
        <v>34</v>
      </c>
      <c r="F50" s="229" t="s">
        <v>257</v>
      </c>
      <c r="G50" s="41" t="s">
        <v>116</v>
      </c>
      <c r="H50" s="242">
        <f>'прил10 (ведом 23-24)'!M328</f>
        <v>6.6</v>
      </c>
      <c r="I50" s="242">
        <f>'прил10 (ведом 23-24)'!N328</f>
        <v>6.6</v>
      </c>
    </row>
    <row r="51" spans="1:9" ht="39" customHeight="1" x14ac:dyDescent="0.35">
      <c r="A51" s="403"/>
      <c r="B51" s="414" t="s">
        <v>71</v>
      </c>
      <c r="C51" s="227" t="s">
        <v>34</v>
      </c>
      <c r="D51" s="228" t="s">
        <v>40</v>
      </c>
      <c r="E51" s="228" t="s">
        <v>34</v>
      </c>
      <c r="F51" s="229" t="s">
        <v>257</v>
      </c>
      <c r="G51" s="41" t="s">
        <v>72</v>
      </c>
      <c r="H51" s="242">
        <f>'прил10 (ведом 23-24)'!M329</f>
        <v>1552.9</v>
      </c>
      <c r="I51" s="242">
        <f>'прил10 (ведом 23-24)'!N329</f>
        <v>1602.7</v>
      </c>
    </row>
    <row r="52" spans="1:9" ht="93" customHeight="1" x14ac:dyDescent="0.35">
      <c r="A52" s="403"/>
      <c r="B52" s="414" t="s">
        <v>334</v>
      </c>
      <c r="C52" s="227" t="s">
        <v>34</v>
      </c>
      <c r="D52" s="228" t="s">
        <v>40</v>
      </c>
      <c r="E52" s="228" t="s">
        <v>34</v>
      </c>
      <c r="F52" s="229" t="s">
        <v>258</v>
      </c>
      <c r="G52" s="41"/>
      <c r="H52" s="242">
        <f>SUM(H53:H55)</f>
        <v>402579.3</v>
      </c>
      <c r="I52" s="242">
        <f>SUM(I53:I55)</f>
        <v>402579.3</v>
      </c>
    </row>
    <row r="53" spans="1:9" ht="90" x14ac:dyDescent="0.35">
      <c r="A53" s="403"/>
      <c r="B53" s="414" t="s">
        <v>44</v>
      </c>
      <c r="C53" s="227" t="s">
        <v>34</v>
      </c>
      <c r="D53" s="228" t="s">
        <v>40</v>
      </c>
      <c r="E53" s="228" t="s">
        <v>34</v>
      </c>
      <c r="F53" s="229" t="s">
        <v>258</v>
      </c>
      <c r="G53" s="41" t="s">
        <v>45</v>
      </c>
      <c r="H53" s="242">
        <f>'прил10 (ведом 23-24)'!M331</f>
        <v>26623.599999999999</v>
      </c>
      <c r="I53" s="242">
        <f>'прил10 (ведом 23-24)'!N331</f>
        <v>26623.599999999999</v>
      </c>
    </row>
    <row r="54" spans="1:9" ht="36" x14ac:dyDescent="0.35">
      <c r="A54" s="403"/>
      <c r="B54" s="414" t="s">
        <v>50</v>
      </c>
      <c r="C54" s="227" t="s">
        <v>34</v>
      </c>
      <c r="D54" s="228" t="s">
        <v>40</v>
      </c>
      <c r="E54" s="228" t="s">
        <v>34</v>
      </c>
      <c r="F54" s="229" t="s">
        <v>258</v>
      </c>
      <c r="G54" s="41" t="s">
        <v>51</v>
      </c>
      <c r="H54" s="242">
        <f>'прил10 (ведом 23-24)'!M332</f>
        <v>3027.7</v>
      </c>
      <c r="I54" s="242">
        <f>'прил10 (ведом 23-24)'!N332</f>
        <v>3027.7</v>
      </c>
    </row>
    <row r="55" spans="1:9" ht="43.5" customHeight="1" x14ac:dyDescent="0.35">
      <c r="A55" s="403"/>
      <c r="B55" s="414" t="s">
        <v>71</v>
      </c>
      <c r="C55" s="227" t="s">
        <v>34</v>
      </c>
      <c r="D55" s="228" t="s">
        <v>40</v>
      </c>
      <c r="E55" s="228" t="s">
        <v>34</v>
      </c>
      <c r="F55" s="229" t="s">
        <v>258</v>
      </c>
      <c r="G55" s="41" t="s">
        <v>72</v>
      </c>
      <c r="H55" s="242">
        <f>'прил10 (ведом 23-24)'!M333</f>
        <v>372928</v>
      </c>
      <c r="I55" s="242">
        <f>'прил10 (ведом 23-24)'!N333</f>
        <v>372928</v>
      </c>
    </row>
    <row r="56" spans="1:9" ht="78" customHeight="1" x14ac:dyDescent="0.35">
      <c r="A56" s="403"/>
      <c r="B56" s="414" t="s">
        <v>204</v>
      </c>
      <c r="C56" s="599" t="s">
        <v>34</v>
      </c>
      <c r="D56" s="599" t="s">
        <v>40</v>
      </c>
      <c r="E56" s="599" t="s">
        <v>34</v>
      </c>
      <c r="F56" s="600" t="s">
        <v>263</v>
      </c>
      <c r="G56" s="264"/>
      <c r="H56" s="242">
        <f>SUM(H57:H58)</f>
        <v>2380.9</v>
      </c>
      <c r="I56" s="242">
        <f>SUM(I57:I58)</f>
        <v>2550.2999999999997</v>
      </c>
    </row>
    <row r="57" spans="1:9" ht="36" x14ac:dyDescent="0.35">
      <c r="A57" s="403"/>
      <c r="B57" s="240" t="s">
        <v>50</v>
      </c>
      <c r="C57" s="227" t="s">
        <v>34</v>
      </c>
      <c r="D57" s="228" t="s">
        <v>40</v>
      </c>
      <c r="E57" s="228" t="s">
        <v>34</v>
      </c>
      <c r="F57" s="229" t="s">
        <v>263</v>
      </c>
      <c r="G57" s="41" t="s">
        <v>51</v>
      </c>
      <c r="H57" s="242">
        <f>'прил10 (ведом 23-24)'!M335</f>
        <v>102.8</v>
      </c>
      <c r="I57" s="242">
        <f>'прил10 (ведом 23-24)'!N335</f>
        <v>111.2</v>
      </c>
    </row>
    <row r="58" spans="1:9" ht="45.75" customHeight="1" x14ac:dyDescent="0.35">
      <c r="A58" s="403"/>
      <c r="B58" s="414" t="s">
        <v>71</v>
      </c>
      <c r="C58" s="599" t="s">
        <v>34</v>
      </c>
      <c r="D58" s="599" t="s">
        <v>40</v>
      </c>
      <c r="E58" s="599" t="s">
        <v>34</v>
      </c>
      <c r="F58" s="600" t="s">
        <v>263</v>
      </c>
      <c r="G58" s="264" t="s">
        <v>72</v>
      </c>
      <c r="H58" s="242">
        <f>'прил10 (ведом 23-24)'!M336</f>
        <v>2278.1</v>
      </c>
      <c r="I58" s="242">
        <f>'прил10 (ведом 23-24)'!N336</f>
        <v>2439.1</v>
      </c>
    </row>
    <row r="59" spans="1:9" ht="143.4" customHeight="1" x14ac:dyDescent="0.35">
      <c r="A59" s="403"/>
      <c r="B59" s="30" t="s">
        <v>541</v>
      </c>
      <c r="C59" s="601" t="s">
        <v>34</v>
      </c>
      <c r="D59" s="602" t="s">
        <v>40</v>
      </c>
      <c r="E59" s="602" t="s">
        <v>34</v>
      </c>
      <c r="F59" s="603" t="s">
        <v>540</v>
      </c>
      <c r="G59" s="16"/>
      <c r="H59" s="242">
        <f>H60+H61</f>
        <v>1196.0999999999999</v>
      </c>
      <c r="I59" s="242">
        <f>I60+I61</f>
        <v>1196.0999999999999</v>
      </c>
    </row>
    <row r="60" spans="1:9" ht="45.75" customHeight="1" x14ac:dyDescent="0.35">
      <c r="A60" s="403"/>
      <c r="B60" s="30" t="s">
        <v>50</v>
      </c>
      <c r="C60" s="601" t="s">
        <v>34</v>
      </c>
      <c r="D60" s="602" t="s">
        <v>40</v>
      </c>
      <c r="E60" s="602" t="s">
        <v>34</v>
      </c>
      <c r="F60" s="603" t="s">
        <v>540</v>
      </c>
      <c r="G60" s="16" t="s">
        <v>51</v>
      </c>
      <c r="H60" s="242">
        <f>'прил10 (ведом 23-24)'!M338</f>
        <v>15</v>
      </c>
      <c r="I60" s="242">
        <f>'прил10 (ведом 23-24)'!N338</f>
        <v>15</v>
      </c>
    </row>
    <row r="61" spans="1:9" ht="45.75" customHeight="1" x14ac:dyDescent="0.35">
      <c r="A61" s="403"/>
      <c r="B61" s="30" t="s">
        <v>71</v>
      </c>
      <c r="C61" s="601" t="s">
        <v>34</v>
      </c>
      <c r="D61" s="602" t="s">
        <v>40</v>
      </c>
      <c r="E61" s="602" t="s">
        <v>34</v>
      </c>
      <c r="F61" s="603" t="s">
        <v>540</v>
      </c>
      <c r="G61" s="16" t="s">
        <v>72</v>
      </c>
      <c r="H61" s="242">
        <f>'прил10 (ведом 23-24)'!M339</f>
        <v>1181.0999999999999</v>
      </c>
      <c r="I61" s="242">
        <f>'прил10 (ведом 23-24)'!N339</f>
        <v>1181.0999999999999</v>
      </c>
    </row>
    <row r="62" spans="1:9" ht="72.75" customHeight="1" x14ac:dyDescent="0.35">
      <c r="A62" s="403"/>
      <c r="B62" s="240" t="s">
        <v>431</v>
      </c>
      <c r="C62" s="227" t="s">
        <v>34</v>
      </c>
      <c r="D62" s="228" t="s">
        <v>40</v>
      </c>
      <c r="E62" s="228" t="s">
        <v>34</v>
      </c>
      <c r="F62" s="229" t="s">
        <v>430</v>
      </c>
      <c r="G62" s="41"/>
      <c r="H62" s="242">
        <f>H63+H64</f>
        <v>56500.700000000004</v>
      </c>
      <c r="I62" s="242">
        <f>I63+I64</f>
        <v>57707.200000000004</v>
      </c>
    </row>
    <row r="63" spans="1:9" ht="33.75" customHeight="1" x14ac:dyDescent="0.35">
      <c r="A63" s="403"/>
      <c r="B63" s="240" t="s">
        <v>50</v>
      </c>
      <c r="C63" s="227" t="s">
        <v>34</v>
      </c>
      <c r="D63" s="228" t="s">
        <v>40</v>
      </c>
      <c r="E63" s="228" t="s">
        <v>34</v>
      </c>
      <c r="F63" s="229" t="s">
        <v>430</v>
      </c>
      <c r="G63" s="41" t="s">
        <v>51</v>
      </c>
      <c r="H63" s="242">
        <f>'прил10 (ведом 23-24)'!M341</f>
        <v>1755.4</v>
      </c>
      <c r="I63" s="242">
        <f>'прил10 (ведом 23-24)'!N341</f>
        <v>1801.9</v>
      </c>
    </row>
    <row r="64" spans="1:9" ht="35.25" customHeight="1" x14ac:dyDescent="0.35">
      <c r="A64" s="403"/>
      <c r="B64" s="240" t="s">
        <v>71</v>
      </c>
      <c r="C64" s="227" t="s">
        <v>34</v>
      </c>
      <c r="D64" s="228" t="s">
        <v>40</v>
      </c>
      <c r="E64" s="228" t="s">
        <v>34</v>
      </c>
      <c r="F64" s="229" t="s">
        <v>430</v>
      </c>
      <c r="G64" s="41" t="s">
        <v>72</v>
      </c>
      <c r="H64" s="242">
        <f>'прил10 (ведом 23-24)'!M342</f>
        <v>54745.3</v>
      </c>
      <c r="I64" s="242">
        <f>'прил10 (ведом 23-24)'!N342</f>
        <v>55905.3</v>
      </c>
    </row>
    <row r="65" spans="1:9" ht="158.4" customHeight="1" x14ac:dyDescent="0.35">
      <c r="A65" s="403"/>
      <c r="B65" s="30" t="s">
        <v>542</v>
      </c>
      <c r="C65" s="601" t="s">
        <v>34</v>
      </c>
      <c r="D65" s="602" t="s">
        <v>40</v>
      </c>
      <c r="E65" s="602" t="s">
        <v>34</v>
      </c>
      <c r="F65" s="603" t="s">
        <v>543</v>
      </c>
      <c r="G65" s="16"/>
      <c r="H65" s="242">
        <f>H66</f>
        <v>0</v>
      </c>
      <c r="I65" s="242">
        <f>I66</f>
        <v>3900.6</v>
      </c>
    </row>
    <row r="66" spans="1:9" ht="46.8" customHeight="1" x14ac:dyDescent="0.35">
      <c r="A66" s="403"/>
      <c r="B66" s="30" t="s">
        <v>71</v>
      </c>
      <c r="C66" s="601" t="s">
        <v>34</v>
      </c>
      <c r="D66" s="602" t="s">
        <v>40</v>
      </c>
      <c r="E66" s="602" t="s">
        <v>34</v>
      </c>
      <c r="F66" s="603" t="s">
        <v>543</v>
      </c>
      <c r="G66" s="16" t="s">
        <v>72</v>
      </c>
      <c r="H66" s="242">
        <f>'прил10 (ведом 23-24)'!M344</f>
        <v>0</v>
      </c>
      <c r="I66" s="242">
        <f>'прил10 (ведом 23-24)'!N344</f>
        <v>3900.6</v>
      </c>
    </row>
    <row r="67" spans="1:9" ht="77.400000000000006" customHeight="1" x14ac:dyDescent="0.35">
      <c r="A67" s="403"/>
      <c r="B67" s="30" t="s">
        <v>539</v>
      </c>
      <c r="C67" s="601" t="s">
        <v>34</v>
      </c>
      <c r="D67" s="602" t="s">
        <v>40</v>
      </c>
      <c r="E67" s="602" t="s">
        <v>34</v>
      </c>
      <c r="F67" s="603" t="s">
        <v>538</v>
      </c>
      <c r="G67" s="41"/>
      <c r="H67" s="242">
        <f>H68+H69+H70</f>
        <v>12523.9</v>
      </c>
      <c r="I67" s="242">
        <f>I68+I69+I70</f>
        <v>12447.800000000001</v>
      </c>
    </row>
    <row r="68" spans="1:9" ht="35.25" customHeight="1" x14ac:dyDescent="0.35">
      <c r="A68" s="403"/>
      <c r="B68" s="30" t="s">
        <v>50</v>
      </c>
      <c r="C68" s="601" t="s">
        <v>34</v>
      </c>
      <c r="D68" s="602" t="s">
        <v>40</v>
      </c>
      <c r="E68" s="602" t="s">
        <v>34</v>
      </c>
      <c r="F68" s="603" t="s">
        <v>538</v>
      </c>
      <c r="G68" s="16" t="s">
        <v>51</v>
      </c>
      <c r="H68" s="242">
        <f>'прил10 (ведом 23-24)'!M346</f>
        <v>80</v>
      </c>
      <c r="I68" s="242">
        <f>'прил10 (ведом 23-24)'!N346</f>
        <v>79.5</v>
      </c>
    </row>
    <row r="69" spans="1:9" ht="35.25" customHeight="1" x14ac:dyDescent="0.35">
      <c r="A69" s="403"/>
      <c r="B69" s="30" t="s">
        <v>115</v>
      </c>
      <c r="C69" s="601" t="s">
        <v>34</v>
      </c>
      <c r="D69" s="602" t="s">
        <v>40</v>
      </c>
      <c r="E69" s="602" t="s">
        <v>34</v>
      </c>
      <c r="F69" s="603" t="s">
        <v>538</v>
      </c>
      <c r="G69" s="16" t="s">
        <v>116</v>
      </c>
      <c r="H69" s="242">
        <f>'прил10 (ведом 23-24)'!M347</f>
        <v>64</v>
      </c>
      <c r="I69" s="242">
        <f>'прил10 (ведом 23-24)'!N347</f>
        <v>63.6</v>
      </c>
    </row>
    <row r="70" spans="1:9" ht="35.25" customHeight="1" x14ac:dyDescent="0.35">
      <c r="A70" s="403"/>
      <c r="B70" s="30" t="s">
        <v>71</v>
      </c>
      <c r="C70" s="601" t="s">
        <v>34</v>
      </c>
      <c r="D70" s="602" t="s">
        <v>40</v>
      </c>
      <c r="E70" s="602" t="s">
        <v>34</v>
      </c>
      <c r="F70" s="603" t="s">
        <v>538</v>
      </c>
      <c r="G70" s="16" t="s">
        <v>72</v>
      </c>
      <c r="H70" s="242">
        <f>'прил10 (ведом 23-24)'!M348</f>
        <v>12379.9</v>
      </c>
      <c r="I70" s="242">
        <f>'прил10 (ведом 23-24)'!N348</f>
        <v>12304.7</v>
      </c>
    </row>
    <row r="71" spans="1:9" ht="18" x14ac:dyDescent="0.35">
      <c r="A71" s="403"/>
      <c r="B71" s="414" t="s">
        <v>205</v>
      </c>
      <c r="C71" s="227" t="s">
        <v>34</v>
      </c>
      <c r="D71" s="228" t="s">
        <v>84</v>
      </c>
      <c r="E71" s="228" t="s">
        <v>38</v>
      </c>
      <c r="F71" s="229" t="s">
        <v>39</v>
      </c>
      <c r="G71" s="264"/>
      <c r="H71" s="242">
        <f>H72</f>
        <v>61998.399999999994</v>
      </c>
      <c r="I71" s="242">
        <f>I72</f>
        <v>67055.8</v>
      </c>
    </row>
    <row r="72" spans="1:9" ht="36" x14ac:dyDescent="0.35">
      <c r="A72" s="403"/>
      <c r="B72" s="414" t="s">
        <v>264</v>
      </c>
      <c r="C72" s="227" t="s">
        <v>34</v>
      </c>
      <c r="D72" s="228" t="s">
        <v>84</v>
      </c>
      <c r="E72" s="228" t="s">
        <v>32</v>
      </c>
      <c r="F72" s="229" t="s">
        <v>39</v>
      </c>
      <c r="G72" s="264"/>
      <c r="H72" s="242">
        <f>H73+H81+H83+H78</f>
        <v>61998.399999999994</v>
      </c>
      <c r="I72" s="242">
        <f>I73+I81+I83+I78</f>
        <v>67055.8</v>
      </c>
    </row>
    <row r="73" spans="1:9" ht="36" x14ac:dyDescent="0.35">
      <c r="A73" s="403"/>
      <c r="B73" s="414" t="s">
        <v>437</v>
      </c>
      <c r="C73" s="227" t="s">
        <v>34</v>
      </c>
      <c r="D73" s="228" t="s">
        <v>84</v>
      </c>
      <c r="E73" s="228" t="s">
        <v>32</v>
      </c>
      <c r="F73" s="229" t="s">
        <v>86</v>
      </c>
      <c r="G73" s="41"/>
      <c r="H73" s="242">
        <f>SUM(H74:H77)</f>
        <v>50541.2</v>
      </c>
      <c r="I73" s="242">
        <f>SUM(I74:I77)</f>
        <v>55595.3</v>
      </c>
    </row>
    <row r="74" spans="1:9" ht="90" x14ac:dyDescent="0.35">
      <c r="A74" s="403"/>
      <c r="B74" s="240" t="s">
        <v>44</v>
      </c>
      <c r="C74" s="227" t="s">
        <v>34</v>
      </c>
      <c r="D74" s="228" t="s">
        <v>84</v>
      </c>
      <c r="E74" s="228" t="s">
        <v>32</v>
      </c>
      <c r="F74" s="229" t="s">
        <v>86</v>
      </c>
      <c r="G74" s="41" t="s">
        <v>45</v>
      </c>
      <c r="H74" s="242">
        <f>'прил10 (ведом 23-24)'!M358</f>
        <v>20212.7</v>
      </c>
      <c r="I74" s="242">
        <f>'прил10 (ведом 23-24)'!N358</f>
        <v>20212.7</v>
      </c>
    </row>
    <row r="75" spans="1:9" ht="36" x14ac:dyDescent="0.35">
      <c r="A75" s="403"/>
      <c r="B75" s="240" t="s">
        <v>50</v>
      </c>
      <c r="C75" s="227" t="s">
        <v>34</v>
      </c>
      <c r="D75" s="228" t="s">
        <v>84</v>
      </c>
      <c r="E75" s="228" t="s">
        <v>32</v>
      </c>
      <c r="F75" s="229" t="s">
        <v>86</v>
      </c>
      <c r="G75" s="41" t="s">
        <v>51</v>
      </c>
      <c r="H75" s="242">
        <f>'прил10 (ведом 23-24)'!M359</f>
        <v>1988.9</v>
      </c>
      <c r="I75" s="242">
        <f>'прил10 (ведом 23-24)'!N359</f>
        <v>4230.6000000000004</v>
      </c>
    </row>
    <row r="76" spans="1:9" ht="46.5" customHeight="1" x14ac:dyDescent="0.35">
      <c r="A76" s="403"/>
      <c r="B76" s="414" t="s">
        <v>71</v>
      </c>
      <c r="C76" s="227" t="s">
        <v>34</v>
      </c>
      <c r="D76" s="228" t="s">
        <v>84</v>
      </c>
      <c r="E76" s="228" t="s">
        <v>32</v>
      </c>
      <c r="F76" s="229" t="s">
        <v>86</v>
      </c>
      <c r="G76" s="41" t="s">
        <v>72</v>
      </c>
      <c r="H76" s="242">
        <f>'прил10 (ведом 23-24)'!M360</f>
        <v>28226.400000000001</v>
      </c>
      <c r="I76" s="242">
        <f>'прил10 (ведом 23-24)'!N360</f>
        <v>31039</v>
      </c>
    </row>
    <row r="77" spans="1:9" ht="18" x14ac:dyDescent="0.35">
      <c r="A77" s="403"/>
      <c r="B77" s="240" t="s">
        <v>52</v>
      </c>
      <c r="C77" s="227" t="s">
        <v>34</v>
      </c>
      <c r="D77" s="228" t="s">
        <v>84</v>
      </c>
      <c r="E77" s="228" t="s">
        <v>32</v>
      </c>
      <c r="F77" s="229" t="s">
        <v>86</v>
      </c>
      <c r="G77" s="41" t="s">
        <v>53</v>
      </c>
      <c r="H77" s="242">
        <f>'прил10 (ведом 23-24)'!M361</f>
        <v>113.2</v>
      </c>
      <c r="I77" s="242">
        <f>'прил10 (ведом 23-24)'!N361</f>
        <v>113</v>
      </c>
    </row>
    <row r="78" spans="1:9" ht="36" x14ac:dyDescent="0.35">
      <c r="A78" s="403"/>
      <c r="B78" s="240" t="s">
        <v>202</v>
      </c>
      <c r="C78" s="227" t="s">
        <v>34</v>
      </c>
      <c r="D78" s="228" t="s">
        <v>84</v>
      </c>
      <c r="E78" s="228" t="s">
        <v>32</v>
      </c>
      <c r="F78" s="229" t="s">
        <v>261</v>
      </c>
      <c r="G78" s="41"/>
      <c r="H78" s="242">
        <f>H79+H80</f>
        <v>1260</v>
      </c>
      <c r="I78" s="242">
        <f>I79+I80</f>
        <v>1260</v>
      </c>
    </row>
    <row r="79" spans="1:9" ht="36" x14ac:dyDescent="0.35">
      <c r="A79" s="403"/>
      <c r="B79" s="240" t="s">
        <v>50</v>
      </c>
      <c r="C79" s="227" t="s">
        <v>34</v>
      </c>
      <c r="D79" s="228" t="s">
        <v>84</v>
      </c>
      <c r="E79" s="228" t="s">
        <v>32</v>
      </c>
      <c r="F79" s="229" t="s">
        <v>261</v>
      </c>
      <c r="G79" s="41" t="s">
        <v>51</v>
      </c>
      <c r="H79" s="242">
        <f>'прил10 (ведом 23-24)'!M363</f>
        <v>506.3</v>
      </c>
      <c r="I79" s="242">
        <f>'прил10 (ведом 23-24)'!N363</f>
        <v>506.3</v>
      </c>
    </row>
    <row r="80" spans="1:9" ht="36" x14ac:dyDescent="0.35">
      <c r="A80" s="403"/>
      <c r="B80" s="421" t="s">
        <v>71</v>
      </c>
      <c r="C80" s="227" t="s">
        <v>34</v>
      </c>
      <c r="D80" s="228" t="s">
        <v>84</v>
      </c>
      <c r="E80" s="228" t="s">
        <v>32</v>
      </c>
      <c r="F80" s="229" t="s">
        <v>261</v>
      </c>
      <c r="G80" s="41" t="s">
        <v>72</v>
      </c>
      <c r="H80" s="242">
        <f>'прил10 (ведом 23-24)'!M364</f>
        <v>753.7</v>
      </c>
      <c r="I80" s="242">
        <f>'прил10 (ведом 23-24)'!N364</f>
        <v>753.7</v>
      </c>
    </row>
    <row r="81" spans="1:9" ht="162" customHeight="1" x14ac:dyDescent="0.35">
      <c r="A81" s="403"/>
      <c r="B81" s="414" t="s">
        <v>256</v>
      </c>
      <c r="C81" s="227" t="s">
        <v>34</v>
      </c>
      <c r="D81" s="228" t="s">
        <v>84</v>
      </c>
      <c r="E81" s="228" t="s">
        <v>32</v>
      </c>
      <c r="F81" s="229" t="s">
        <v>257</v>
      </c>
      <c r="G81" s="41"/>
      <c r="H81" s="242">
        <f>H82</f>
        <v>110.4</v>
      </c>
      <c r="I81" s="242">
        <f>I82</f>
        <v>113.7</v>
      </c>
    </row>
    <row r="82" spans="1:9" ht="36" x14ac:dyDescent="0.35">
      <c r="A82" s="403"/>
      <c r="B82" s="240" t="s">
        <v>71</v>
      </c>
      <c r="C82" s="227" t="s">
        <v>34</v>
      </c>
      <c r="D82" s="228" t="s">
        <v>84</v>
      </c>
      <c r="E82" s="228" t="s">
        <v>32</v>
      </c>
      <c r="F82" s="229" t="s">
        <v>257</v>
      </c>
      <c r="G82" s="41" t="s">
        <v>72</v>
      </c>
      <c r="H82" s="242">
        <f>'прил10 (ведом 23-24)'!M366</f>
        <v>110.4</v>
      </c>
      <c r="I82" s="242">
        <f>'прил10 (ведом 23-24)'!N366</f>
        <v>113.7</v>
      </c>
    </row>
    <row r="83" spans="1:9" ht="96.75" customHeight="1" x14ac:dyDescent="0.35">
      <c r="A83" s="403"/>
      <c r="B83" s="240" t="s">
        <v>334</v>
      </c>
      <c r="C83" s="227" t="s">
        <v>34</v>
      </c>
      <c r="D83" s="228" t="s">
        <v>84</v>
      </c>
      <c r="E83" s="228" t="s">
        <v>32</v>
      </c>
      <c r="F83" s="229" t="s">
        <v>258</v>
      </c>
      <c r="G83" s="41"/>
      <c r="H83" s="242">
        <f>H84</f>
        <v>10086.799999999999</v>
      </c>
      <c r="I83" s="242">
        <f>I84</f>
        <v>10086.799999999999</v>
      </c>
    </row>
    <row r="84" spans="1:9" ht="45" customHeight="1" x14ac:dyDescent="0.35">
      <c r="A84" s="403"/>
      <c r="B84" s="240" t="s">
        <v>71</v>
      </c>
      <c r="C84" s="227" t="s">
        <v>34</v>
      </c>
      <c r="D84" s="228" t="s">
        <v>84</v>
      </c>
      <c r="E84" s="228" t="s">
        <v>32</v>
      </c>
      <c r="F84" s="229" t="s">
        <v>258</v>
      </c>
      <c r="G84" s="41" t="s">
        <v>72</v>
      </c>
      <c r="H84" s="242">
        <f>'прил10 (ведом 23-24)'!M368</f>
        <v>10086.799999999999</v>
      </c>
      <c r="I84" s="242">
        <f>'прил10 (ведом 23-24)'!N368</f>
        <v>10086.799999999999</v>
      </c>
    </row>
    <row r="85" spans="1:9" ht="42" customHeight="1" x14ac:dyDescent="0.35">
      <c r="A85" s="403"/>
      <c r="B85" s="414" t="s">
        <v>207</v>
      </c>
      <c r="C85" s="227" t="s">
        <v>34</v>
      </c>
      <c r="D85" s="228" t="s">
        <v>25</v>
      </c>
      <c r="E85" s="228" t="s">
        <v>38</v>
      </c>
      <c r="F85" s="229" t="s">
        <v>39</v>
      </c>
      <c r="G85" s="264"/>
      <c r="H85" s="242">
        <f>H86+H100+H105+H108+H111</f>
        <v>27113</v>
      </c>
      <c r="I85" s="242">
        <f>I86+I100+I105+I108+I111</f>
        <v>75243</v>
      </c>
    </row>
    <row r="86" spans="1:9" ht="36" x14ac:dyDescent="0.35">
      <c r="A86" s="403"/>
      <c r="B86" s="414" t="s">
        <v>270</v>
      </c>
      <c r="C86" s="227" t="s">
        <v>34</v>
      </c>
      <c r="D86" s="228" t="s">
        <v>25</v>
      </c>
      <c r="E86" s="228" t="s">
        <v>32</v>
      </c>
      <c r="F86" s="229" t="s">
        <v>39</v>
      </c>
      <c r="G86" s="264"/>
      <c r="H86" s="242">
        <f>H87+H91+H98+H96</f>
        <v>18917.5</v>
      </c>
      <c r="I86" s="242">
        <f>I87+I91+I98+I96</f>
        <v>67047.5</v>
      </c>
    </row>
    <row r="87" spans="1:9" ht="36" x14ac:dyDescent="0.35">
      <c r="A87" s="403"/>
      <c r="B87" s="414" t="s">
        <v>42</v>
      </c>
      <c r="C87" s="227" t="s">
        <v>34</v>
      </c>
      <c r="D87" s="228" t="s">
        <v>25</v>
      </c>
      <c r="E87" s="228" t="s">
        <v>32</v>
      </c>
      <c r="F87" s="229" t="s">
        <v>43</v>
      </c>
      <c r="G87" s="41"/>
      <c r="H87" s="242">
        <f>SUM(H88:H90)</f>
        <v>927.8</v>
      </c>
      <c r="I87" s="242">
        <f>SUM(I88:I90)</f>
        <v>10582.3</v>
      </c>
    </row>
    <row r="88" spans="1:9" ht="90" x14ac:dyDescent="0.35">
      <c r="A88" s="403"/>
      <c r="B88" s="414" t="s">
        <v>44</v>
      </c>
      <c r="C88" s="227" t="s">
        <v>34</v>
      </c>
      <c r="D88" s="228" t="s">
        <v>25</v>
      </c>
      <c r="E88" s="228" t="s">
        <v>32</v>
      </c>
      <c r="F88" s="229" t="s">
        <v>43</v>
      </c>
      <c r="G88" s="41" t="s">
        <v>45</v>
      </c>
      <c r="H88" s="242">
        <f>'прил10 (ведом 23-24)'!M387</f>
        <v>0</v>
      </c>
      <c r="I88" s="242">
        <f>'прил10 (ведом 23-24)'!N387</f>
        <v>9648.2999999999993</v>
      </c>
    </row>
    <row r="89" spans="1:9" ht="36" x14ac:dyDescent="0.35">
      <c r="A89" s="403"/>
      <c r="B89" s="414" t="s">
        <v>50</v>
      </c>
      <c r="C89" s="227" t="s">
        <v>34</v>
      </c>
      <c r="D89" s="228" t="s">
        <v>25</v>
      </c>
      <c r="E89" s="228" t="s">
        <v>32</v>
      </c>
      <c r="F89" s="229" t="s">
        <v>43</v>
      </c>
      <c r="G89" s="41" t="s">
        <v>51</v>
      </c>
      <c r="H89" s="242">
        <f>'прил10 (ведом 23-24)'!M388</f>
        <v>910.9</v>
      </c>
      <c r="I89" s="242">
        <f>'прил10 (ведом 23-24)'!N388</f>
        <v>917.2</v>
      </c>
    </row>
    <row r="90" spans="1:9" ht="18" x14ac:dyDescent="0.35">
      <c r="A90" s="403"/>
      <c r="B90" s="414" t="s">
        <v>52</v>
      </c>
      <c r="C90" s="227" t="s">
        <v>34</v>
      </c>
      <c r="D90" s="228" t="s">
        <v>25</v>
      </c>
      <c r="E90" s="228" t="s">
        <v>32</v>
      </c>
      <c r="F90" s="229" t="s">
        <v>43</v>
      </c>
      <c r="G90" s="41" t="s">
        <v>53</v>
      </c>
      <c r="H90" s="242">
        <f>'прил10 (ведом 23-24)'!M389</f>
        <v>16.899999999999999</v>
      </c>
      <c r="I90" s="242">
        <f>'прил10 (ведом 23-24)'!N389</f>
        <v>16.8</v>
      </c>
    </row>
    <row r="91" spans="1:9" ht="36" x14ac:dyDescent="0.35">
      <c r="A91" s="403"/>
      <c r="B91" s="414" t="s">
        <v>437</v>
      </c>
      <c r="C91" s="227" t="s">
        <v>34</v>
      </c>
      <c r="D91" s="228" t="s">
        <v>25</v>
      </c>
      <c r="E91" s="228" t="s">
        <v>32</v>
      </c>
      <c r="F91" s="229" t="s">
        <v>86</v>
      </c>
      <c r="G91" s="41"/>
      <c r="H91" s="242">
        <f>SUM(H92:H95)</f>
        <v>9505</v>
      </c>
      <c r="I91" s="242">
        <f>SUM(I92:I95)</f>
        <v>47980.5</v>
      </c>
    </row>
    <row r="92" spans="1:9" ht="90" x14ac:dyDescent="0.35">
      <c r="A92" s="403"/>
      <c r="B92" s="414" t="s">
        <v>44</v>
      </c>
      <c r="C92" s="227" t="s">
        <v>34</v>
      </c>
      <c r="D92" s="228" t="s">
        <v>25</v>
      </c>
      <c r="E92" s="228" t="s">
        <v>32</v>
      </c>
      <c r="F92" s="229" t="s">
        <v>86</v>
      </c>
      <c r="G92" s="41" t="s">
        <v>45</v>
      </c>
      <c r="H92" s="242">
        <f>'прил10 (ведом 23-24)'!M391</f>
        <v>0</v>
      </c>
      <c r="I92" s="242">
        <f>'прил10 (ведом 23-24)'!N391</f>
        <v>28006.9</v>
      </c>
    </row>
    <row r="93" spans="1:9" ht="36" x14ac:dyDescent="0.35">
      <c r="A93" s="403"/>
      <c r="B93" s="414" t="s">
        <v>50</v>
      </c>
      <c r="C93" s="227" t="s">
        <v>34</v>
      </c>
      <c r="D93" s="228" t="s">
        <v>25</v>
      </c>
      <c r="E93" s="228" t="s">
        <v>32</v>
      </c>
      <c r="F93" s="229" t="s">
        <v>86</v>
      </c>
      <c r="G93" s="41" t="s">
        <v>51</v>
      </c>
      <c r="H93" s="242">
        <f>'прил10 (ведом 23-24)'!M392</f>
        <v>2651.3</v>
      </c>
      <c r="I93" s="242">
        <f>'прил10 (ведом 23-24)'!N392</f>
        <v>3071.4</v>
      </c>
    </row>
    <row r="94" spans="1:9" ht="45.75" customHeight="1" x14ac:dyDescent="0.35">
      <c r="A94" s="403"/>
      <c r="B94" s="240" t="s">
        <v>71</v>
      </c>
      <c r="C94" s="227" t="s">
        <v>34</v>
      </c>
      <c r="D94" s="228" t="s">
        <v>25</v>
      </c>
      <c r="E94" s="228" t="s">
        <v>32</v>
      </c>
      <c r="F94" s="229" t="s">
        <v>86</v>
      </c>
      <c r="G94" s="41" t="s">
        <v>72</v>
      </c>
      <c r="H94" s="242">
        <f>'прил10 (ведом 23-24)'!M393</f>
        <v>6847.9000000000015</v>
      </c>
      <c r="I94" s="242">
        <f>'прил10 (ведом 23-24)'!N393</f>
        <v>16896.7</v>
      </c>
    </row>
    <row r="95" spans="1:9" ht="18" x14ac:dyDescent="0.35">
      <c r="A95" s="403"/>
      <c r="B95" s="240" t="s">
        <v>52</v>
      </c>
      <c r="C95" s="227" t="s">
        <v>34</v>
      </c>
      <c r="D95" s="228" t="s">
        <v>25</v>
      </c>
      <c r="E95" s="228" t="s">
        <v>32</v>
      </c>
      <c r="F95" s="229" t="s">
        <v>86</v>
      </c>
      <c r="G95" s="41" t="s">
        <v>53</v>
      </c>
      <c r="H95" s="242">
        <f>'прил10 (ведом 23-24)'!M394</f>
        <v>5.8</v>
      </c>
      <c r="I95" s="242">
        <f>'прил10 (ведом 23-24)'!N394</f>
        <v>5.5</v>
      </c>
    </row>
    <row r="96" spans="1:9" ht="97.5" customHeight="1" x14ac:dyDescent="0.35">
      <c r="A96" s="403"/>
      <c r="B96" s="240" t="s">
        <v>334</v>
      </c>
      <c r="C96" s="227" t="s">
        <v>34</v>
      </c>
      <c r="D96" s="228" t="s">
        <v>25</v>
      </c>
      <c r="E96" s="228" t="s">
        <v>32</v>
      </c>
      <c r="F96" s="229" t="s">
        <v>258</v>
      </c>
      <c r="G96" s="41"/>
      <c r="H96" s="242">
        <f>SUM(H97:H97)</f>
        <v>6189.9</v>
      </c>
      <c r="I96" s="242">
        <f>SUM(I97:I97)</f>
        <v>6189.9</v>
      </c>
    </row>
    <row r="97" spans="1:9" ht="90" x14ac:dyDescent="0.35">
      <c r="A97" s="403"/>
      <c r="B97" s="240" t="s">
        <v>44</v>
      </c>
      <c r="C97" s="227" t="s">
        <v>34</v>
      </c>
      <c r="D97" s="228" t="s">
        <v>25</v>
      </c>
      <c r="E97" s="228" t="s">
        <v>32</v>
      </c>
      <c r="F97" s="229" t="s">
        <v>258</v>
      </c>
      <c r="G97" s="41" t="s">
        <v>45</v>
      </c>
      <c r="H97" s="242">
        <f>'прил10 (ведом 23-24)'!M396</f>
        <v>6189.9</v>
      </c>
      <c r="I97" s="242">
        <f>'прил10 (ведом 23-24)'!N396</f>
        <v>6189.9</v>
      </c>
    </row>
    <row r="98" spans="1:9" ht="214.5" customHeight="1" x14ac:dyDescent="0.35">
      <c r="A98" s="403"/>
      <c r="B98" s="240" t="s">
        <v>413</v>
      </c>
      <c r="C98" s="227" t="s">
        <v>34</v>
      </c>
      <c r="D98" s="228" t="s">
        <v>25</v>
      </c>
      <c r="E98" s="228" t="s">
        <v>32</v>
      </c>
      <c r="F98" s="229" t="s">
        <v>335</v>
      </c>
      <c r="G98" s="41"/>
      <c r="H98" s="242">
        <f>SUM(H99:H99)</f>
        <v>2294.8000000000002</v>
      </c>
      <c r="I98" s="242">
        <f>SUM(I99:I99)</f>
        <v>2294.8000000000002</v>
      </c>
    </row>
    <row r="99" spans="1:9" ht="45" customHeight="1" x14ac:dyDescent="0.35">
      <c r="A99" s="403"/>
      <c r="B99" s="240" t="s">
        <v>71</v>
      </c>
      <c r="C99" s="227" t="s">
        <v>34</v>
      </c>
      <c r="D99" s="228" t="s">
        <v>25</v>
      </c>
      <c r="E99" s="228" t="s">
        <v>32</v>
      </c>
      <c r="F99" s="229" t="s">
        <v>335</v>
      </c>
      <c r="G99" s="41" t="s">
        <v>72</v>
      </c>
      <c r="H99" s="242">
        <f>'прил10 (ведом 23-24)'!M352</f>
        <v>2294.8000000000002</v>
      </c>
      <c r="I99" s="242">
        <f>'прил10 (ведом 23-24)'!N352</f>
        <v>2294.8000000000002</v>
      </c>
    </row>
    <row r="100" spans="1:9" ht="45" customHeight="1" x14ac:dyDescent="0.35">
      <c r="A100" s="403"/>
      <c r="B100" s="240" t="s">
        <v>269</v>
      </c>
      <c r="C100" s="227" t="s">
        <v>34</v>
      </c>
      <c r="D100" s="228" t="s">
        <v>25</v>
      </c>
      <c r="E100" s="228" t="s">
        <v>34</v>
      </c>
      <c r="F100" s="229" t="s">
        <v>39</v>
      </c>
      <c r="G100" s="41"/>
      <c r="H100" s="242">
        <f>H101+H103</f>
        <v>7938.2999999999993</v>
      </c>
      <c r="I100" s="242">
        <f>I101+I103</f>
        <v>7938.2999999999993</v>
      </c>
    </row>
    <row r="101" spans="1:9" ht="45" customHeight="1" x14ac:dyDescent="0.35">
      <c r="A101" s="403"/>
      <c r="B101" s="240" t="s">
        <v>444</v>
      </c>
      <c r="C101" s="227" t="s">
        <v>34</v>
      </c>
      <c r="D101" s="228" t="s">
        <v>25</v>
      </c>
      <c r="E101" s="228" t="s">
        <v>34</v>
      </c>
      <c r="F101" s="229" t="s">
        <v>443</v>
      </c>
      <c r="G101" s="41"/>
      <c r="H101" s="242">
        <f>H102</f>
        <v>1188.3999999999999</v>
      </c>
      <c r="I101" s="242">
        <f>I102</f>
        <v>1188.3999999999999</v>
      </c>
    </row>
    <row r="102" spans="1:9" ht="45" customHeight="1" x14ac:dyDescent="0.35">
      <c r="A102" s="403"/>
      <c r="B102" s="240" t="s">
        <v>71</v>
      </c>
      <c r="C102" s="227" t="s">
        <v>34</v>
      </c>
      <c r="D102" s="228" t="s">
        <v>25</v>
      </c>
      <c r="E102" s="228" t="s">
        <v>34</v>
      </c>
      <c r="F102" s="229" t="s">
        <v>443</v>
      </c>
      <c r="G102" s="41" t="s">
        <v>72</v>
      </c>
      <c r="H102" s="242">
        <f>'прил10 (ведом 23-24)'!M379</f>
        <v>1188.3999999999999</v>
      </c>
      <c r="I102" s="242">
        <f>'прил10 (ведом 23-24)'!N379</f>
        <v>1188.3999999999999</v>
      </c>
    </row>
    <row r="103" spans="1:9" ht="109.5" customHeight="1" x14ac:dyDescent="0.35">
      <c r="A103" s="403"/>
      <c r="B103" s="240" t="s">
        <v>418</v>
      </c>
      <c r="C103" s="227" t="s">
        <v>34</v>
      </c>
      <c r="D103" s="228" t="s">
        <v>25</v>
      </c>
      <c r="E103" s="228" t="s">
        <v>34</v>
      </c>
      <c r="F103" s="229" t="s">
        <v>417</v>
      </c>
      <c r="G103" s="41"/>
      <c r="H103" s="242">
        <f>H104</f>
        <v>6749.9</v>
      </c>
      <c r="I103" s="242">
        <f>I104</f>
        <v>6749.9</v>
      </c>
    </row>
    <row r="104" spans="1:9" ht="39" customHeight="1" x14ac:dyDescent="0.35">
      <c r="A104" s="403"/>
      <c r="B104" s="240" t="s">
        <v>71</v>
      </c>
      <c r="C104" s="227" t="s">
        <v>34</v>
      </c>
      <c r="D104" s="228" t="s">
        <v>25</v>
      </c>
      <c r="E104" s="228" t="s">
        <v>34</v>
      </c>
      <c r="F104" s="229" t="s">
        <v>417</v>
      </c>
      <c r="G104" s="41" t="s">
        <v>72</v>
      </c>
      <c r="H104" s="242">
        <f>'прил10 (ведом 23-24)'!M381</f>
        <v>6749.9</v>
      </c>
      <c r="I104" s="242">
        <f>'прил10 (ведом 23-24)'!N381</f>
        <v>6749.9</v>
      </c>
    </row>
    <row r="105" spans="1:9" ht="36" customHeight="1" x14ac:dyDescent="0.35">
      <c r="A105" s="403"/>
      <c r="B105" s="263" t="s">
        <v>340</v>
      </c>
      <c r="C105" s="598" t="s">
        <v>34</v>
      </c>
      <c r="D105" s="599" t="s">
        <v>25</v>
      </c>
      <c r="E105" s="599" t="s">
        <v>58</v>
      </c>
      <c r="F105" s="600" t="s">
        <v>39</v>
      </c>
      <c r="G105" s="264"/>
      <c r="H105" s="242">
        <f>H106</f>
        <v>127.4</v>
      </c>
      <c r="I105" s="242">
        <f>I106</f>
        <v>127.4</v>
      </c>
    </row>
    <row r="106" spans="1:9" ht="51.75" customHeight="1" x14ac:dyDescent="0.35">
      <c r="A106" s="403"/>
      <c r="B106" s="263" t="s">
        <v>446</v>
      </c>
      <c r="C106" s="598" t="s">
        <v>34</v>
      </c>
      <c r="D106" s="599" t="s">
        <v>25</v>
      </c>
      <c r="E106" s="599" t="s">
        <v>58</v>
      </c>
      <c r="F106" s="600" t="s">
        <v>100</v>
      </c>
      <c r="G106" s="264"/>
      <c r="H106" s="242">
        <f>H107</f>
        <v>127.4</v>
      </c>
      <c r="I106" s="242">
        <f>I107</f>
        <v>127.4</v>
      </c>
    </row>
    <row r="107" spans="1:9" ht="36" x14ac:dyDescent="0.35">
      <c r="A107" s="403"/>
      <c r="B107" s="263" t="s">
        <v>50</v>
      </c>
      <c r="C107" s="598" t="s">
        <v>34</v>
      </c>
      <c r="D107" s="599" t="s">
        <v>25</v>
      </c>
      <c r="E107" s="599" t="s">
        <v>58</v>
      </c>
      <c r="F107" s="600" t="s">
        <v>100</v>
      </c>
      <c r="G107" s="264" t="s">
        <v>51</v>
      </c>
      <c r="H107" s="242">
        <f>'прил10 (ведом 23-24)'!M278</f>
        <v>127.4</v>
      </c>
      <c r="I107" s="242">
        <f>'прил10 (ведом 23-24)'!N278</f>
        <v>127.4</v>
      </c>
    </row>
    <row r="108" spans="1:9" ht="34.5" customHeight="1" x14ac:dyDescent="0.35">
      <c r="A108" s="403"/>
      <c r="B108" s="263" t="s">
        <v>441</v>
      </c>
      <c r="C108" s="598" t="s">
        <v>34</v>
      </c>
      <c r="D108" s="599" t="s">
        <v>25</v>
      </c>
      <c r="E108" s="599" t="s">
        <v>47</v>
      </c>
      <c r="F108" s="600" t="s">
        <v>39</v>
      </c>
      <c r="G108" s="264"/>
      <c r="H108" s="242">
        <f>H109</f>
        <v>24</v>
      </c>
      <c r="I108" s="242">
        <f>I109</f>
        <v>24</v>
      </c>
    </row>
    <row r="109" spans="1:9" ht="24" customHeight="1" x14ac:dyDescent="0.35">
      <c r="A109" s="403"/>
      <c r="B109" s="263" t="s">
        <v>447</v>
      </c>
      <c r="C109" s="598" t="s">
        <v>34</v>
      </c>
      <c r="D109" s="599" t="s">
        <v>25</v>
      </c>
      <c r="E109" s="599" t="s">
        <v>47</v>
      </c>
      <c r="F109" s="600" t="s">
        <v>440</v>
      </c>
      <c r="G109" s="264"/>
      <c r="H109" s="242">
        <f>H110</f>
        <v>24</v>
      </c>
      <c r="I109" s="242">
        <f>I110</f>
        <v>24</v>
      </c>
    </row>
    <row r="110" spans="1:9" ht="33.75" customHeight="1" x14ac:dyDescent="0.35">
      <c r="A110" s="403"/>
      <c r="B110" s="263" t="s">
        <v>50</v>
      </c>
      <c r="C110" s="598" t="s">
        <v>34</v>
      </c>
      <c r="D110" s="599" t="s">
        <v>25</v>
      </c>
      <c r="E110" s="599" t="s">
        <v>47</v>
      </c>
      <c r="F110" s="600" t="s">
        <v>440</v>
      </c>
      <c r="G110" s="264" t="s">
        <v>51</v>
      </c>
      <c r="H110" s="242">
        <f>'прил10 (ведом 23-24)'!M281</f>
        <v>24</v>
      </c>
      <c r="I110" s="242">
        <f>'прил10 (ведом 23-24)'!N281</f>
        <v>24</v>
      </c>
    </row>
    <row r="111" spans="1:9" ht="33.6" customHeight="1" x14ac:dyDescent="0.35">
      <c r="A111" s="403"/>
      <c r="B111" s="263" t="s">
        <v>445</v>
      </c>
      <c r="C111" s="598" t="s">
        <v>34</v>
      </c>
      <c r="D111" s="599" t="s">
        <v>25</v>
      </c>
      <c r="E111" s="599" t="s">
        <v>60</v>
      </c>
      <c r="F111" s="600" t="s">
        <v>39</v>
      </c>
      <c r="G111" s="264"/>
      <c r="H111" s="242">
        <f>H112</f>
        <v>105.8</v>
      </c>
      <c r="I111" s="242">
        <f>I112</f>
        <v>105.8</v>
      </c>
    </row>
    <row r="112" spans="1:9" ht="36.75" customHeight="1" x14ac:dyDescent="0.35">
      <c r="A112" s="403"/>
      <c r="B112" s="263" t="s">
        <v>122</v>
      </c>
      <c r="C112" s="598" t="s">
        <v>34</v>
      </c>
      <c r="D112" s="599" t="s">
        <v>25</v>
      </c>
      <c r="E112" s="599" t="s">
        <v>60</v>
      </c>
      <c r="F112" s="600" t="s">
        <v>85</v>
      </c>
      <c r="G112" s="264"/>
      <c r="H112" s="242">
        <f>H113</f>
        <v>105.8</v>
      </c>
      <c r="I112" s="242">
        <f>I113</f>
        <v>105.8</v>
      </c>
    </row>
    <row r="113" spans="1:9" ht="34.5" customHeight="1" x14ac:dyDescent="0.35">
      <c r="A113" s="403"/>
      <c r="B113" s="263" t="s">
        <v>50</v>
      </c>
      <c r="C113" s="598" t="s">
        <v>34</v>
      </c>
      <c r="D113" s="599" t="s">
        <v>25</v>
      </c>
      <c r="E113" s="599" t="s">
        <v>60</v>
      </c>
      <c r="F113" s="600" t="s">
        <v>85</v>
      </c>
      <c r="G113" s="264" t="s">
        <v>51</v>
      </c>
      <c r="H113" s="242">
        <f>'прил10 (ведом 23-24)'!M284</f>
        <v>105.8</v>
      </c>
      <c r="I113" s="242">
        <f>'прил10 (ведом 23-24)'!N284</f>
        <v>105.8</v>
      </c>
    </row>
    <row r="114" spans="1:9" ht="18" x14ac:dyDescent="0.35">
      <c r="A114" s="403"/>
      <c r="B114" s="422"/>
      <c r="C114" s="598"/>
      <c r="D114" s="599"/>
      <c r="E114" s="599"/>
      <c r="F114" s="600"/>
      <c r="G114" s="264"/>
      <c r="H114" s="242"/>
      <c r="I114" s="242"/>
    </row>
    <row r="115" spans="1:9" s="413" customFormat="1" ht="52.2" x14ac:dyDescent="0.3">
      <c r="A115" s="423">
        <v>2</v>
      </c>
      <c r="B115" s="339" t="s">
        <v>208</v>
      </c>
      <c r="C115" s="424" t="s">
        <v>58</v>
      </c>
      <c r="D115" s="424" t="s">
        <v>37</v>
      </c>
      <c r="E115" s="424" t="s">
        <v>38</v>
      </c>
      <c r="F115" s="425" t="s">
        <v>39</v>
      </c>
      <c r="G115" s="412"/>
      <c r="H115" s="289">
        <f>H116+H143+H136</f>
        <v>93411</v>
      </c>
      <c r="I115" s="289">
        <f>I116+I143+I136</f>
        <v>102079.3</v>
      </c>
    </row>
    <row r="116" spans="1:9" s="413" customFormat="1" ht="54" x14ac:dyDescent="0.35">
      <c r="A116" s="403"/>
      <c r="B116" s="426" t="s">
        <v>209</v>
      </c>
      <c r="C116" s="227" t="s">
        <v>58</v>
      </c>
      <c r="D116" s="228" t="s">
        <v>40</v>
      </c>
      <c r="E116" s="228" t="s">
        <v>38</v>
      </c>
      <c r="F116" s="229" t="s">
        <v>39</v>
      </c>
      <c r="G116" s="264"/>
      <c r="H116" s="242">
        <f>H117+H122+H125+H128+H133</f>
        <v>83755.100000000006</v>
      </c>
      <c r="I116" s="242">
        <f>I117+I122+I125+I128+I133</f>
        <v>91766.5</v>
      </c>
    </row>
    <row r="117" spans="1:9" s="413" customFormat="1" ht="36" x14ac:dyDescent="0.35">
      <c r="A117" s="403"/>
      <c r="B117" s="426" t="s">
        <v>264</v>
      </c>
      <c r="C117" s="227" t="s">
        <v>58</v>
      </c>
      <c r="D117" s="228" t="s">
        <v>40</v>
      </c>
      <c r="E117" s="228" t="s">
        <v>32</v>
      </c>
      <c r="F117" s="229" t="s">
        <v>39</v>
      </c>
      <c r="G117" s="264"/>
      <c r="H117" s="242">
        <f>H118+H120</f>
        <v>58973.3</v>
      </c>
      <c r="I117" s="242">
        <f>I118+I120</f>
        <v>64613.9</v>
      </c>
    </row>
    <row r="118" spans="1:9" s="413" customFormat="1" ht="36" x14ac:dyDescent="0.35">
      <c r="A118" s="403"/>
      <c r="B118" s="414" t="s">
        <v>437</v>
      </c>
      <c r="C118" s="227" t="s">
        <v>58</v>
      </c>
      <c r="D118" s="228" t="s">
        <v>40</v>
      </c>
      <c r="E118" s="228" t="s">
        <v>32</v>
      </c>
      <c r="F118" s="229" t="s">
        <v>86</v>
      </c>
      <c r="G118" s="41"/>
      <c r="H118" s="242">
        <f>H119</f>
        <v>56990</v>
      </c>
      <c r="I118" s="242">
        <f>I119</f>
        <v>62630.6</v>
      </c>
    </row>
    <row r="119" spans="1:9" s="413" customFormat="1" ht="42.75" customHeight="1" x14ac:dyDescent="0.35">
      <c r="A119" s="403"/>
      <c r="B119" s="420" t="s">
        <v>71</v>
      </c>
      <c r="C119" s="227" t="s">
        <v>58</v>
      </c>
      <c r="D119" s="228" t="s">
        <v>40</v>
      </c>
      <c r="E119" s="228" t="s">
        <v>32</v>
      </c>
      <c r="F119" s="229" t="s">
        <v>86</v>
      </c>
      <c r="G119" s="41" t="s">
        <v>72</v>
      </c>
      <c r="H119" s="242">
        <f>'прил10 (ведом 23-24)'!M420</f>
        <v>56990</v>
      </c>
      <c r="I119" s="242">
        <f>'прил10 (ведом 23-24)'!N420</f>
        <v>62630.6</v>
      </c>
    </row>
    <row r="120" spans="1:9" s="413" customFormat="1" ht="42.75" customHeight="1" x14ac:dyDescent="0.35">
      <c r="A120" s="403"/>
      <c r="B120" s="427" t="s">
        <v>302</v>
      </c>
      <c r="C120" s="227" t="s">
        <v>58</v>
      </c>
      <c r="D120" s="228" t="s">
        <v>40</v>
      </c>
      <c r="E120" s="228" t="s">
        <v>32</v>
      </c>
      <c r="F120" s="229" t="s">
        <v>303</v>
      </c>
      <c r="G120" s="41"/>
      <c r="H120" s="242">
        <f>'прил10 (ведом 23-24)'!M421</f>
        <v>1983.3</v>
      </c>
      <c r="I120" s="242">
        <f>'прил10 (ведом 23-24)'!N421</f>
        <v>1983.3</v>
      </c>
    </row>
    <row r="121" spans="1:9" s="413" customFormat="1" ht="42.75" customHeight="1" x14ac:dyDescent="0.35">
      <c r="A121" s="403"/>
      <c r="B121" s="427" t="s">
        <v>71</v>
      </c>
      <c r="C121" s="227" t="s">
        <v>58</v>
      </c>
      <c r="D121" s="228" t="s">
        <v>40</v>
      </c>
      <c r="E121" s="228" t="s">
        <v>32</v>
      </c>
      <c r="F121" s="229" t="s">
        <v>303</v>
      </c>
      <c r="G121" s="41" t="s">
        <v>72</v>
      </c>
      <c r="H121" s="242">
        <f>'прил10 (ведом 23-24)'!M422</f>
        <v>1983.3</v>
      </c>
      <c r="I121" s="242">
        <f>'прил10 (ведом 23-24)'!N422</f>
        <v>1983.3</v>
      </c>
    </row>
    <row r="122" spans="1:9" s="413" customFormat="1" ht="18" x14ac:dyDescent="0.35">
      <c r="A122" s="403"/>
      <c r="B122" s="427" t="s">
        <v>265</v>
      </c>
      <c r="C122" s="227" t="s">
        <v>58</v>
      </c>
      <c r="D122" s="228" t="s">
        <v>40</v>
      </c>
      <c r="E122" s="228" t="s">
        <v>34</v>
      </c>
      <c r="F122" s="229" t="s">
        <v>39</v>
      </c>
      <c r="G122" s="41"/>
      <c r="H122" s="242">
        <f>H123</f>
        <v>225</v>
      </c>
      <c r="I122" s="242">
        <f>I123</f>
        <v>225</v>
      </c>
    </row>
    <row r="123" spans="1:9" s="413" customFormat="1" ht="42.75" customHeight="1" x14ac:dyDescent="0.35">
      <c r="A123" s="403"/>
      <c r="B123" s="427" t="s">
        <v>206</v>
      </c>
      <c r="C123" s="227" t="s">
        <v>58</v>
      </c>
      <c r="D123" s="228" t="s">
        <v>40</v>
      </c>
      <c r="E123" s="228" t="s">
        <v>34</v>
      </c>
      <c r="F123" s="229" t="s">
        <v>267</v>
      </c>
      <c r="G123" s="41"/>
      <c r="H123" s="242">
        <f>H124</f>
        <v>225</v>
      </c>
      <c r="I123" s="242">
        <f>I124</f>
        <v>225</v>
      </c>
    </row>
    <row r="124" spans="1:9" s="413" customFormat="1" ht="18" x14ac:dyDescent="0.35">
      <c r="A124" s="403"/>
      <c r="B124" s="427" t="s">
        <v>115</v>
      </c>
      <c r="C124" s="227" t="s">
        <v>58</v>
      </c>
      <c r="D124" s="228" t="s">
        <v>40</v>
      </c>
      <c r="E124" s="228" t="s">
        <v>34</v>
      </c>
      <c r="F124" s="229" t="s">
        <v>267</v>
      </c>
      <c r="G124" s="41" t="s">
        <v>116</v>
      </c>
      <c r="H124" s="242">
        <f>'прил10 (ведом 23-24)'!M434</f>
        <v>225</v>
      </c>
      <c r="I124" s="242">
        <f>'прил10 (ведом 23-24)'!N434</f>
        <v>225</v>
      </c>
    </row>
    <row r="125" spans="1:9" s="413" customFormat="1" ht="18" x14ac:dyDescent="0.35">
      <c r="A125" s="403"/>
      <c r="B125" s="414" t="s">
        <v>304</v>
      </c>
      <c r="C125" s="428" t="s">
        <v>58</v>
      </c>
      <c r="D125" s="429" t="s">
        <v>40</v>
      </c>
      <c r="E125" s="429" t="s">
        <v>58</v>
      </c>
      <c r="F125" s="430" t="s">
        <v>39</v>
      </c>
      <c r="G125" s="431"/>
      <c r="H125" s="242">
        <f>H126</f>
        <v>11243.5</v>
      </c>
      <c r="I125" s="242">
        <f>I126</f>
        <v>12367.9</v>
      </c>
    </row>
    <row r="126" spans="1:9" s="413" customFormat="1" ht="36" x14ac:dyDescent="0.35">
      <c r="A126" s="403"/>
      <c r="B126" s="414" t="s">
        <v>437</v>
      </c>
      <c r="C126" s="428" t="s">
        <v>58</v>
      </c>
      <c r="D126" s="429" t="s">
        <v>40</v>
      </c>
      <c r="E126" s="429" t="s">
        <v>58</v>
      </c>
      <c r="F126" s="430" t="s">
        <v>86</v>
      </c>
      <c r="G126" s="431"/>
      <c r="H126" s="242">
        <f>H127</f>
        <v>11243.5</v>
      </c>
      <c r="I126" s="242">
        <f>I127</f>
        <v>12367.9</v>
      </c>
    </row>
    <row r="127" spans="1:9" s="413" customFormat="1" ht="45" customHeight="1" x14ac:dyDescent="0.35">
      <c r="A127" s="403"/>
      <c r="B127" s="420" t="s">
        <v>71</v>
      </c>
      <c r="C127" s="227" t="s">
        <v>58</v>
      </c>
      <c r="D127" s="228" t="s">
        <v>40</v>
      </c>
      <c r="E127" s="228" t="s">
        <v>58</v>
      </c>
      <c r="F127" s="229" t="s">
        <v>86</v>
      </c>
      <c r="G127" s="41" t="s">
        <v>72</v>
      </c>
      <c r="H127" s="242">
        <f>'прил10 (ведом 23-24)'!M441</f>
        <v>11243.5</v>
      </c>
      <c r="I127" s="242">
        <f>'прил10 (ведом 23-24)'!N441</f>
        <v>12367.9</v>
      </c>
    </row>
    <row r="128" spans="1:9" s="413" customFormat="1" ht="36" x14ac:dyDescent="0.35">
      <c r="A128" s="403"/>
      <c r="B128" s="420" t="s">
        <v>306</v>
      </c>
      <c r="C128" s="428" t="s">
        <v>58</v>
      </c>
      <c r="D128" s="429" t="s">
        <v>40</v>
      </c>
      <c r="E128" s="429" t="s">
        <v>47</v>
      </c>
      <c r="F128" s="229" t="s">
        <v>39</v>
      </c>
      <c r="G128" s="41"/>
      <c r="H128" s="242">
        <f>H129</f>
        <v>13024.300000000001</v>
      </c>
      <c r="I128" s="242">
        <f>I129</f>
        <v>14270.7</v>
      </c>
    </row>
    <row r="129" spans="1:9" s="413" customFormat="1" ht="36" x14ac:dyDescent="0.35">
      <c r="A129" s="403"/>
      <c r="B129" s="414" t="s">
        <v>437</v>
      </c>
      <c r="C129" s="428" t="s">
        <v>58</v>
      </c>
      <c r="D129" s="429" t="s">
        <v>40</v>
      </c>
      <c r="E129" s="429" t="s">
        <v>47</v>
      </c>
      <c r="F129" s="430" t="s">
        <v>86</v>
      </c>
      <c r="G129" s="431"/>
      <c r="H129" s="242">
        <f>SUM(H130:H132)</f>
        <v>13024.300000000001</v>
      </c>
      <c r="I129" s="242">
        <f>SUM(I130:I132)</f>
        <v>14270.7</v>
      </c>
    </row>
    <row r="130" spans="1:9" s="413" customFormat="1" ht="90" x14ac:dyDescent="0.35">
      <c r="A130" s="403"/>
      <c r="B130" s="240" t="s">
        <v>44</v>
      </c>
      <c r="C130" s="227" t="s">
        <v>58</v>
      </c>
      <c r="D130" s="228" t="s">
        <v>40</v>
      </c>
      <c r="E130" s="228" t="s">
        <v>47</v>
      </c>
      <c r="F130" s="229" t="s">
        <v>86</v>
      </c>
      <c r="G130" s="41" t="s">
        <v>45</v>
      </c>
      <c r="H130" s="242">
        <f>'прил10 (ведом 23-24)'!M444</f>
        <v>11895.6</v>
      </c>
      <c r="I130" s="242">
        <f>'прил10 (ведом 23-24)'!N444</f>
        <v>11895.6</v>
      </c>
    </row>
    <row r="131" spans="1:9" s="413" customFormat="1" ht="36" x14ac:dyDescent="0.35">
      <c r="A131" s="403"/>
      <c r="B131" s="240" t="s">
        <v>50</v>
      </c>
      <c r="C131" s="227" t="s">
        <v>58</v>
      </c>
      <c r="D131" s="228" t="s">
        <v>40</v>
      </c>
      <c r="E131" s="228" t="s">
        <v>47</v>
      </c>
      <c r="F131" s="229" t="s">
        <v>86</v>
      </c>
      <c r="G131" s="41" t="s">
        <v>51</v>
      </c>
      <c r="H131" s="242">
        <f>'прил10 (ведом 23-24)'!M445</f>
        <v>1081.7</v>
      </c>
      <c r="I131" s="242">
        <f>'прил10 (ведом 23-24)'!N445</f>
        <v>2328.1</v>
      </c>
    </row>
    <row r="132" spans="1:9" s="413" customFormat="1" ht="18" x14ac:dyDescent="0.35">
      <c r="A132" s="403"/>
      <c r="B132" s="240" t="s">
        <v>52</v>
      </c>
      <c r="C132" s="227" t="s">
        <v>58</v>
      </c>
      <c r="D132" s="228" t="s">
        <v>40</v>
      </c>
      <c r="E132" s="228" t="s">
        <v>47</v>
      </c>
      <c r="F132" s="229" t="s">
        <v>86</v>
      </c>
      <c r="G132" s="41" t="s">
        <v>53</v>
      </c>
      <c r="H132" s="242">
        <f>'прил10 (ведом 23-24)'!M446</f>
        <v>47</v>
      </c>
      <c r="I132" s="242">
        <f>'прил10 (ведом 23-24)'!N446</f>
        <v>47</v>
      </c>
    </row>
    <row r="133" spans="1:9" s="413" customFormat="1" ht="39.75" customHeight="1" x14ac:dyDescent="0.35">
      <c r="A133" s="403"/>
      <c r="B133" s="427" t="s">
        <v>269</v>
      </c>
      <c r="C133" s="227" t="s">
        <v>58</v>
      </c>
      <c r="D133" s="228" t="s">
        <v>40</v>
      </c>
      <c r="E133" s="228" t="s">
        <v>60</v>
      </c>
      <c r="F133" s="229" t="s">
        <v>39</v>
      </c>
      <c r="G133" s="41"/>
      <c r="H133" s="242">
        <f>'прил10 (ведом 23-24)'!M426</f>
        <v>289</v>
      </c>
      <c r="I133" s="242">
        <f>'прил10 (ведом 23-24)'!N426</f>
        <v>289</v>
      </c>
    </row>
    <row r="134" spans="1:9" s="413" customFormat="1" ht="36" x14ac:dyDescent="0.35">
      <c r="A134" s="403"/>
      <c r="B134" s="427" t="s">
        <v>444</v>
      </c>
      <c r="C134" s="227" t="s">
        <v>58</v>
      </c>
      <c r="D134" s="228" t="s">
        <v>40</v>
      </c>
      <c r="E134" s="228" t="s">
        <v>60</v>
      </c>
      <c r="F134" s="229" t="s">
        <v>443</v>
      </c>
      <c r="G134" s="41"/>
      <c r="H134" s="242">
        <f>'прил10 (ведом 23-24)'!M427</f>
        <v>289</v>
      </c>
      <c r="I134" s="242">
        <f>'прил10 (ведом 23-24)'!N427</f>
        <v>289</v>
      </c>
    </row>
    <row r="135" spans="1:9" s="413" customFormat="1" ht="34.5" customHeight="1" x14ac:dyDescent="0.35">
      <c r="A135" s="403"/>
      <c r="B135" s="427" t="s">
        <v>71</v>
      </c>
      <c r="C135" s="227" t="s">
        <v>58</v>
      </c>
      <c r="D135" s="228" t="s">
        <v>40</v>
      </c>
      <c r="E135" s="228" t="s">
        <v>60</v>
      </c>
      <c r="F135" s="229" t="s">
        <v>443</v>
      </c>
      <c r="G135" s="41" t="s">
        <v>72</v>
      </c>
      <c r="H135" s="242">
        <f>'прил10 (ведом 23-24)'!M428</f>
        <v>289</v>
      </c>
      <c r="I135" s="242">
        <f>'прил10 (ведом 23-24)'!N428</f>
        <v>289</v>
      </c>
    </row>
    <row r="136" spans="1:9" s="413" customFormat="1" ht="36" x14ac:dyDescent="0.35">
      <c r="A136" s="403"/>
      <c r="B136" s="240" t="s">
        <v>315</v>
      </c>
      <c r="C136" s="428" t="s">
        <v>58</v>
      </c>
      <c r="D136" s="429" t="s">
        <v>84</v>
      </c>
      <c r="E136" s="429" t="s">
        <v>38</v>
      </c>
      <c r="F136" s="229" t="s">
        <v>39</v>
      </c>
      <c r="G136" s="41"/>
      <c r="H136" s="242">
        <f t="shared" ref="H136:I141" si="0">H137</f>
        <v>349.5</v>
      </c>
      <c r="I136" s="242">
        <f t="shared" si="0"/>
        <v>349.5</v>
      </c>
    </row>
    <row r="137" spans="1:9" s="413" customFormat="1" ht="90" x14ac:dyDescent="0.35">
      <c r="A137" s="403"/>
      <c r="B137" s="427" t="s">
        <v>307</v>
      </c>
      <c r="C137" s="428" t="s">
        <v>58</v>
      </c>
      <c r="D137" s="429" t="s">
        <v>84</v>
      </c>
      <c r="E137" s="429" t="s">
        <v>58</v>
      </c>
      <c r="F137" s="229" t="s">
        <v>39</v>
      </c>
      <c r="G137" s="41"/>
      <c r="H137" s="242">
        <f>H141+H138</f>
        <v>349.5</v>
      </c>
      <c r="I137" s="242">
        <f>I141+I138</f>
        <v>349.5</v>
      </c>
    </row>
    <row r="138" spans="1:9" s="413" customFormat="1" ht="36" x14ac:dyDescent="0.35">
      <c r="A138" s="403"/>
      <c r="B138" s="427" t="s">
        <v>302</v>
      </c>
      <c r="C138" s="428" t="s">
        <v>58</v>
      </c>
      <c r="D138" s="429" t="s">
        <v>84</v>
      </c>
      <c r="E138" s="429" t="s">
        <v>58</v>
      </c>
      <c r="F138" s="229" t="s">
        <v>303</v>
      </c>
      <c r="G138" s="41"/>
      <c r="H138" s="242">
        <f>H139+H140</f>
        <v>307.39999999999998</v>
      </c>
      <c r="I138" s="242">
        <f>I139+I140</f>
        <v>307.39999999999998</v>
      </c>
    </row>
    <row r="139" spans="1:9" s="413" customFormat="1" ht="36" x14ac:dyDescent="0.35">
      <c r="A139" s="403"/>
      <c r="B139" s="240" t="s">
        <v>50</v>
      </c>
      <c r="C139" s="428" t="s">
        <v>58</v>
      </c>
      <c r="D139" s="429" t="s">
        <v>84</v>
      </c>
      <c r="E139" s="429" t="s">
        <v>58</v>
      </c>
      <c r="F139" s="229" t="s">
        <v>303</v>
      </c>
      <c r="G139" s="41" t="s">
        <v>51</v>
      </c>
      <c r="H139" s="242">
        <f>'прил10 (ведом 23-24)'!M450</f>
        <v>289.5</v>
      </c>
      <c r="I139" s="242">
        <f>'прил10 (ведом 23-24)'!N450</f>
        <v>289.5</v>
      </c>
    </row>
    <row r="140" spans="1:9" s="413" customFormat="1" ht="38.25" customHeight="1" x14ac:dyDescent="0.35">
      <c r="A140" s="403"/>
      <c r="B140" s="427" t="s">
        <v>71</v>
      </c>
      <c r="C140" s="428" t="s">
        <v>58</v>
      </c>
      <c r="D140" s="429" t="s">
        <v>84</v>
      </c>
      <c r="E140" s="429" t="s">
        <v>58</v>
      </c>
      <c r="F140" s="229" t="s">
        <v>303</v>
      </c>
      <c r="G140" s="41" t="s">
        <v>72</v>
      </c>
      <c r="H140" s="242">
        <f>'прил10 (ведом 23-24)'!M451</f>
        <v>17.899999999999999</v>
      </c>
      <c r="I140" s="242">
        <f>'прил10 (ведом 23-24)'!N451</f>
        <v>17.899999999999999</v>
      </c>
    </row>
    <row r="141" spans="1:9" s="413" customFormat="1" ht="36" x14ac:dyDescent="0.35">
      <c r="A141" s="403"/>
      <c r="B141" s="427" t="s">
        <v>401</v>
      </c>
      <c r="C141" s="227" t="s">
        <v>58</v>
      </c>
      <c r="D141" s="228" t="s">
        <v>84</v>
      </c>
      <c r="E141" s="228" t="s">
        <v>58</v>
      </c>
      <c r="F141" s="229" t="s">
        <v>402</v>
      </c>
      <c r="G141" s="41"/>
      <c r="H141" s="242">
        <f t="shared" si="0"/>
        <v>42.1</v>
      </c>
      <c r="I141" s="242">
        <f t="shared" si="0"/>
        <v>42.1</v>
      </c>
    </row>
    <row r="142" spans="1:9" s="413" customFormat="1" ht="42" customHeight="1" x14ac:dyDescent="0.35">
      <c r="A142" s="403"/>
      <c r="B142" s="427" t="s">
        <v>71</v>
      </c>
      <c r="C142" s="227" t="s">
        <v>58</v>
      </c>
      <c r="D142" s="228" t="s">
        <v>84</v>
      </c>
      <c r="E142" s="228" t="s">
        <v>58</v>
      </c>
      <c r="F142" s="229" t="s">
        <v>402</v>
      </c>
      <c r="G142" s="41" t="s">
        <v>72</v>
      </c>
      <c r="H142" s="242">
        <f>'прил10 (ведом 23-24)'!M453</f>
        <v>42.1</v>
      </c>
      <c r="I142" s="242">
        <f>'прил10 (ведом 23-24)'!N453</f>
        <v>42.1</v>
      </c>
    </row>
    <row r="143" spans="1:9" s="413" customFormat="1" ht="39" customHeight="1" x14ac:dyDescent="0.35">
      <c r="A143" s="403"/>
      <c r="B143" s="414" t="s">
        <v>211</v>
      </c>
      <c r="C143" s="227" t="s">
        <v>58</v>
      </c>
      <c r="D143" s="228" t="s">
        <v>25</v>
      </c>
      <c r="E143" s="228" t="s">
        <v>38</v>
      </c>
      <c r="F143" s="229" t="s">
        <v>39</v>
      </c>
      <c r="G143" s="264"/>
      <c r="H143" s="242">
        <f>H144+H153</f>
        <v>9306.4</v>
      </c>
      <c r="I143" s="242">
        <f>I144+I153</f>
        <v>9963.2999999999993</v>
      </c>
    </row>
    <row r="144" spans="1:9" s="413" customFormat="1" ht="36" x14ac:dyDescent="0.35">
      <c r="A144" s="403"/>
      <c r="B144" s="414" t="s">
        <v>270</v>
      </c>
      <c r="C144" s="227" t="s">
        <v>58</v>
      </c>
      <c r="D144" s="228" t="s">
        <v>25</v>
      </c>
      <c r="E144" s="228" t="s">
        <v>32</v>
      </c>
      <c r="F144" s="229" t="s">
        <v>39</v>
      </c>
      <c r="G144" s="41"/>
      <c r="H144" s="242">
        <f>H145+H149</f>
        <v>9253.1</v>
      </c>
      <c r="I144" s="242">
        <f>I145+I149</f>
        <v>9910</v>
      </c>
    </row>
    <row r="145" spans="1:9" ht="36" x14ac:dyDescent="0.35">
      <c r="A145" s="403"/>
      <c r="B145" s="414" t="s">
        <v>42</v>
      </c>
      <c r="C145" s="227" t="s">
        <v>58</v>
      </c>
      <c r="D145" s="228" t="s">
        <v>25</v>
      </c>
      <c r="E145" s="228" t="s">
        <v>32</v>
      </c>
      <c r="F145" s="229" t="s">
        <v>43</v>
      </c>
      <c r="G145" s="431"/>
      <c r="H145" s="242">
        <f>SUM(H146:H148)</f>
        <v>2982.2000000000003</v>
      </c>
      <c r="I145" s="242">
        <f>SUM(I146:I148)</f>
        <v>2983.1</v>
      </c>
    </row>
    <row r="146" spans="1:9" ht="90" x14ac:dyDescent="0.35">
      <c r="A146" s="403"/>
      <c r="B146" s="414" t="s">
        <v>44</v>
      </c>
      <c r="C146" s="227" t="s">
        <v>58</v>
      </c>
      <c r="D146" s="228" t="s">
        <v>25</v>
      </c>
      <c r="E146" s="228" t="s">
        <v>32</v>
      </c>
      <c r="F146" s="229" t="s">
        <v>43</v>
      </c>
      <c r="G146" s="431" t="s">
        <v>45</v>
      </c>
      <c r="H146" s="242">
        <f>'прил10 (ведом 23-24)'!M459</f>
        <v>2712.1</v>
      </c>
      <c r="I146" s="242">
        <f>'прил10 (ведом 23-24)'!N459</f>
        <v>2712.1</v>
      </c>
    </row>
    <row r="147" spans="1:9" ht="36" x14ac:dyDescent="0.35">
      <c r="A147" s="403"/>
      <c r="B147" s="414" t="s">
        <v>50</v>
      </c>
      <c r="C147" s="227" t="s">
        <v>58</v>
      </c>
      <c r="D147" s="228" t="s">
        <v>25</v>
      </c>
      <c r="E147" s="228" t="s">
        <v>32</v>
      </c>
      <c r="F147" s="229" t="s">
        <v>43</v>
      </c>
      <c r="G147" s="431" t="s">
        <v>51</v>
      </c>
      <c r="H147" s="242">
        <f>'прил10 (ведом 23-24)'!M460</f>
        <v>265.8</v>
      </c>
      <c r="I147" s="242">
        <f>'прил10 (ведом 23-24)'!N460</f>
        <v>266.7</v>
      </c>
    </row>
    <row r="148" spans="1:9" ht="18" x14ac:dyDescent="0.35">
      <c r="A148" s="403"/>
      <c r="B148" s="240" t="s">
        <v>52</v>
      </c>
      <c r="C148" s="227" t="s">
        <v>58</v>
      </c>
      <c r="D148" s="228" t="s">
        <v>25</v>
      </c>
      <c r="E148" s="228" t="s">
        <v>32</v>
      </c>
      <c r="F148" s="229" t="s">
        <v>43</v>
      </c>
      <c r="G148" s="41" t="s">
        <v>53</v>
      </c>
      <c r="H148" s="242">
        <f>'прил10 (ведом 23-24)'!M461</f>
        <v>4.3</v>
      </c>
      <c r="I148" s="242">
        <f>'прил10 (ведом 23-24)'!N461</f>
        <v>4.3</v>
      </c>
    </row>
    <row r="149" spans="1:9" ht="36" x14ac:dyDescent="0.35">
      <c r="A149" s="403"/>
      <c r="B149" s="414" t="s">
        <v>437</v>
      </c>
      <c r="C149" s="227" t="s">
        <v>58</v>
      </c>
      <c r="D149" s="228" t="s">
        <v>25</v>
      </c>
      <c r="E149" s="228" t="s">
        <v>32</v>
      </c>
      <c r="F149" s="229" t="s">
        <v>86</v>
      </c>
      <c r="G149" s="41"/>
      <c r="H149" s="242">
        <f>SUM(H150:H152)</f>
        <v>6270.9000000000005</v>
      </c>
      <c r="I149" s="242">
        <f>SUM(I150:I152)</f>
        <v>6926.9000000000005</v>
      </c>
    </row>
    <row r="150" spans="1:9" ht="90" x14ac:dyDescent="0.35">
      <c r="A150" s="403"/>
      <c r="B150" s="414" t="s">
        <v>44</v>
      </c>
      <c r="C150" s="227" t="s">
        <v>58</v>
      </c>
      <c r="D150" s="228" t="s">
        <v>25</v>
      </c>
      <c r="E150" s="228" t="s">
        <v>32</v>
      </c>
      <c r="F150" s="229" t="s">
        <v>86</v>
      </c>
      <c r="G150" s="431" t="s">
        <v>45</v>
      </c>
      <c r="H150" s="242">
        <f>'прил10 (ведом 23-24)'!M463</f>
        <v>6121.1</v>
      </c>
      <c r="I150" s="242">
        <f>'прил10 (ведом 23-24)'!N463</f>
        <v>6121.1</v>
      </c>
    </row>
    <row r="151" spans="1:9" ht="36" x14ac:dyDescent="0.35">
      <c r="A151" s="403"/>
      <c r="B151" s="240" t="s">
        <v>50</v>
      </c>
      <c r="C151" s="227" t="s">
        <v>58</v>
      </c>
      <c r="D151" s="228" t="s">
        <v>25</v>
      </c>
      <c r="E151" s="228" t="s">
        <v>32</v>
      </c>
      <c r="F151" s="229" t="s">
        <v>86</v>
      </c>
      <c r="G151" s="431" t="s">
        <v>51</v>
      </c>
      <c r="H151" s="242">
        <f>'прил10 (ведом 23-24)'!M464</f>
        <v>148.19999999999999</v>
      </c>
      <c r="I151" s="242">
        <f>'прил10 (ведом 23-24)'!N464</f>
        <v>804.2</v>
      </c>
    </row>
    <row r="152" spans="1:9" ht="18" x14ac:dyDescent="0.35">
      <c r="A152" s="403"/>
      <c r="B152" s="240" t="s">
        <v>52</v>
      </c>
      <c r="C152" s="227" t="s">
        <v>58</v>
      </c>
      <c r="D152" s="228" t="s">
        <v>25</v>
      </c>
      <c r="E152" s="228" t="s">
        <v>32</v>
      </c>
      <c r="F152" s="229" t="s">
        <v>86</v>
      </c>
      <c r="G152" s="41" t="s">
        <v>53</v>
      </c>
      <c r="H152" s="242">
        <f>'прил10 (ведом 23-24)'!M465</f>
        <v>1.6</v>
      </c>
      <c r="I152" s="242">
        <f>'прил10 (ведом 23-24)'!N465</f>
        <v>1.6</v>
      </c>
    </row>
    <row r="153" spans="1:9" ht="36" x14ac:dyDescent="0.35">
      <c r="A153" s="403"/>
      <c r="B153" s="240" t="s">
        <v>340</v>
      </c>
      <c r="C153" s="227" t="s">
        <v>58</v>
      </c>
      <c r="D153" s="228" t="s">
        <v>25</v>
      </c>
      <c r="E153" s="228" t="s">
        <v>34</v>
      </c>
      <c r="F153" s="229" t="s">
        <v>39</v>
      </c>
      <c r="G153" s="166"/>
      <c r="H153" s="242">
        <f>H154</f>
        <v>53.3</v>
      </c>
      <c r="I153" s="242">
        <f>I154</f>
        <v>53.3</v>
      </c>
    </row>
    <row r="154" spans="1:9" ht="54" x14ac:dyDescent="0.35">
      <c r="A154" s="403"/>
      <c r="B154" s="240" t="s">
        <v>341</v>
      </c>
      <c r="C154" s="227" t="s">
        <v>58</v>
      </c>
      <c r="D154" s="228" t="s">
        <v>25</v>
      </c>
      <c r="E154" s="228" t="s">
        <v>34</v>
      </c>
      <c r="F154" s="229" t="s">
        <v>100</v>
      </c>
      <c r="G154" s="166"/>
      <c r="H154" s="242">
        <f>H155</f>
        <v>53.3</v>
      </c>
      <c r="I154" s="242">
        <f>I155</f>
        <v>53.3</v>
      </c>
    </row>
    <row r="155" spans="1:9" ht="36" x14ac:dyDescent="0.35">
      <c r="A155" s="403"/>
      <c r="B155" s="240" t="s">
        <v>50</v>
      </c>
      <c r="C155" s="227" t="s">
        <v>58</v>
      </c>
      <c r="D155" s="228" t="s">
        <v>25</v>
      </c>
      <c r="E155" s="228" t="s">
        <v>34</v>
      </c>
      <c r="F155" s="229" t="s">
        <v>100</v>
      </c>
      <c r="G155" s="41" t="s">
        <v>51</v>
      </c>
      <c r="H155" s="242">
        <f>'прил10 (ведом 23-24)'!M413</f>
        <v>53.3</v>
      </c>
      <c r="I155" s="242">
        <f>'прил10 (ведом 23-24)'!N413</f>
        <v>53.3</v>
      </c>
    </row>
    <row r="156" spans="1:9" ht="18" x14ac:dyDescent="0.35">
      <c r="A156" s="403"/>
      <c r="B156" s="422"/>
      <c r="C156" s="599"/>
      <c r="D156" s="432"/>
      <c r="E156" s="345"/>
      <c r="F156" s="433"/>
      <c r="G156" s="264"/>
      <c r="H156" s="242"/>
      <c r="I156" s="242"/>
    </row>
    <row r="157" spans="1:9" s="413" customFormat="1" ht="52.2" x14ac:dyDescent="0.3">
      <c r="A157" s="423">
        <v>3</v>
      </c>
      <c r="B157" s="434" t="s">
        <v>212</v>
      </c>
      <c r="C157" s="424" t="s">
        <v>47</v>
      </c>
      <c r="D157" s="424" t="s">
        <v>37</v>
      </c>
      <c r="E157" s="424" t="s">
        <v>38</v>
      </c>
      <c r="F157" s="425" t="s">
        <v>39</v>
      </c>
      <c r="G157" s="412"/>
      <c r="H157" s="289">
        <f>H158+H169+H189</f>
        <v>44538.8</v>
      </c>
      <c r="I157" s="289">
        <f>I158+I169+I189</f>
        <v>30605.3</v>
      </c>
    </row>
    <row r="158" spans="1:9" s="413" customFormat="1" ht="25.5" customHeight="1" x14ac:dyDescent="0.35">
      <c r="A158" s="423"/>
      <c r="B158" s="243" t="s">
        <v>213</v>
      </c>
      <c r="C158" s="227" t="s">
        <v>47</v>
      </c>
      <c r="D158" s="228" t="s">
        <v>40</v>
      </c>
      <c r="E158" s="228" t="s">
        <v>38</v>
      </c>
      <c r="F158" s="229" t="s">
        <v>39</v>
      </c>
      <c r="G158" s="412"/>
      <c r="H158" s="242">
        <f>H159+H162+H166</f>
        <v>4544.5</v>
      </c>
      <c r="I158" s="242">
        <f>I159+I162+I166</f>
        <v>854.7</v>
      </c>
    </row>
    <row r="159" spans="1:9" s="413" customFormat="1" ht="18" x14ac:dyDescent="0.35">
      <c r="A159" s="423"/>
      <c r="B159" s="240" t="s">
        <v>265</v>
      </c>
      <c r="C159" s="227" t="s">
        <v>47</v>
      </c>
      <c r="D159" s="228" t="s">
        <v>40</v>
      </c>
      <c r="E159" s="228" t="s">
        <v>32</v>
      </c>
      <c r="F159" s="229" t="s">
        <v>39</v>
      </c>
      <c r="G159" s="41"/>
      <c r="H159" s="242">
        <f t="shared" ref="H159:I160" si="1">H160</f>
        <v>225</v>
      </c>
      <c r="I159" s="242">
        <f t="shared" si="1"/>
        <v>225</v>
      </c>
    </row>
    <row r="160" spans="1:9" s="413" customFormat="1" ht="36" x14ac:dyDescent="0.35">
      <c r="A160" s="423"/>
      <c r="B160" s="240" t="s">
        <v>266</v>
      </c>
      <c r="C160" s="227" t="s">
        <v>47</v>
      </c>
      <c r="D160" s="228" t="s">
        <v>40</v>
      </c>
      <c r="E160" s="228" t="s">
        <v>32</v>
      </c>
      <c r="F160" s="229" t="s">
        <v>267</v>
      </c>
      <c r="G160" s="41"/>
      <c r="H160" s="242">
        <f t="shared" si="1"/>
        <v>225</v>
      </c>
      <c r="I160" s="242">
        <f t="shared" si="1"/>
        <v>225</v>
      </c>
    </row>
    <row r="161" spans="1:9" s="413" customFormat="1" ht="27" customHeight="1" x14ac:dyDescent="0.35">
      <c r="A161" s="423"/>
      <c r="B161" s="240" t="s">
        <v>115</v>
      </c>
      <c r="C161" s="227" t="s">
        <v>47</v>
      </c>
      <c r="D161" s="228" t="s">
        <v>40</v>
      </c>
      <c r="E161" s="228" t="s">
        <v>32</v>
      </c>
      <c r="F161" s="229" t="s">
        <v>267</v>
      </c>
      <c r="G161" s="41" t="s">
        <v>116</v>
      </c>
      <c r="H161" s="242">
        <f>'прил10 (ведом 23-24)'!M481</f>
        <v>225</v>
      </c>
      <c r="I161" s="242">
        <f>'прил10 (ведом 23-24)'!N481</f>
        <v>225</v>
      </c>
    </row>
    <row r="162" spans="1:9" ht="54" x14ac:dyDescent="0.35">
      <c r="A162" s="403"/>
      <c r="B162" s="240" t="s">
        <v>280</v>
      </c>
      <c r="C162" s="227" t="s">
        <v>47</v>
      </c>
      <c r="D162" s="228" t="s">
        <v>40</v>
      </c>
      <c r="E162" s="228" t="s">
        <v>34</v>
      </c>
      <c r="F162" s="229" t="s">
        <v>39</v>
      </c>
      <c r="G162" s="41"/>
      <c r="H162" s="242">
        <f>H163</f>
        <v>629.70000000000005</v>
      </c>
      <c r="I162" s="242">
        <f>I163</f>
        <v>629.70000000000005</v>
      </c>
    </row>
    <row r="163" spans="1:9" ht="36" x14ac:dyDescent="0.35">
      <c r="A163" s="403"/>
      <c r="B163" s="240" t="s">
        <v>214</v>
      </c>
      <c r="C163" s="227" t="s">
        <v>47</v>
      </c>
      <c r="D163" s="228" t="s">
        <v>40</v>
      </c>
      <c r="E163" s="228" t="s">
        <v>34</v>
      </c>
      <c r="F163" s="229" t="s">
        <v>281</v>
      </c>
      <c r="G163" s="41"/>
      <c r="H163" s="242">
        <f>H164+H165</f>
        <v>629.70000000000005</v>
      </c>
      <c r="I163" s="242">
        <f>I164+I165</f>
        <v>629.70000000000005</v>
      </c>
    </row>
    <row r="164" spans="1:9" ht="90" x14ac:dyDescent="0.35">
      <c r="A164" s="403"/>
      <c r="B164" s="240" t="s">
        <v>44</v>
      </c>
      <c r="C164" s="227" t="s">
        <v>47</v>
      </c>
      <c r="D164" s="228" t="s">
        <v>40</v>
      </c>
      <c r="E164" s="228" t="s">
        <v>34</v>
      </c>
      <c r="F164" s="229" t="s">
        <v>281</v>
      </c>
      <c r="G164" s="41" t="s">
        <v>45</v>
      </c>
      <c r="H164" s="242">
        <f>'прил10 (ведом 23-24)'!M499</f>
        <v>561.70000000000005</v>
      </c>
      <c r="I164" s="242">
        <f>'прил10 (ведом 23-24)'!N499</f>
        <v>561.70000000000005</v>
      </c>
    </row>
    <row r="165" spans="1:9" ht="36" x14ac:dyDescent="0.35">
      <c r="A165" s="403"/>
      <c r="B165" s="240" t="s">
        <v>50</v>
      </c>
      <c r="C165" s="227" t="s">
        <v>47</v>
      </c>
      <c r="D165" s="228" t="s">
        <v>40</v>
      </c>
      <c r="E165" s="228" t="s">
        <v>34</v>
      </c>
      <c r="F165" s="229" t="s">
        <v>281</v>
      </c>
      <c r="G165" s="41" t="s">
        <v>51</v>
      </c>
      <c r="H165" s="242">
        <f>'прил10 (ведом 23-24)'!M500</f>
        <v>68</v>
      </c>
      <c r="I165" s="242">
        <f>'прил10 (ведом 23-24)'!N500</f>
        <v>68</v>
      </c>
    </row>
    <row r="166" spans="1:9" s="413" customFormat="1" ht="27" customHeight="1" x14ac:dyDescent="0.35">
      <c r="A166" s="423"/>
      <c r="B166" s="240" t="s">
        <v>463</v>
      </c>
      <c r="C166" s="227" t="s">
        <v>47</v>
      </c>
      <c r="D166" s="228" t="s">
        <v>40</v>
      </c>
      <c r="E166" s="228" t="s">
        <v>462</v>
      </c>
      <c r="F166" s="229" t="s">
        <v>39</v>
      </c>
      <c r="G166" s="41"/>
      <c r="H166" s="242">
        <f>H167</f>
        <v>3689.8</v>
      </c>
      <c r="I166" s="242">
        <f>I167</f>
        <v>0</v>
      </c>
    </row>
    <row r="167" spans="1:9" s="413" customFormat="1" ht="40.5" customHeight="1" x14ac:dyDescent="0.35">
      <c r="A167" s="423"/>
      <c r="B167" s="240" t="s">
        <v>464</v>
      </c>
      <c r="C167" s="227" t="s">
        <v>47</v>
      </c>
      <c r="D167" s="228" t="s">
        <v>40</v>
      </c>
      <c r="E167" s="228" t="s">
        <v>462</v>
      </c>
      <c r="F167" s="229" t="s">
        <v>474</v>
      </c>
      <c r="G167" s="41"/>
      <c r="H167" s="242">
        <f>H168</f>
        <v>3689.8</v>
      </c>
      <c r="I167" s="242">
        <f>I168</f>
        <v>0</v>
      </c>
    </row>
    <row r="168" spans="1:9" s="413" customFormat="1" ht="37.5" customHeight="1" x14ac:dyDescent="0.35">
      <c r="A168" s="423"/>
      <c r="B168" s="240" t="s">
        <v>50</v>
      </c>
      <c r="C168" s="227" t="s">
        <v>47</v>
      </c>
      <c r="D168" s="228" t="s">
        <v>40</v>
      </c>
      <c r="E168" s="228" t="s">
        <v>462</v>
      </c>
      <c r="F168" s="229" t="s">
        <v>474</v>
      </c>
      <c r="G168" s="41" t="s">
        <v>51</v>
      </c>
      <c r="H168" s="242">
        <f>'прил10 (ведом 23-24)'!M503</f>
        <v>3689.8</v>
      </c>
      <c r="I168" s="242">
        <f>'прил10 (ведом 23-24)'!N503</f>
        <v>0</v>
      </c>
    </row>
    <row r="169" spans="1:9" ht="23.25" customHeight="1" x14ac:dyDescent="0.35">
      <c r="A169" s="403"/>
      <c r="B169" s="414" t="s">
        <v>215</v>
      </c>
      <c r="C169" s="227" t="s">
        <v>47</v>
      </c>
      <c r="D169" s="228" t="s">
        <v>84</v>
      </c>
      <c r="E169" s="228" t="s">
        <v>38</v>
      </c>
      <c r="F169" s="229" t="s">
        <v>39</v>
      </c>
      <c r="G169" s="264"/>
      <c r="H169" s="242">
        <f>H170+H175+H186</f>
        <v>29739.999999999996</v>
      </c>
      <c r="I169" s="242">
        <f>I170+I175+I186</f>
        <v>29750.6</v>
      </c>
    </row>
    <row r="170" spans="1:9" ht="36" x14ac:dyDescent="0.35">
      <c r="A170" s="403"/>
      <c r="B170" s="414" t="s">
        <v>270</v>
      </c>
      <c r="C170" s="227" t="s">
        <v>47</v>
      </c>
      <c r="D170" s="228" t="s">
        <v>84</v>
      </c>
      <c r="E170" s="228" t="s">
        <v>32</v>
      </c>
      <c r="F170" s="229" t="s">
        <v>39</v>
      </c>
      <c r="G170" s="41"/>
      <c r="H170" s="242">
        <f>H171</f>
        <v>2486.9</v>
      </c>
      <c r="I170" s="242">
        <f>I171</f>
        <v>2487.9</v>
      </c>
    </row>
    <row r="171" spans="1:9" ht="36" x14ac:dyDescent="0.35">
      <c r="A171" s="403"/>
      <c r="B171" s="414" t="s">
        <v>42</v>
      </c>
      <c r="C171" s="227" t="s">
        <v>47</v>
      </c>
      <c r="D171" s="228" t="s">
        <v>84</v>
      </c>
      <c r="E171" s="228" t="s">
        <v>32</v>
      </c>
      <c r="F171" s="229" t="s">
        <v>43</v>
      </c>
      <c r="G171" s="41"/>
      <c r="H171" s="242">
        <f>SUM(H172:H174)</f>
        <v>2486.9</v>
      </c>
      <c r="I171" s="242">
        <f>SUM(I172:I174)</f>
        <v>2487.9</v>
      </c>
    </row>
    <row r="172" spans="1:9" ht="90" x14ac:dyDescent="0.35">
      <c r="A172" s="403"/>
      <c r="B172" s="414" t="s">
        <v>44</v>
      </c>
      <c r="C172" s="227" t="s">
        <v>47</v>
      </c>
      <c r="D172" s="228" t="s">
        <v>84</v>
      </c>
      <c r="E172" s="228" t="s">
        <v>32</v>
      </c>
      <c r="F172" s="229" t="s">
        <v>43</v>
      </c>
      <c r="G172" s="41" t="s">
        <v>45</v>
      </c>
      <c r="H172" s="242">
        <f>'прил10 (ведом 23-24)'!M509</f>
        <v>2442.4</v>
      </c>
      <c r="I172" s="242">
        <f>'прил10 (ведом 23-24)'!N509</f>
        <v>2442.4</v>
      </c>
    </row>
    <row r="173" spans="1:9" ht="36" x14ac:dyDescent="0.35">
      <c r="A173" s="403"/>
      <c r="B173" s="240" t="s">
        <v>50</v>
      </c>
      <c r="C173" s="227" t="s">
        <v>47</v>
      </c>
      <c r="D173" s="228" t="s">
        <v>84</v>
      </c>
      <c r="E173" s="228" t="s">
        <v>32</v>
      </c>
      <c r="F173" s="229" t="s">
        <v>43</v>
      </c>
      <c r="G173" s="41" t="s">
        <v>51</v>
      </c>
      <c r="H173" s="242">
        <f>'прил10 (ведом 23-24)'!M510</f>
        <v>42.6</v>
      </c>
      <c r="I173" s="242">
        <f>'прил10 (ведом 23-24)'!N510</f>
        <v>43.7</v>
      </c>
    </row>
    <row r="174" spans="1:9" ht="18" x14ac:dyDescent="0.35">
      <c r="A174" s="403"/>
      <c r="B174" s="240" t="s">
        <v>52</v>
      </c>
      <c r="C174" s="227" t="s">
        <v>47</v>
      </c>
      <c r="D174" s="228" t="s">
        <v>84</v>
      </c>
      <c r="E174" s="228" t="s">
        <v>32</v>
      </c>
      <c r="F174" s="229" t="s">
        <v>43</v>
      </c>
      <c r="G174" s="41" t="s">
        <v>53</v>
      </c>
      <c r="H174" s="242">
        <f>'прил10 (ведом 23-24)'!M511</f>
        <v>1.9</v>
      </c>
      <c r="I174" s="242">
        <f>'прил10 (ведом 23-24)'!N511</f>
        <v>1.8</v>
      </c>
    </row>
    <row r="175" spans="1:9" ht="18" x14ac:dyDescent="0.35">
      <c r="A175" s="403"/>
      <c r="B175" s="414" t="s">
        <v>350</v>
      </c>
      <c r="C175" s="227" t="s">
        <v>47</v>
      </c>
      <c r="D175" s="228" t="s">
        <v>84</v>
      </c>
      <c r="E175" s="228" t="s">
        <v>34</v>
      </c>
      <c r="F175" s="229" t="s">
        <v>39</v>
      </c>
      <c r="G175" s="41"/>
      <c r="H175" s="242">
        <f>H176+H180+H182+H184</f>
        <v>27217.499999999996</v>
      </c>
      <c r="I175" s="242">
        <f>I176+I180+I182+I184</f>
        <v>27227.1</v>
      </c>
    </row>
    <row r="176" spans="1:9" ht="36" x14ac:dyDescent="0.35">
      <c r="A176" s="403"/>
      <c r="B176" s="414" t="s">
        <v>437</v>
      </c>
      <c r="C176" s="227" t="s">
        <v>47</v>
      </c>
      <c r="D176" s="228" t="s">
        <v>84</v>
      </c>
      <c r="E176" s="228" t="s">
        <v>34</v>
      </c>
      <c r="F176" s="229" t="s">
        <v>86</v>
      </c>
      <c r="G176" s="41"/>
      <c r="H176" s="242">
        <f>SUM(H177:H179)</f>
        <v>21191.899999999998</v>
      </c>
      <c r="I176" s="242">
        <f>SUM(I177:I179)</f>
        <v>21201.5</v>
      </c>
    </row>
    <row r="177" spans="1:9" ht="90" x14ac:dyDescent="0.35">
      <c r="A177" s="403"/>
      <c r="B177" s="414" t="s">
        <v>44</v>
      </c>
      <c r="C177" s="227" t="s">
        <v>47</v>
      </c>
      <c r="D177" s="228" t="s">
        <v>84</v>
      </c>
      <c r="E177" s="228" t="s">
        <v>34</v>
      </c>
      <c r="F177" s="229" t="s">
        <v>86</v>
      </c>
      <c r="G177" s="41" t="s">
        <v>45</v>
      </c>
      <c r="H177" s="242">
        <f>'прил10 (ведом 23-24)'!M485</f>
        <v>17974.3</v>
      </c>
      <c r="I177" s="242">
        <f>'прил10 (ведом 23-24)'!N485</f>
        <v>17974.3</v>
      </c>
    </row>
    <row r="178" spans="1:9" ht="36" x14ac:dyDescent="0.35">
      <c r="A178" s="403"/>
      <c r="B178" s="414" t="s">
        <v>50</v>
      </c>
      <c r="C178" s="227" t="s">
        <v>47</v>
      </c>
      <c r="D178" s="228" t="s">
        <v>84</v>
      </c>
      <c r="E178" s="228" t="s">
        <v>34</v>
      </c>
      <c r="F178" s="229" t="s">
        <v>86</v>
      </c>
      <c r="G178" s="41" t="s">
        <v>51</v>
      </c>
      <c r="H178" s="242">
        <f>'прил10 (ведом 23-24)'!M486</f>
        <v>3160.8</v>
      </c>
      <c r="I178" s="242">
        <f>'прил10 (ведом 23-24)'!N486</f>
        <v>3172.4</v>
      </c>
    </row>
    <row r="179" spans="1:9" ht="18" x14ac:dyDescent="0.35">
      <c r="A179" s="403"/>
      <c r="B179" s="414" t="s">
        <v>52</v>
      </c>
      <c r="C179" s="227" t="s">
        <v>47</v>
      </c>
      <c r="D179" s="228" t="s">
        <v>84</v>
      </c>
      <c r="E179" s="228" t="s">
        <v>34</v>
      </c>
      <c r="F179" s="229" t="s">
        <v>86</v>
      </c>
      <c r="G179" s="41" t="s">
        <v>53</v>
      </c>
      <c r="H179" s="242">
        <f>'прил10 (ведом 23-24)'!M487</f>
        <v>56.8</v>
      </c>
      <c r="I179" s="242">
        <f>'прил10 (ведом 23-24)'!N487</f>
        <v>54.8</v>
      </c>
    </row>
    <row r="180" spans="1:9" ht="36" x14ac:dyDescent="0.35">
      <c r="A180" s="403"/>
      <c r="B180" s="240" t="s">
        <v>214</v>
      </c>
      <c r="C180" s="227" t="s">
        <v>47</v>
      </c>
      <c r="D180" s="228" t="s">
        <v>84</v>
      </c>
      <c r="E180" s="228" t="s">
        <v>34</v>
      </c>
      <c r="F180" s="229" t="s">
        <v>281</v>
      </c>
      <c r="G180" s="41"/>
      <c r="H180" s="242">
        <f>H181</f>
        <v>4110</v>
      </c>
      <c r="I180" s="242">
        <f>I181</f>
        <v>4110</v>
      </c>
    </row>
    <row r="181" spans="1:9" ht="36" x14ac:dyDescent="0.35">
      <c r="A181" s="403"/>
      <c r="B181" s="240" t="s">
        <v>50</v>
      </c>
      <c r="C181" s="227" t="s">
        <v>47</v>
      </c>
      <c r="D181" s="228" t="s">
        <v>84</v>
      </c>
      <c r="E181" s="228" t="s">
        <v>34</v>
      </c>
      <c r="F181" s="229" t="s">
        <v>281</v>
      </c>
      <c r="G181" s="41" t="s">
        <v>51</v>
      </c>
      <c r="H181" s="242">
        <f>'прил10 (ведом 23-24)'!M489</f>
        <v>4110</v>
      </c>
      <c r="I181" s="242">
        <f>'прил10 (ведом 23-24)'!N489</f>
        <v>4110</v>
      </c>
    </row>
    <row r="182" spans="1:9" ht="183.6" customHeight="1" x14ac:dyDescent="0.35">
      <c r="A182" s="403"/>
      <c r="B182" s="240" t="s">
        <v>414</v>
      </c>
      <c r="C182" s="227" t="s">
        <v>47</v>
      </c>
      <c r="D182" s="228" t="s">
        <v>84</v>
      </c>
      <c r="E182" s="228" t="s">
        <v>34</v>
      </c>
      <c r="F182" s="229" t="s">
        <v>389</v>
      </c>
      <c r="G182" s="41"/>
      <c r="H182" s="242">
        <f>H183</f>
        <v>250</v>
      </c>
      <c r="I182" s="242">
        <f>I183</f>
        <v>250</v>
      </c>
    </row>
    <row r="183" spans="1:9" ht="90" x14ac:dyDescent="0.35">
      <c r="A183" s="403"/>
      <c r="B183" s="240" t="s">
        <v>44</v>
      </c>
      <c r="C183" s="227" t="s">
        <v>47</v>
      </c>
      <c r="D183" s="228" t="s">
        <v>84</v>
      </c>
      <c r="E183" s="228" t="s">
        <v>34</v>
      </c>
      <c r="F183" s="229" t="s">
        <v>389</v>
      </c>
      <c r="G183" s="41" t="s">
        <v>45</v>
      </c>
      <c r="H183" s="242">
        <f>'прил10 (ведом 23-24)'!M491</f>
        <v>250</v>
      </c>
      <c r="I183" s="242">
        <f>'прил10 (ведом 23-24)'!N491</f>
        <v>250</v>
      </c>
    </row>
    <row r="184" spans="1:9" ht="54" x14ac:dyDescent="0.35">
      <c r="A184" s="403"/>
      <c r="B184" s="240" t="s">
        <v>416</v>
      </c>
      <c r="C184" s="227" t="s">
        <v>47</v>
      </c>
      <c r="D184" s="228" t="s">
        <v>84</v>
      </c>
      <c r="E184" s="228" t="s">
        <v>34</v>
      </c>
      <c r="F184" s="229" t="s">
        <v>398</v>
      </c>
      <c r="G184" s="41"/>
      <c r="H184" s="242">
        <f>H185</f>
        <v>1665.6</v>
      </c>
      <c r="I184" s="242">
        <f>I185</f>
        <v>1665.6</v>
      </c>
    </row>
    <row r="185" spans="1:9" ht="90" x14ac:dyDescent="0.35">
      <c r="A185" s="403"/>
      <c r="B185" s="240" t="s">
        <v>44</v>
      </c>
      <c r="C185" s="227" t="s">
        <v>47</v>
      </c>
      <c r="D185" s="228" t="s">
        <v>84</v>
      </c>
      <c r="E185" s="228" t="s">
        <v>34</v>
      </c>
      <c r="F185" s="229" t="s">
        <v>398</v>
      </c>
      <c r="G185" s="41" t="s">
        <v>45</v>
      </c>
      <c r="H185" s="242">
        <f>'прил10 (ведом 23-24)'!M493</f>
        <v>1665.6</v>
      </c>
      <c r="I185" s="242">
        <f>'прил10 (ведом 23-24)'!N493</f>
        <v>1665.6</v>
      </c>
    </row>
    <row r="186" spans="1:9" ht="36" x14ac:dyDescent="0.35">
      <c r="A186" s="403"/>
      <c r="B186" s="240" t="s">
        <v>340</v>
      </c>
      <c r="C186" s="227" t="s">
        <v>47</v>
      </c>
      <c r="D186" s="228" t="s">
        <v>84</v>
      </c>
      <c r="E186" s="228" t="s">
        <v>58</v>
      </c>
      <c r="F186" s="229" t="s">
        <v>39</v>
      </c>
      <c r="G186" s="41"/>
      <c r="H186" s="242">
        <f>H187</f>
        <v>35.6</v>
      </c>
      <c r="I186" s="242">
        <f>I187</f>
        <v>35.6</v>
      </c>
    </row>
    <row r="187" spans="1:9" ht="54" x14ac:dyDescent="0.35">
      <c r="A187" s="403"/>
      <c r="B187" s="240" t="s">
        <v>341</v>
      </c>
      <c r="C187" s="227" t="s">
        <v>47</v>
      </c>
      <c r="D187" s="228" t="s">
        <v>84</v>
      </c>
      <c r="E187" s="228" t="s">
        <v>58</v>
      </c>
      <c r="F187" s="229" t="s">
        <v>100</v>
      </c>
      <c r="G187" s="41"/>
      <c r="H187" s="242">
        <f>H188</f>
        <v>35.6</v>
      </c>
      <c r="I187" s="242">
        <f>I188</f>
        <v>35.6</v>
      </c>
    </row>
    <row r="188" spans="1:9" ht="36" x14ac:dyDescent="0.35">
      <c r="A188" s="403"/>
      <c r="B188" s="243" t="s">
        <v>50</v>
      </c>
      <c r="C188" s="227" t="s">
        <v>47</v>
      </c>
      <c r="D188" s="228" t="s">
        <v>84</v>
      </c>
      <c r="E188" s="228" t="s">
        <v>58</v>
      </c>
      <c r="F188" s="229" t="s">
        <v>100</v>
      </c>
      <c r="G188" s="41" t="s">
        <v>51</v>
      </c>
      <c r="H188" s="242">
        <f>'прил10 (ведом 23-24)'!M474</f>
        <v>35.6</v>
      </c>
      <c r="I188" s="242">
        <f>'прил10 (ведом 23-24)'!N474</f>
        <v>35.6</v>
      </c>
    </row>
    <row r="189" spans="1:9" ht="18" x14ac:dyDescent="0.35">
      <c r="A189" s="403"/>
      <c r="B189" s="435" t="s">
        <v>328</v>
      </c>
      <c r="C189" s="415" t="s">
        <v>47</v>
      </c>
      <c r="D189" s="416" t="s">
        <v>26</v>
      </c>
      <c r="E189" s="416" t="s">
        <v>38</v>
      </c>
      <c r="F189" s="417" t="s">
        <v>39</v>
      </c>
      <c r="G189" s="418"/>
      <c r="H189" s="242">
        <f t="shared" ref="H189:I191" si="2">H190</f>
        <v>10254.300000000001</v>
      </c>
      <c r="I189" s="242">
        <f t="shared" si="2"/>
        <v>0</v>
      </c>
    </row>
    <row r="190" spans="1:9" ht="54" x14ac:dyDescent="0.35">
      <c r="A190" s="403"/>
      <c r="B190" s="435" t="s">
        <v>399</v>
      </c>
      <c r="C190" s="415" t="s">
        <v>47</v>
      </c>
      <c r="D190" s="416" t="s">
        <v>26</v>
      </c>
      <c r="E190" s="416" t="s">
        <v>58</v>
      </c>
      <c r="F190" s="417" t="s">
        <v>39</v>
      </c>
      <c r="G190" s="418"/>
      <c r="H190" s="242">
        <f t="shared" si="2"/>
        <v>10254.300000000001</v>
      </c>
      <c r="I190" s="242">
        <f t="shared" si="2"/>
        <v>0</v>
      </c>
    </row>
    <row r="191" spans="1:9" ht="36" x14ac:dyDescent="0.35">
      <c r="A191" s="403"/>
      <c r="B191" s="435" t="s">
        <v>214</v>
      </c>
      <c r="C191" s="415" t="s">
        <v>47</v>
      </c>
      <c r="D191" s="416" t="s">
        <v>26</v>
      </c>
      <c r="E191" s="416" t="s">
        <v>58</v>
      </c>
      <c r="F191" s="417" t="s">
        <v>281</v>
      </c>
      <c r="G191" s="418"/>
      <c r="H191" s="242">
        <f t="shared" si="2"/>
        <v>10254.300000000001</v>
      </c>
      <c r="I191" s="242">
        <f t="shared" si="2"/>
        <v>0</v>
      </c>
    </row>
    <row r="192" spans="1:9" ht="36" x14ac:dyDescent="0.35">
      <c r="A192" s="403"/>
      <c r="B192" s="435" t="s">
        <v>198</v>
      </c>
      <c r="C192" s="415" t="s">
        <v>47</v>
      </c>
      <c r="D192" s="416" t="s">
        <v>26</v>
      </c>
      <c r="E192" s="416" t="s">
        <v>58</v>
      </c>
      <c r="F192" s="417" t="s">
        <v>281</v>
      </c>
      <c r="G192" s="436" t="s">
        <v>199</v>
      </c>
      <c r="H192" s="242">
        <f>'прил10 (ведом 23-24)'!M269</f>
        <v>10254.300000000001</v>
      </c>
      <c r="I192" s="242">
        <f>'прил10 (ведом 23-24)'!N269</f>
        <v>0</v>
      </c>
    </row>
    <row r="193" spans="1:9" ht="18" x14ac:dyDescent="0.35">
      <c r="A193" s="403"/>
      <c r="B193" s="422"/>
      <c r="C193" s="598"/>
      <c r="D193" s="599"/>
      <c r="E193" s="599"/>
      <c r="F193" s="600"/>
      <c r="G193" s="264"/>
      <c r="H193" s="242"/>
      <c r="I193" s="242"/>
    </row>
    <row r="194" spans="1:9" s="413" customFormat="1" ht="52.2" x14ac:dyDescent="0.3">
      <c r="A194" s="423">
        <v>4</v>
      </c>
      <c r="B194" s="339" t="s">
        <v>216</v>
      </c>
      <c r="C194" s="410" t="s">
        <v>60</v>
      </c>
      <c r="D194" s="410" t="s">
        <v>37</v>
      </c>
      <c r="E194" s="410" t="s">
        <v>38</v>
      </c>
      <c r="F194" s="411" t="s">
        <v>39</v>
      </c>
      <c r="G194" s="412"/>
      <c r="H194" s="289">
        <f>H195+H201</f>
        <v>6956.4</v>
      </c>
      <c r="I194" s="289">
        <f>I195+I201</f>
        <v>6961.9</v>
      </c>
    </row>
    <row r="195" spans="1:9" s="413" customFormat="1" ht="18" x14ac:dyDescent="0.35">
      <c r="A195" s="403"/>
      <c r="B195" s="414" t="s">
        <v>217</v>
      </c>
      <c r="C195" s="227" t="s">
        <v>60</v>
      </c>
      <c r="D195" s="228" t="s">
        <v>40</v>
      </c>
      <c r="E195" s="228" t="s">
        <v>38</v>
      </c>
      <c r="F195" s="229" t="s">
        <v>39</v>
      </c>
      <c r="G195" s="264"/>
      <c r="H195" s="242">
        <f t="shared" ref="H195:I196" si="3">H196</f>
        <v>3771.5999999999995</v>
      </c>
      <c r="I195" s="242">
        <f t="shared" si="3"/>
        <v>3771.5999999999995</v>
      </c>
    </row>
    <row r="196" spans="1:9" s="413" customFormat="1" ht="72" x14ac:dyDescent="0.35">
      <c r="A196" s="403"/>
      <c r="B196" s="414" t="s">
        <v>276</v>
      </c>
      <c r="C196" s="227" t="s">
        <v>60</v>
      </c>
      <c r="D196" s="228" t="s">
        <v>40</v>
      </c>
      <c r="E196" s="228" t="s">
        <v>32</v>
      </c>
      <c r="F196" s="229" t="s">
        <v>39</v>
      </c>
      <c r="G196" s="41"/>
      <c r="H196" s="242">
        <f t="shared" si="3"/>
        <v>3771.5999999999995</v>
      </c>
      <c r="I196" s="242">
        <f t="shared" si="3"/>
        <v>3771.5999999999995</v>
      </c>
    </row>
    <row r="197" spans="1:9" ht="36" x14ac:dyDescent="0.35">
      <c r="A197" s="403"/>
      <c r="B197" s="414" t="s">
        <v>437</v>
      </c>
      <c r="C197" s="227" t="s">
        <v>60</v>
      </c>
      <c r="D197" s="228" t="s">
        <v>40</v>
      </c>
      <c r="E197" s="228" t="s">
        <v>32</v>
      </c>
      <c r="F197" s="229" t="s">
        <v>86</v>
      </c>
      <c r="G197" s="41"/>
      <c r="H197" s="242">
        <f>SUM(H198:H200)</f>
        <v>3771.5999999999995</v>
      </c>
      <c r="I197" s="242">
        <f>SUM(I198:I200)</f>
        <v>3771.5999999999995</v>
      </c>
    </row>
    <row r="198" spans="1:9" ht="90" x14ac:dyDescent="0.35">
      <c r="A198" s="403"/>
      <c r="B198" s="414" t="s">
        <v>44</v>
      </c>
      <c r="C198" s="227" t="s">
        <v>60</v>
      </c>
      <c r="D198" s="228" t="s">
        <v>40</v>
      </c>
      <c r="E198" s="228" t="s">
        <v>32</v>
      </c>
      <c r="F198" s="229" t="s">
        <v>86</v>
      </c>
      <c r="G198" s="41" t="s">
        <v>45</v>
      </c>
      <c r="H198" s="242">
        <f>'прил10 (ведом 23-24)'!M533</f>
        <v>3374.2</v>
      </c>
      <c r="I198" s="242">
        <f>'прил10 (ведом 23-24)'!N533</f>
        <v>3374.2</v>
      </c>
    </row>
    <row r="199" spans="1:9" ht="36" x14ac:dyDescent="0.35">
      <c r="A199" s="403"/>
      <c r="B199" s="240" t="s">
        <v>50</v>
      </c>
      <c r="C199" s="227" t="s">
        <v>60</v>
      </c>
      <c r="D199" s="228" t="s">
        <v>40</v>
      </c>
      <c r="E199" s="228" t="s">
        <v>32</v>
      </c>
      <c r="F199" s="229" t="s">
        <v>86</v>
      </c>
      <c r="G199" s="41" t="s">
        <v>51</v>
      </c>
      <c r="H199" s="242">
        <f>'прил10 (ведом 23-24)'!M534</f>
        <v>394.7</v>
      </c>
      <c r="I199" s="242">
        <f>'прил10 (ведом 23-24)'!N534</f>
        <v>394.7</v>
      </c>
    </row>
    <row r="200" spans="1:9" ht="18" x14ac:dyDescent="0.35">
      <c r="A200" s="403"/>
      <c r="B200" s="240" t="s">
        <v>52</v>
      </c>
      <c r="C200" s="227" t="s">
        <v>60</v>
      </c>
      <c r="D200" s="228" t="s">
        <v>40</v>
      </c>
      <c r="E200" s="228" t="s">
        <v>32</v>
      </c>
      <c r="F200" s="229" t="s">
        <v>86</v>
      </c>
      <c r="G200" s="41" t="s">
        <v>53</v>
      </c>
      <c r="H200" s="242">
        <f>'прил10 (ведом 23-24)'!M535</f>
        <v>2.7</v>
      </c>
      <c r="I200" s="242">
        <f>'прил10 (ведом 23-24)'!N535</f>
        <v>2.7</v>
      </c>
    </row>
    <row r="201" spans="1:9" s="413" customFormat="1" ht="22.5" customHeight="1" x14ac:dyDescent="0.35">
      <c r="A201" s="403"/>
      <c r="B201" s="414" t="s">
        <v>215</v>
      </c>
      <c r="C201" s="227" t="s">
        <v>60</v>
      </c>
      <c r="D201" s="228" t="s">
        <v>84</v>
      </c>
      <c r="E201" s="228" t="s">
        <v>38</v>
      </c>
      <c r="F201" s="229" t="s">
        <v>39</v>
      </c>
      <c r="G201" s="41"/>
      <c r="H201" s="242">
        <f>H202+H207+H210+H213</f>
        <v>3184.8</v>
      </c>
      <c r="I201" s="242">
        <f>I202+I207+I210+I213</f>
        <v>3190.2999999999997</v>
      </c>
    </row>
    <row r="202" spans="1:9" s="413" customFormat="1" ht="36" x14ac:dyDescent="0.35">
      <c r="A202" s="403"/>
      <c r="B202" s="414" t="s">
        <v>270</v>
      </c>
      <c r="C202" s="227" t="s">
        <v>60</v>
      </c>
      <c r="D202" s="228" t="s">
        <v>84</v>
      </c>
      <c r="E202" s="228" t="s">
        <v>32</v>
      </c>
      <c r="F202" s="229" t="s">
        <v>39</v>
      </c>
      <c r="G202" s="41"/>
      <c r="H202" s="242">
        <f>H203</f>
        <v>3033.9</v>
      </c>
      <c r="I202" s="242">
        <f>I203</f>
        <v>3039.3999999999996</v>
      </c>
    </row>
    <row r="203" spans="1:9" s="413" customFormat="1" ht="36" x14ac:dyDescent="0.35">
      <c r="A203" s="403"/>
      <c r="B203" s="414" t="s">
        <v>42</v>
      </c>
      <c r="C203" s="227" t="s">
        <v>60</v>
      </c>
      <c r="D203" s="228" t="s">
        <v>84</v>
      </c>
      <c r="E203" s="228" t="s">
        <v>32</v>
      </c>
      <c r="F203" s="229" t="s">
        <v>43</v>
      </c>
      <c r="G203" s="41"/>
      <c r="H203" s="242">
        <f>SUM(H204:H206)</f>
        <v>3033.9</v>
      </c>
      <c r="I203" s="242">
        <f>SUM(I204:I206)</f>
        <v>3039.3999999999996</v>
      </c>
    </row>
    <row r="204" spans="1:9" s="413" customFormat="1" ht="90" x14ac:dyDescent="0.35">
      <c r="A204" s="403"/>
      <c r="B204" s="414" t="s">
        <v>44</v>
      </c>
      <c r="C204" s="227" t="s">
        <v>60</v>
      </c>
      <c r="D204" s="228" t="s">
        <v>84</v>
      </c>
      <c r="E204" s="228" t="s">
        <v>32</v>
      </c>
      <c r="F204" s="229" t="s">
        <v>43</v>
      </c>
      <c r="G204" s="41" t="s">
        <v>45</v>
      </c>
      <c r="H204" s="242">
        <f>'прил10 (ведом 23-24)'!M541</f>
        <v>2735.5</v>
      </c>
      <c r="I204" s="242">
        <f>'прил10 (ведом 23-24)'!N541</f>
        <v>2735.5</v>
      </c>
    </row>
    <row r="205" spans="1:9" ht="36" x14ac:dyDescent="0.35">
      <c r="A205" s="403"/>
      <c r="B205" s="414" t="s">
        <v>50</v>
      </c>
      <c r="C205" s="227" t="s">
        <v>60</v>
      </c>
      <c r="D205" s="228" t="s">
        <v>84</v>
      </c>
      <c r="E205" s="228" t="s">
        <v>32</v>
      </c>
      <c r="F205" s="229" t="s">
        <v>43</v>
      </c>
      <c r="G205" s="41" t="s">
        <v>51</v>
      </c>
      <c r="H205" s="242">
        <f>'прил10 (ведом 23-24)'!M542</f>
        <v>297.10000000000002</v>
      </c>
      <c r="I205" s="242">
        <f>'прил10 (ведом 23-24)'!N542</f>
        <v>302.7</v>
      </c>
    </row>
    <row r="206" spans="1:9" ht="18" x14ac:dyDescent="0.35">
      <c r="A206" s="403"/>
      <c r="B206" s="414" t="s">
        <v>52</v>
      </c>
      <c r="C206" s="227" t="s">
        <v>60</v>
      </c>
      <c r="D206" s="228" t="s">
        <v>84</v>
      </c>
      <c r="E206" s="228" t="s">
        <v>32</v>
      </c>
      <c r="F206" s="229" t="s">
        <v>43</v>
      </c>
      <c r="G206" s="41" t="s">
        <v>53</v>
      </c>
      <c r="H206" s="242">
        <f>'прил10 (ведом 23-24)'!M543</f>
        <v>1.3</v>
      </c>
      <c r="I206" s="242">
        <f>'прил10 (ведом 23-24)'!N543</f>
        <v>1.2</v>
      </c>
    </row>
    <row r="207" spans="1:9" ht="36" x14ac:dyDescent="0.35">
      <c r="A207" s="403"/>
      <c r="B207" s="437" t="s">
        <v>340</v>
      </c>
      <c r="C207" s="228" t="s">
        <v>60</v>
      </c>
      <c r="D207" s="228" t="s">
        <v>84</v>
      </c>
      <c r="E207" s="228" t="s">
        <v>34</v>
      </c>
      <c r="F207" s="229" t="s">
        <v>39</v>
      </c>
      <c r="G207" s="41"/>
      <c r="H207" s="242">
        <f>H208</f>
        <v>93.6</v>
      </c>
      <c r="I207" s="242">
        <f>I208</f>
        <v>93.6</v>
      </c>
    </row>
    <row r="208" spans="1:9" ht="54" x14ac:dyDescent="0.35">
      <c r="A208" s="403"/>
      <c r="B208" s="437" t="s">
        <v>341</v>
      </c>
      <c r="C208" s="227" t="s">
        <v>60</v>
      </c>
      <c r="D208" s="228" t="s">
        <v>84</v>
      </c>
      <c r="E208" s="228" t="s">
        <v>34</v>
      </c>
      <c r="F208" s="229" t="s">
        <v>100</v>
      </c>
      <c r="G208" s="41"/>
      <c r="H208" s="242">
        <f>H209</f>
        <v>93.6</v>
      </c>
      <c r="I208" s="242">
        <f>I209</f>
        <v>93.6</v>
      </c>
    </row>
    <row r="209" spans="1:9" ht="36" x14ac:dyDescent="0.35">
      <c r="A209" s="403"/>
      <c r="B209" s="437" t="s">
        <v>50</v>
      </c>
      <c r="C209" s="227" t="s">
        <v>60</v>
      </c>
      <c r="D209" s="228" t="s">
        <v>84</v>
      </c>
      <c r="E209" s="228" t="s">
        <v>34</v>
      </c>
      <c r="F209" s="229" t="s">
        <v>100</v>
      </c>
      <c r="G209" s="41" t="s">
        <v>51</v>
      </c>
      <c r="H209" s="242">
        <f>'прил10 (ведом 23-24)'!M520</f>
        <v>93.6</v>
      </c>
      <c r="I209" s="242">
        <f>'прил10 (ведом 23-24)'!N520</f>
        <v>93.6</v>
      </c>
    </row>
    <row r="210" spans="1:9" ht="36" x14ac:dyDescent="0.35">
      <c r="A210" s="403"/>
      <c r="B210" s="240" t="s">
        <v>441</v>
      </c>
      <c r="C210" s="228" t="s">
        <v>60</v>
      </c>
      <c r="D210" s="228" t="s">
        <v>84</v>
      </c>
      <c r="E210" s="228" t="s">
        <v>58</v>
      </c>
      <c r="F210" s="229" t="s">
        <v>39</v>
      </c>
      <c r="G210" s="41"/>
      <c r="H210" s="242">
        <f>H211</f>
        <v>14.8</v>
      </c>
      <c r="I210" s="242">
        <f>I211</f>
        <v>14.8</v>
      </c>
    </row>
    <row r="211" spans="1:9" ht="18" x14ac:dyDescent="0.35">
      <c r="A211" s="403"/>
      <c r="B211" s="240" t="s">
        <v>439</v>
      </c>
      <c r="C211" s="228" t="s">
        <v>60</v>
      </c>
      <c r="D211" s="228" t="s">
        <v>84</v>
      </c>
      <c r="E211" s="228" t="s">
        <v>58</v>
      </c>
      <c r="F211" s="229" t="s">
        <v>440</v>
      </c>
      <c r="G211" s="41"/>
      <c r="H211" s="242">
        <f>H212</f>
        <v>14.8</v>
      </c>
      <c r="I211" s="242">
        <f>I212</f>
        <v>14.8</v>
      </c>
    </row>
    <row r="212" spans="1:9" ht="36" x14ac:dyDescent="0.35">
      <c r="A212" s="403"/>
      <c r="B212" s="437" t="s">
        <v>50</v>
      </c>
      <c r="C212" s="228" t="s">
        <v>60</v>
      </c>
      <c r="D212" s="228" t="s">
        <v>84</v>
      </c>
      <c r="E212" s="228" t="s">
        <v>58</v>
      </c>
      <c r="F212" s="229" t="s">
        <v>440</v>
      </c>
      <c r="G212" s="41" t="s">
        <v>51</v>
      </c>
      <c r="H212" s="242">
        <f>'прил10 (ведом 23-24)'!M523</f>
        <v>14.8</v>
      </c>
      <c r="I212" s="242">
        <f>'прил10 (ведом 23-24)'!N523</f>
        <v>14.8</v>
      </c>
    </row>
    <row r="213" spans="1:9" ht="36" x14ac:dyDescent="0.35">
      <c r="A213" s="403"/>
      <c r="B213" s="437" t="s">
        <v>445</v>
      </c>
      <c r="C213" s="228" t="s">
        <v>60</v>
      </c>
      <c r="D213" s="228" t="s">
        <v>84</v>
      </c>
      <c r="E213" s="228" t="s">
        <v>47</v>
      </c>
      <c r="F213" s="600" t="s">
        <v>39</v>
      </c>
      <c r="G213" s="264"/>
      <c r="H213" s="242">
        <f>H214</f>
        <v>42.5</v>
      </c>
      <c r="I213" s="242">
        <f>I214</f>
        <v>42.5</v>
      </c>
    </row>
    <row r="214" spans="1:9" ht="36" x14ac:dyDescent="0.35">
      <c r="A214" s="403"/>
      <c r="B214" s="438" t="s">
        <v>122</v>
      </c>
      <c r="C214" s="228" t="s">
        <v>60</v>
      </c>
      <c r="D214" s="228" t="s">
        <v>84</v>
      </c>
      <c r="E214" s="228" t="s">
        <v>47</v>
      </c>
      <c r="F214" s="439" t="s">
        <v>85</v>
      </c>
      <c r="G214" s="264"/>
      <c r="H214" s="242">
        <f>H215</f>
        <v>42.5</v>
      </c>
      <c r="I214" s="242">
        <f>I215</f>
        <v>42.5</v>
      </c>
    </row>
    <row r="215" spans="1:9" ht="36" x14ac:dyDescent="0.35">
      <c r="A215" s="403"/>
      <c r="B215" s="437" t="s">
        <v>50</v>
      </c>
      <c r="C215" s="228" t="s">
        <v>60</v>
      </c>
      <c r="D215" s="228" t="s">
        <v>84</v>
      </c>
      <c r="E215" s="228" t="s">
        <v>47</v>
      </c>
      <c r="F215" s="600" t="s">
        <v>85</v>
      </c>
      <c r="G215" s="264" t="s">
        <v>51</v>
      </c>
      <c r="H215" s="242">
        <f>'прил10 (ведом 23-24)'!M526</f>
        <v>42.5</v>
      </c>
      <c r="I215" s="242">
        <f>'прил10 (ведом 23-24)'!N526</f>
        <v>42.5</v>
      </c>
    </row>
    <row r="216" spans="1:9" ht="18" x14ac:dyDescent="0.35">
      <c r="A216" s="403"/>
      <c r="B216" s="414"/>
      <c r="C216" s="228"/>
      <c r="D216" s="228"/>
      <c r="E216" s="228"/>
      <c r="F216" s="229"/>
      <c r="G216" s="41"/>
      <c r="H216" s="242"/>
      <c r="I216" s="242"/>
    </row>
    <row r="217" spans="1:9" s="413" customFormat="1" ht="52.2" x14ac:dyDescent="0.3">
      <c r="A217" s="423">
        <v>5</v>
      </c>
      <c r="B217" s="339" t="s">
        <v>75</v>
      </c>
      <c r="C217" s="424" t="s">
        <v>76</v>
      </c>
      <c r="D217" s="424" t="s">
        <v>37</v>
      </c>
      <c r="E217" s="424" t="s">
        <v>38</v>
      </c>
      <c r="F217" s="425" t="s">
        <v>39</v>
      </c>
      <c r="G217" s="412"/>
      <c r="H217" s="289">
        <f>H234+H218+H224+H240</f>
        <v>13058</v>
      </c>
      <c r="I217" s="289">
        <f>I234+I218+I224+I240</f>
        <v>11858.499999999998</v>
      </c>
    </row>
    <row r="218" spans="1:9" ht="54" x14ac:dyDescent="0.35">
      <c r="A218" s="403"/>
      <c r="B218" s="426" t="s">
        <v>77</v>
      </c>
      <c r="C218" s="227" t="s">
        <v>76</v>
      </c>
      <c r="D218" s="228" t="s">
        <v>40</v>
      </c>
      <c r="E218" s="228" t="s">
        <v>38</v>
      </c>
      <c r="F218" s="229" t="s">
        <v>39</v>
      </c>
      <c r="G218" s="264"/>
      <c r="H218" s="242">
        <f t="shared" ref="H218:I218" si="4">H219</f>
        <v>362.29999999999995</v>
      </c>
      <c r="I218" s="242">
        <f t="shared" si="4"/>
        <v>362.29999999999995</v>
      </c>
    </row>
    <row r="219" spans="1:9" ht="72" x14ac:dyDescent="0.35">
      <c r="A219" s="403"/>
      <c r="B219" s="414" t="s">
        <v>78</v>
      </c>
      <c r="C219" s="227" t="s">
        <v>76</v>
      </c>
      <c r="D219" s="228" t="s">
        <v>40</v>
      </c>
      <c r="E219" s="228" t="s">
        <v>32</v>
      </c>
      <c r="F219" s="229" t="s">
        <v>39</v>
      </c>
      <c r="G219" s="41"/>
      <c r="H219" s="242">
        <f>H220+H222</f>
        <v>362.29999999999995</v>
      </c>
      <c r="I219" s="242">
        <f>I220+I222</f>
        <v>362.29999999999995</v>
      </c>
    </row>
    <row r="220" spans="1:9" ht="36" x14ac:dyDescent="0.35">
      <c r="A220" s="403"/>
      <c r="B220" s="243" t="s">
        <v>428</v>
      </c>
      <c r="C220" s="227" t="s">
        <v>76</v>
      </c>
      <c r="D220" s="228" t="s">
        <v>40</v>
      </c>
      <c r="E220" s="228" t="s">
        <v>32</v>
      </c>
      <c r="F220" s="229" t="s">
        <v>79</v>
      </c>
      <c r="G220" s="41"/>
      <c r="H220" s="242">
        <f>H221</f>
        <v>298.39999999999998</v>
      </c>
      <c r="I220" s="242">
        <f>I221</f>
        <v>298.39999999999998</v>
      </c>
    </row>
    <row r="221" spans="1:9" ht="36" x14ac:dyDescent="0.35">
      <c r="A221" s="403"/>
      <c r="B221" s="240" t="s">
        <v>50</v>
      </c>
      <c r="C221" s="227" t="s">
        <v>76</v>
      </c>
      <c r="D221" s="228" t="s">
        <v>40</v>
      </c>
      <c r="E221" s="228" t="s">
        <v>32</v>
      </c>
      <c r="F221" s="229" t="s">
        <v>79</v>
      </c>
      <c r="G221" s="41" t="s">
        <v>51</v>
      </c>
      <c r="H221" s="242">
        <f>'прил10 (ведом 23-24)'!M89</f>
        <v>298.39999999999998</v>
      </c>
      <c r="I221" s="242">
        <f>'прил10 (ведом 23-24)'!N89</f>
        <v>298.39999999999998</v>
      </c>
    </row>
    <row r="222" spans="1:9" ht="42" customHeight="1" x14ac:dyDescent="0.35">
      <c r="A222" s="403"/>
      <c r="B222" s="240" t="s">
        <v>80</v>
      </c>
      <c r="C222" s="227" t="s">
        <v>76</v>
      </c>
      <c r="D222" s="228" t="s">
        <v>40</v>
      </c>
      <c r="E222" s="228" t="s">
        <v>32</v>
      </c>
      <c r="F222" s="229" t="s">
        <v>81</v>
      </c>
      <c r="G222" s="41"/>
      <c r="H222" s="242">
        <f>H223</f>
        <v>63.9</v>
      </c>
      <c r="I222" s="242">
        <f>I223</f>
        <v>63.9</v>
      </c>
    </row>
    <row r="223" spans="1:9" ht="36" x14ac:dyDescent="0.35">
      <c r="A223" s="403"/>
      <c r="B223" s="240" t="s">
        <v>50</v>
      </c>
      <c r="C223" s="227" t="s">
        <v>76</v>
      </c>
      <c r="D223" s="228" t="s">
        <v>40</v>
      </c>
      <c r="E223" s="228" t="s">
        <v>32</v>
      </c>
      <c r="F223" s="229" t="s">
        <v>81</v>
      </c>
      <c r="G223" s="41" t="s">
        <v>51</v>
      </c>
      <c r="H223" s="242">
        <f>'прил10 (ведом 23-24)'!M91</f>
        <v>63.9</v>
      </c>
      <c r="I223" s="242">
        <f>'прил10 (ведом 23-24)'!N91</f>
        <v>63.9</v>
      </c>
    </row>
    <row r="224" spans="1:9" ht="36" x14ac:dyDescent="0.35">
      <c r="A224" s="403"/>
      <c r="B224" s="440" t="s">
        <v>120</v>
      </c>
      <c r="C224" s="227" t="s">
        <v>76</v>
      </c>
      <c r="D224" s="228" t="s">
        <v>84</v>
      </c>
      <c r="E224" s="228" t="s">
        <v>38</v>
      </c>
      <c r="F224" s="229" t="s">
        <v>39</v>
      </c>
      <c r="G224" s="264"/>
      <c r="H224" s="242">
        <f>H225+H231</f>
        <v>1665.3000000000002</v>
      </c>
      <c r="I224" s="242">
        <f>I225+I231</f>
        <v>465.40000000000003</v>
      </c>
    </row>
    <row r="225" spans="1:9" ht="36" x14ac:dyDescent="0.35">
      <c r="A225" s="403"/>
      <c r="B225" s="240" t="s">
        <v>259</v>
      </c>
      <c r="C225" s="227" t="s">
        <v>76</v>
      </c>
      <c r="D225" s="228" t="s">
        <v>84</v>
      </c>
      <c r="E225" s="228" t="s">
        <v>32</v>
      </c>
      <c r="F225" s="229" t="s">
        <v>39</v>
      </c>
      <c r="G225" s="41"/>
      <c r="H225" s="242">
        <f>H228+H226</f>
        <v>1221.7</v>
      </c>
      <c r="I225" s="242">
        <f>I228+I226</f>
        <v>21.8</v>
      </c>
    </row>
    <row r="226" spans="1:9" ht="36" x14ac:dyDescent="0.35">
      <c r="A226" s="403"/>
      <c r="B226" s="441" t="s">
        <v>122</v>
      </c>
      <c r="C226" s="227" t="s">
        <v>76</v>
      </c>
      <c r="D226" s="228" t="s">
        <v>84</v>
      </c>
      <c r="E226" s="228" t="s">
        <v>32</v>
      </c>
      <c r="F226" s="229" t="s">
        <v>85</v>
      </c>
      <c r="G226" s="41"/>
      <c r="H226" s="242">
        <f>H227</f>
        <v>21.8</v>
      </c>
      <c r="I226" s="242">
        <f>I227</f>
        <v>21.8</v>
      </c>
    </row>
    <row r="227" spans="1:9" ht="36" x14ac:dyDescent="0.35">
      <c r="A227" s="403"/>
      <c r="B227" s="240" t="s">
        <v>50</v>
      </c>
      <c r="C227" s="227" t="s">
        <v>76</v>
      </c>
      <c r="D227" s="228" t="s">
        <v>84</v>
      </c>
      <c r="E227" s="228" t="s">
        <v>32</v>
      </c>
      <c r="F227" s="229" t="s">
        <v>85</v>
      </c>
      <c r="G227" s="41" t="s">
        <v>51</v>
      </c>
      <c r="H227" s="242">
        <f>'прил10 (ведом 23-24)'!M97</f>
        <v>21.8</v>
      </c>
      <c r="I227" s="242">
        <f>'прил10 (ведом 23-24)'!N97</f>
        <v>21.8</v>
      </c>
    </row>
    <row r="228" spans="1:9" ht="18" x14ac:dyDescent="0.35">
      <c r="A228" s="403"/>
      <c r="B228" s="240" t="s">
        <v>410</v>
      </c>
      <c r="C228" s="227" t="s">
        <v>76</v>
      </c>
      <c r="D228" s="228" t="s">
        <v>84</v>
      </c>
      <c r="E228" s="228" t="s">
        <v>32</v>
      </c>
      <c r="F228" s="229" t="s">
        <v>411</v>
      </c>
      <c r="G228" s="41"/>
      <c r="H228" s="242">
        <f>H229+H230</f>
        <v>1199.9000000000001</v>
      </c>
      <c r="I228" s="242">
        <f>I229+I230</f>
        <v>0</v>
      </c>
    </row>
    <row r="229" spans="1:9" ht="36" x14ac:dyDescent="0.35">
      <c r="A229" s="403"/>
      <c r="B229" s="240" t="s">
        <v>50</v>
      </c>
      <c r="C229" s="227" t="s">
        <v>76</v>
      </c>
      <c r="D229" s="228" t="s">
        <v>84</v>
      </c>
      <c r="E229" s="228" t="s">
        <v>32</v>
      </c>
      <c r="F229" s="229" t="s">
        <v>411</v>
      </c>
      <c r="G229" s="41" t="s">
        <v>51</v>
      </c>
      <c r="H229" s="242">
        <f>'прил10 (ведом 23-24)'!M373</f>
        <v>571.6</v>
      </c>
      <c r="I229" s="242">
        <f>'прил10 (ведом 23-24)'!N373</f>
        <v>0</v>
      </c>
    </row>
    <row r="230" spans="1:9" ht="45" customHeight="1" x14ac:dyDescent="0.35">
      <c r="A230" s="403"/>
      <c r="B230" s="240" t="s">
        <v>71</v>
      </c>
      <c r="C230" s="227" t="s">
        <v>76</v>
      </c>
      <c r="D230" s="228" t="s">
        <v>84</v>
      </c>
      <c r="E230" s="228" t="s">
        <v>32</v>
      </c>
      <c r="F230" s="229" t="s">
        <v>411</v>
      </c>
      <c r="G230" s="41" t="s">
        <v>72</v>
      </c>
      <c r="H230" s="242">
        <f>'прил10 (ведом 23-24)'!M302</f>
        <v>628.29999999999995</v>
      </c>
      <c r="I230" s="242">
        <f>'прил10 (ведом 23-24)'!N302</f>
        <v>0</v>
      </c>
    </row>
    <row r="231" spans="1:9" ht="54.75" customHeight="1" x14ac:dyDescent="0.35">
      <c r="A231" s="403"/>
      <c r="B231" s="441" t="s">
        <v>121</v>
      </c>
      <c r="C231" s="227" t="s">
        <v>76</v>
      </c>
      <c r="D231" s="228" t="s">
        <v>84</v>
      </c>
      <c r="E231" s="228" t="s">
        <v>34</v>
      </c>
      <c r="F231" s="229" t="s">
        <v>39</v>
      </c>
      <c r="G231" s="41"/>
      <c r="H231" s="242">
        <f>H232</f>
        <v>443.6</v>
      </c>
      <c r="I231" s="242">
        <f>I232</f>
        <v>443.6</v>
      </c>
    </row>
    <row r="232" spans="1:9" ht="36.75" customHeight="1" x14ac:dyDescent="0.35">
      <c r="A232" s="403"/>
      <c r="B232" s="441" t="s">
        <v>122</v>
      </c>
      <c r="C232" s="227" t="s">
        <v>76</v>
      </c>
      <c r="D232" s="228" t="s">
        <v>84</v>
      </c>
      <c r="E232" s="228" t="s">
        <v>34</v>
      </c>
      <c r="F232" s="229" t="s">
        <v>85</v>
      </c>
      <c r="G232" s="41"/>
      <c r="H232" s="242">
        <f>H233</f>
        <v>443.6</v>
      </c>
      <c r="I232" s="242">
        <f>I233</f>
        <v>443.6</v>
      </c>
    </row>
    <row r="233" spans="1:9" ht="32.25" customHeight="1" x14ac:dyDescent="0.35">
      <c r="A233" s="403"/>
      <c r="B233" s="240" t="s">
        <v>50</v>
      </c>
      <c r="C233" s="227" t="s">
        <v>76</v>
      </c>
      <c r="D233" s="228" t="s">
        <v>84</v>
      </c>
      <c r="E233" s="228" t="s">
        <v>34</v>
      </c>
      <c r="F233" s="229" t="s">
        <v>85</v>
      </c>
      <c r="G233" s="41" t="s">
        <v>51</v>
      </c>
      <c r="H233" s="242">
        <f>'прил10 (ведом 23-24)'!M100</f>
        <v>443.6</v>
      </c>
      <c r="I233" s="242">
        <f>'прил10 (ведом 23-24)'!N100</f>
        <v>443.6</v>
      </c>
    </row>
    <row r="234" spans="1:9" ht="54" x14ac:dyDescent="0.35">
      <c r="A234" s="403"/>
      <c r="B234" s="442" t="s">
        <v>357</v>
      </c>
      <c r="C234" s="227" t="s">
        <v>76</v>
      </c>
      <c r="D234" s="228" t="s">
        <v>25</v>
      </c>
      <c r="E234" s="228" t="s">
        <v>38</v>
      </c>
      <c r="F234" s="229" t="s">
        <v>39</v>
      </c>
      <c r="G234" s="41"/>
      <c r="H234" s="242">
        <f>H235</f>
        <v>11008.6</v>
      </c>
      <c r="I234" s="242">
        <f>I235</f>
        <v>11009</v>
      </c>
    </row>
    <row r="235" spans="1:9" ht="74.400000000000006" customHeight="1" x14ac:dyDescent="0.35">
      <c r="A235" s="403"/>
      <c r="B235" s="443" t="s">
        <v>310</v>
      </c>
      <c r="C235" s="227" t="s">
        <v>76</v>
      </c>
      <c r="D235" s="228" t="s">
        <v>25</v>
      </c>
      <c r="E235" s="228" t="s">
        <v>32</v>
      </c>
      <c r="F235" s="229" t="s">
        <v>39</v>
      </c>
      <c r="G235" s="41"/>
      <c r="H235" s="242">
        <f>H236</f>
        <v>11008.6</v>
      </c>
      <c r="I235" s="242">
        <f>I236</f>
        <v>11009</v>
      </c>
    </row>
    <row r="236" spans="1:9" ht="36" x14ac:dyDescent="0.35">
      <c r="A236" s="403"/>
      <c r="B236" s="414" t="s">
        <v>437</v>
      </c>
      <c r="C236" s="227" t="s">
        <v>76</v>
      </c>
      <c r="D236" s="228" t="s">
        <v>25</v>
      </c>
      <c r="E236" s="228" t="s">
        <v>32</v>
      </c>
      <c r="F236" s="229" t="s">
        <v>86</v>
      </c>
      <c r="G236" s="41"/>
      <c r="H236" s="242">
        <f>SUM(H237:H239)</f>
        <v>11008.6</v>
      </c>
      <c r="I236" s="242">
        <f>SUM(I237:I239)</f>
        <v>11009</v>
      </c>
    </row>
    <row r="237" spans="1:9" s="413" customFormat="1" ht="90" x14ac:dyDescent="0.35">
      <c r="A237" s="403"/>
      <c r="B237" s="414" t="s">
        <v>44</v>
      </c>
      <c r="C237" s="227" t="s">
        <v>76</v>
      </c>
      <c r="D237" s="228" t="s">
        <v>25</v>
      </c>
      <c r="E237" s="228" t="s">
        <v>32</v>
      </c>
      <c r="F237" s="229" t="s">
        <v>86</v>
      </c>
      <c r="G237" s="41" t="s">
        <v>45</v>
      </c>
      <c r="H237" s="242">
        <f>'прил10 (ведом 23-24)'!M104</f>
        <v>10645.2</v>
      </c>
      <c r="I237" s="242">
        <f>'прил10 (ведом 23-24)'!N104</f>
        <v>10645.2</v>
      </c>
    </row>
    <row r="238" spans="1:9" ht="36" x14ac:dyDescent="0.35">
      <c r="A238" s="403"/>
      <c r="B238" s="414" t="s">
        <v>50</v>
      </c>
      <c r="C238" s="227" t="s">
        <v>76</v>
      </c>
      <c r="D238" s="228" t="s">
        <v>25</v>
      </c>
      <c r="E238" s="228" t="s">
        <v>32</v>
      </c>
      <c r="F238" s="229" t="s">
        <v>86</v>
      </c>
      <c r="G238" s="41" t="s">
        <v>51</v>
      </c>
      <c r="H238" s="242">
        <f>'прил10 (ведом 23-24)'!M105</f>
        <v>357.1</v>
      </c>
      <c r="I238" s="242">
        <f>'прил10 (ведом 23-24)'!N105</f>
        <v>357.5</v>
      </c>
    </row>
    <row r="239" spans="1:9" ht="18" x14ac:dyDescent="0.35">
      <c r="A239" s="403"/>
      <c r="B239" s="240" t="s">
        <v>52</v>
      </c>
      <c r="C239" s="227" t="s">
        <v>76</v>
      </c>
      <c r="D239" s="228" t="s">
        <v>25</v>
      </c>
      <c r="E239" s="228" t="s">
        <v>32</v>
      </c>
      <c r="F239" s="229" t="s">
        <v>86</v>
      </c>
      <c r="G239" s="41" t="s">
        <v>53</v>
      </c>
      <c r="H239" s="242">
        <f>'прил10 (ведом 23-24)'!M106</f>
        <v>6.3</v>
      </c>
      <c r="I239" s="242">
        <f>'прил10 (ведом 23-24)'!N106</f>
        <v>6.3</v>
      </c>
    </row>
    <row r="240" spans="1:9" ht="54" x14ac:dyDescent="0.35">
      <c r="A240" s="403"/>
      <c r="B240" s="444" t="s">
        <v>465</v>
      </c>
      <c r="C240" s="227" t="s">
        <v>76</v>
      </c>
      <c r="D240" s="228" t="s">
        <v>26</v>
      </c>
      <c r="E240" s="228" t="s">
        <v>38</v>
      </c>
      <c r="F240" s="229" t="s">
        <v>39</v>
      </c>
      <c r="G240" s="41"/>
      <c r="H240" s="242">
        <f t="shared" ref="H240:I242" si="5">H241</f>
        <v>21.8</v>
      </c>
      <c r="I240" s="242">
        <f t="shared" si="5"/>
        <v>21.8</v>
      </c>
    </row>
    <row r="241" spans="1:9" ht="54" x14ac:dyDescent="0.35">
      <c r="A241" s="403"/>
      <c r="B241" s="445" t="s">
        <v>466</v>
      </c>
      <c r="C241" s="227" t="s">
        <v>76</v>
      </c>
      <c r="D241" s="228" t="s">
        <v>26</v>
      </c>
      <c r="E241" s="228" t="s">
        <v>32</v>
      </c>
      <c r="F241" s="229" t="s">
        <v>39</v>
      </c>
      <c r="G241" s="41"/>
      <c r="H241" s="242">
        <f t="shared" si="5"/>
        <v>21.8</v>
      </c>
      <c r="I241" s="242">
        <f t="shared" si="5"/>
        <v>21.8</v>
      </c>
    </row>
    <row r="242" spans="1:9" ht="36" x14ac:dyDescent="0.35">
      <c r="A242" s="403"/>
      <c r="B242" s="446" t="s">
        <v>80</v>
      </c>
      <c r="C242" s="227" t="s">
        <v>76</v>
      </c>
      <c r="D242" s="228" t="s">
        <v>26</v>
      </c>
      <c r="E242" s="228" t="s">
        <v>32</v>
      </c>
      <c r="F242" s="229" t="s">
        <v>81</v>
      </c>
      <c r="G242" s="41"/>
      <c r="H242" s="242">
        <f t="shared" si="5"/>
        <v>21.8</v>
      </c>
      <c r="I242" s="242">
        <f t="shared" si="5"/>
        <v>21.8</v>
      </c>
    </row>
    <row r="243" spans="1:9" ht="36" x14ac:dyDescent="0.35">
      <c r="A243" s="403"/>
      <c r="B243" s="447" t="s">
        <v>50</v>
      </c>
      <c r="C243" s="227" t="s">
        <v>76</v>
      </c>
      <c r="D243" s="228" t="s">
        <v>26</v>
      </c>
      <c r="E243" s="228" t="s">
        <v>32</v>
      </c>
      <c r="F243" s="229" t="s">
        <v>81</v>
      </c>
      <c r="G243" s="41" t="s">
        <v>51</v>
      </c>
      <c r="H243" s="242">
        <f>'прил10 (ведом 23-24)'!M110</f>
        <v>21.8</v>
      </c>
      <c r="I243" s="242">
        <f>'прил10 (ведом 23-24)'!N110</f>
        <v>21.8</v>
      </c>
    </row>
    <row r="244" spans="1:9" ht="18" x14ac:dyDescent="0.35">
      <c r="A244" s="448"/>
      <c r="B244" s="420"/>
      <c r="C244" s="449"/>
      <c r="D244" s="599"/>
      <c r="E244" s="599"/>
      <c r="F244" s="600"/>
      <c r="G244" s="264"/>
      <c r="H244" s="242"/>
      <c r="I244" s="242"/>
    </row>
    <row r="245" spans="1:9" s="413" customFormat="1" ht="52.2" x14ac:dyDescent="0.3">
      <c r="A245" s="423">
        <v>6</v>
      </c>
      <c r="B245" s="434" t="s">
        <v>218</v>
      </c>
      <c r="C245" s="410" t="s">
        <v>219</v>
      </c>
      <c r="D245" s="410" t="s">
        <v>37</v>
      </c>
      <c r="E245" s="410" t="s">
        <v>38</v>
      </c>
      <c r="F245" s="411" t="s">
        <v>39</v>
      </c>
      <c r="G245" s="412"/>
      <c r="H245" s="289">
        <f>H246</f>
        <v>35633.799999999996</v>
      </c>
      <c r="I245" s="289">
        <f>I246</f>
        <v>35625.999999999993</v>
      </c>
    </row>
    <row r="246" spans="1:9" ht="27" customHeight="1" x14ac:dyDescent="0.35">
      <c r="A246" s="403"/>
      <c r="B246" s="414" t="s">
        <v>328</v>
      </c>
      <c r="C246" s="450" t="s">
        <v>219</v>
      </c>
      <c r="D246" s="451" t="s">
        <v>40</v>
      </c>
      <c r="E246" s="228" t="s">
        <v>38</v>
      </c>
      <c r="F246" s="229" t="s">
        <v>39</v>
      </c>
      <c r="G246" s="41"/>
      <c r="H246" s="242">
        <f>H247+H252+H255+H258</f>
        <v>35633.799999999996</v>
      </c>
      <c r="I246" s="242">
        <f>I247+I252+I255+I258</f>
        <v>35625.999999999993</v>
      </c>
    </row>
    <row r="247" spans="1:9" ht="53.4" customHeight="1" x14ac:dyDescent="0.35">
      <c r="A247" s="403"/>
      <c r="B247" s="414" t="s">
        <v>292</v>
      </c>
      <c r="C247" s="450" t="s">
        <v>219</v>
      </c>
      <c r="D247" s="451" t="s">
        <v>40</v>
      </c>
      <c r="E247" s="228" t="s">
        <v>32</v>
      </c>
      <c r="F247" s="229" t="s">
        <v>39</v>
      </c>
      <c r="G247" s="41"/>
      <c r="H247" s="242">
        <f>H248</f>
        <v>25791.5</v>
      </c>
      <c r="I247" s="242">
        <f>I248</f>
        <v>25792.2</v>
      </c>
    </row>
    <row r="248" spans="1:9" ht="36" x14ac:dyDescent="0.35">
      <c r="A248" s="403"/>
      <c r="B248" s="414" t="s">
        <v>42</v>
      </c>
      <c r="C248" s="450" t="s">
        <v>219</v>
      </c>
      <c r="D248" s="451" t="s">
        <v>40</v>
      </c>
      <c r="E248" s="228" t="s">
        <v>32</v>
      </c>
      <c r="F248" s="229" t="s">
        <v>43</v>
      </c>
      <c r="G248" s="41"/>
      <c r="H248" s="242">
        <f>SUM(H249:H251)</f>
        <v>25791.5</v>
      </c>
      <c r="I248" s="242">
        <f>SUM(I249:I251)</f>
        <v>25792.2</v>
      </c>
    </row>
    <row r="249" spans="1:9" ht="90" x14ac:dyDescent="0.35">
      <c r="A249" s="403"/>
      <c r="B249" s="414" t="s">
        <v>44</v>
      </c>
      <c r="C249" s="450" t="s">
        <v>219</v>
      </c>
      <c r="D249" s="451" t="s">
        <v>40</v>
      </c>
      <c r="E249" s="228" t="s">
        <v>32</v>
      </c>
      <c r="F249" s="229" t="s">
        <v>43</v>
      </c>
      <c r="G249" s="41" t="s">
        <v>45</v>
      </c>
      <c r="H249" s="242">
        <f>'прил10 (ведом 23-24)'!M179</f>
        <v>25067.7</v>
      </c>
      <c r="I249" s="242">
        <f>'прил10 (ведом 23-24)'!N179</f>
        <v>25067.7</v>
      </c>
    </row>
    <row r="250" spans="1:9" ht="36" x14ac:dyDescent="0.35">
      <c r="A250" s="403"/>
      <c r="B250" s="240" t="s">
        <v>50</v>
      </c>
      <c r="C250" s="450" t="s">
        <v>219</v>
      </c>
      <c r="D250" s="451" t="s">
        <v>40</v>
      </c>
      <c r="E250" s="228" t="s">
        <v>32</v>
      </c>
      <c r="F250" s="229" t="s">
        <v>43</v>
      </c>
      <c r="G250" s="41" t="s">
        <v>51</v>
      </c>
      <c r="H250" s="242">
        <f>'прил10 (ведом 23-24)'!M180</f>
        <v>719.1</v>
      </c>
      <c r="I250" s="242">
        <f>'прил10 (ведом 23-24)'!N180</f>
        <v>719.9</v>
      </c>
    </row>
    <row r="251" spans="1:9" ht="18" x14ac:dyDescent="0.35">
      <c r="A251" s="403"/>
      <c r="B251" s="240" t="s">
        <v>52</v>
      </c>
      <c r="C251" s="450" t="s">
        <v>219</v>
      </c>
      <c r="D251" s="451" t="s">
        <v>40</v>
      </c>
      <c r="E251" s="228" t="s">
        <v>32</v>
      </c>
      <c r="F251" s="229" t="s">
        <v>43</v>
      </c>
      <c r="G251" s="41" t="s">
        <v>53</v>
      </c>
      <c r="H251" s="242">
        <f>'прил10 (ведом 23-24)'!M181</f>
        <v>4.7</v>
      </c>
      <c r="I251" s="242">
        <f>'прил10 (ведом 23-24)'!N181</f>
        <v>4.5999999999999996</v>
      </c>
    </row>
    <row r="252" spans="1:9" ht="30" customHeight="1" x14ac:dyDescent="0.35">
      <c r="A252" s="403"/>
      <c r="B252" s="414" t="s">
        <v>293</v>
      </c>
      <c r="C252" s="450" t="s">
        <v>219</v>
      </c>
      <c r="D252" s="451" t="s">
        <v>40</v>
      </c>
      <c r="E252" s="228" t="s">
        <v>34</v>
      </c>
      <c r="F252" s="229" t="s">
        <v>39</v>
      </c>
      <c r="G252" s="41"/>
      <c r="H252" s="242">
        <f>H253</f>
        <v>7000</v>
      </c>
      <c r="I252" s="242">
        <f>I253</f>
        <v>7000</v>
      </c>
    </row>
    <row r="253" spans="1:9" ht="36" x14ac:dyDescent="0.35">
      <c r="A253" s="403"/>
      <c r="B253" s="240" t="s">
        <v>252</v>
      </c>
      <c r="C253" s="450" t="s">
        <v>219</v>
      </c>
      <c r="D253" s="451" t="s">
        <v>40</v>
      </c>
      <c r="E253" s="228" t="s">
        <v>34</v>
      </c>
      <c r="F253" s="229" t="s">
        <v>394</v>
      </c>
      <c r="G253" s="41"/>
      <c r="H253" s="242">
        <f>H254</f>
        <v>7000</v>
      </c>
      <c r="I253" s="242">
        <f>I254</f>
        <v>7000</v>
      </c>
    </row>
    <row r="254" spans="1:9" ht="18" x14ac:dyDescent="0.35">
      <c r="A254" s="403"/>
      <c r="B254" s="240" t="s">
        <v>118</v>
      </c>
      <c r="C254" s="450" t="s">
        <v>219</v>
      </c>
      <c r="D254" s="451" t="s">
        <v>40</v>
      </c>
      <c r="E254" s="228" t="s">
        <v>34</v>
      </c>
      <c r="F254" s="229" t="s">
        <v>394</v>
      </c>
      <c r="G254" s="41" t="s">
        <v>119</v>
      </c>
      <c r="H254" s="242">
        <f>'прил10 (ведом 23-24)'!M197</f>
        <v>7000</v>
      </c>
      <c r="I254" s="242">
        <f>'прил10 (ведом 23-24)'!N197</f>
        <v>7000</v>
      </c>
    </row>
    <row r="255" spans="1:9" ht="36" x14ac:dyDescent="0.35">
      <c r="A255" s="403"/>
      <c r="B255" s="414" t="s">
        <v>340</v>
      </c>
      <c r="C255" s="450" t="s">
        <v>219</v>
      </c>
      <c r="D255" s="451" t="s">
        <v>40</v>
      </c>
      <c r="E255" s="228" t="s">
        <v>58</v>
      </c>
      <c r="F255" s="229" t="s">
        <v>39</v>
      </c>
      <c r="G255" s="41"/>
      <c r="H255" s="242">
        <f>H256</f>
        <v>2825.1</v>
      </c>
      <c r="I255" s="242">
        <f>I256</f>
        <v>2816.6</v>
      </c>
    </row>
    <row r="256" spans="1:9" ht="54" x14ac:dyDescent="0.35">
      <c r="A256" s="403"/>
      <c r="B256" s="414" t="s">
        <v>341</v>
      </c>
      <c r="C256" s="450" t="s">
        <v>219</v>
      </c>
      <c r="D256" s="451" t="s">
        <v>40</v>
      </c>
      <c r="E256" s="228" t="s">
        <v>58</v>
      </c>
      <c r="F256" s="229" t="s">
        <v>100</v>
      </c>
      <c r="G256" s="41"/>
      <c r="H256" s="242">
        <f>H257</f>
        <v>2825.1</v>
      </c>
      <c r="I256" s="242">
        <f>I257</f>
        <v>2816.6</v>
      </c>
    </row>
    <row r="257" spans="1:9" ht="36" x14ac:dyDescent="0.35">
      <c r="A257" s="403"/>
      <c r="B257" s="414" t="s">
        <v>50</v>
      </c>
      <c r="C257" s="450" t="s">
        <v>219</v>
      </c>
      <c r="D257" s="451" t="s">
        <v>40</v>
      </c>
      <c r="E257" s="228" t="s">
        <v>58</v>
      </c>
      <c r="F257" s="229" t="s">
        <v>100</v>
      </c>
      <c r="G257" s="41" t="s">
        <v>51</v>
      </c>
      <c r="H257" s="242">
        <f>'прил10 (ведом 23-24)'!M187</f>
        <v>2825.1</v>
      </c>
      <c r="I257" s="242">
        <f>'прил10 (ведом 23-24)'!N187</f>
        <v>2816.6</v>
      </c>
    </row>
    <row r="258" spans="1:9" ht="36" x14ac:dyDescent="0.35">
      <c r="A258" s="403"/>
      <c r="B258" s="240" t="s">
        <v>441</v>
      </c>
      <c r="C258" s="450" t="s">
        <v>219</v>
      </c>
      <c r="D258" s="451" t="s">
        <v>40</v>
      </c>
      <c r="E258" s="228" t="s">
        <v>60</v>
      </c>
      <c r="F258" s="229" t="s">
        <v>39</v>
      </c>
      <c r="G258" s="41"/>
      <c r="H258" s="242">
        <f>H259</f>
        <v>17.2</v>
      </c>
      <c r="I258" s="242">
        <f>I259</f>
        <v>17.2</v>
      </c>
    </row>
    <row r="259" spans="1:9" ht="18" x14ac:dyDescent="0.35">
      <c r="A259" s="403"/>
      <c r="B259" s="240" t="s">
        <v>439</v>
      </c>
      <c r="C259" s="450" t="s">
        <v>219</v>
      </c>
      <c r="D259" s="451" t="s">
        <v>40</v>
      </c>
      <c r="E259" s="228" t="s">
        <v>60</v>
      </c>
      <c r="F259" s="229" t="s">
        <v>440</v>
      </c>
      <c r="G259" s="41"/>
      <c r="H259" s="242">
        <f>H260</f>
        <v>17.2</v>
      </c>
      <c r="I259" s="242">
        <f>I260</f>
        <v>17.2</v>
      </c>
    </row>
    <row r="260" spans="1:9" ht="36" x14ac:dyDescent="0.35">
      <c r="A260" s="403"/>
      <c r="B260" s="240" t="s">
        <v>50</v>
      </c>
      <c r="C260" s="450" t="s">
        <v>219</v>
      </c>
      <c r="D260" s="451" t="s">
        <v>40</v>
      </c>
      <c r="E260" s="228" t="s">
        <v>60</v>
      </c>
      <c r="F260" s="229" t="s">
        <v>440</v>
      </c>
      <c r="G260" s="41" t="s">
        <v>51</v>
      </c>
      <c r="H260" s="242">
        <f>'прил10 (ведом 23-24)'!M190</f>
        <v>17.2</v>
      </c>
      <c r="I260" s="242">
        <f>'прил10 (ведом 23-24)'!N190</f>
        <v>17.2</v>
      </c>
    </row>
    <row r="261" spans="1:9" ht="18" x14ac:dyDescent="0.35">
      <c r="A261" s="403"/>
      <c r="B261" s="240"/>
      <c r="C261" s="451"/>
      <c r="D261" s="451"/>
      <c r="E261" s="451"/>
      <c r="F261" s="452"/>
      <c r="G261" s="41"/>
      <c r="H261" s="242"/>
      <c r="I261" s="242"/>
    </row>
    <row r="262" spans="1:9" s="413" customFormat="1" ht="52.2" x14ac:dyDescent="0.3">
      <c r="A262" s="409">
        <v>7</v>
      </c>
      <c r="B262" s="453" t="s">
        <v>220</v>
      </c>
      <c r="C262" s="454" t="s">
        <v>221</v>
      </c>
      <c r="D262" s="424" t="s">
        <v>37</v>
      </c>
      <c r="E262" s="424" t="s">
        <v>38</v>
      </c>
      <c r="F262" s="425" t="s">
        <v>39</v>
      </c>
      <c r="G262" s="455"/>
      <c r="H262" s="289">
        <f>H263+H267</f>
        <v>20561.899999999998</v>
      </c>
      <c r="I262" s="289">
        <f>I263+I267</f>
        <v>22293.899999999998</v>
      </c>
    </row>
    <row r="263" spans="1:9" s="413" customFormat="1" ht="36" x14ac:dyDescent="0.35">
      <c r="A263" s="409"/>
      <c r="B263" s="435" t="s">
        <v>222</v>
      </c>
      <c r="C263" s="456" t="s">
        <v>221</v>
      </c>
      <c r="D263" s="457" t="s">
        <v>40</v>
      </c>
      <c r="E263" s="457" t="s">
        <v>38</v>
      </c>
      <c r="F263" s="458" t="s">
        <v>39</v>
      </c>
      <c r="G263" s="418"/>
      <c r="H263" s="242">
        <f t="shared" ref="H263:I265" si="6">H264</f>
        <v>0</v>
      </c>
      <c r="I263" s="242">
        <f t="shared" si="6"/>
        <v>606.9</v>
      </c>
    </row>
    <row r="264" spans="1:9" s="413" customFormat="1" ht="36" x14ac:dyDescent="0.35">
      <c r="A264" s="409"/>
      <c r="B264" s="459" t="s">
        <v>327</v>
      </c>
      <c r="C264" s="415" t="s">
        <v>221</v>
      </c>
      <c r="D264" s="416" t="s">
        <v>40</v>
      </c>
      <c r="E264" s="416" t="s">
        <v>34</v>
      </c>
      <c r="F264" s="460" t="s">
        <v>39</v>
      </c>
      <c r="G264" s="418"/>
      <c r="H264" s="242">
        <f>H265</f>
        <v>0</v>
      </c>
      <c r="I264" s="242">
        <f>I265</f>
        <v>606.9</v>
      </c>
    </row>
    <row r="265" spans="1:9" s="413" customFormat="1" ht="36" x14ac:dyDescent="0.35">
      <c r="A265" s="409"/>
      <c r="B265" s="459" t="s">
        <v>326</v>
      </c>
      <c r="C265" s="415" t="s">
        <v>221</v>
      </c>
      <c r="D265" s="416" t="s">
        <v>40</v>
      </c>
      <c r="E265" s="416" t="s">
        <v>34</v>
      </c>
      <c r="F265" s="460" t="s">
        <v>325</v>
      </c>
      <c r="G265" s="418"/>
      <c r="H265" s="242">
        <f t="shared" si="6"/>
        <v>0</v>
      </c>
      <c r="I265" s="242">
        <f t="shared" si="6"/>
        <v>606.9</v>
      </c>
    </row>
    <row r="266" spans="1:9" s="413" customFormat="1" ht="36" x14ac:dyDescent="0.35">
      <c r="A266" s="409"/>
      <c r="B266" s="459" t="s">
        <v>50</v>
      </c>
      <c r="C266" s="415" t="s">
        <v>221</v>
      </c>
      <c r="D266" s="416" t="s">
        <v>40</v>
      </c>
      <c r="E266" s="416" t="s">
        <v>34</v>
      </c>
      <c r="F266" s="460" t="s">
        <v>325</v>
      </c>
      <c r="G266" s="418" t="s">
        <v>51</v>
      </c>
      <c r="H266" s="242">
        <f>'прил10 (ведом 23-24)'!M216</f>
        <v>0</v>
      </c>
      <c r="I266" s="242">
        <f>'прил10 (ведом 23-24)'!N216</f>
        <v>606.9</v>
      </c>
    </row>
    <row r="267" spans="1:9" ht="36" x14ac:dyDescent="0.35">
      <c r="A267" s="448"/>
      <c r="B267" s="461" t="s">
        <v>224</v>
      </c>
      <c r="C267" s="428" t="s">
        <v>221</v>
      </c>
      <c r="D267" s="449" t="s">
        <v>84</v>
      </c>
      <c r="E267" s="449" t="s">
        <v>38</v>
      </c>
      <c r="F267" s="462" t="s">
        <v>39</v>
      </c>
      <c r="G267" s="463"/>
      <c r="H267" s="242">
        <f>H268+H279+H282</f>
        <v>20561.899999999998</v>
      </c>
      <c r="I267" s="242">
        <f>I268+I279+I282</f>
        <v>21686.999999999996</v>
      </c>
    </row>
    <row r="268" spans="1:9" ht="72" x14ac:dyDescent="0.35">
      <c r="A268" s="448"/>
      <c r="B268" s="461" t="s">
        <v>290</v>
      </c>
      <c r="C268" s="428" t="s">
        <v>221</v>
      </c>
      <c r="D268" s="449" t="s">
        <v>84</v>
      </c>
      <c r="E268" s="449" t="s">
        <v>32</v>
      </c>
      <c r="F268" s="462" t="s">
        <v>39</v>
      </c>
      <c r="G268" s="463"/>
      <c r="H268" s="242">
        <f>H269+H273+H277</f>
        <v>20547.099999999999</v>
      </c>
      <c r="I268" s="242">
        <f>I269+I273+I277</f>
        <v>20994.6</v>
      </c>
    </row>
    <row r="269" spans="1:9" ht="36" x14ac:dyDescent="0.35">
      <c r="A269" s="448"/>
      <c r="B269" s="461" t="s">
        <v>42</v>
      </c>
      <c r="C269" s="464" t="s">
        <v>221</v>
      </c>
      <c r="D269" s="465" t="s">
        <v>84</v>
      </c>
      <c r="E269" s="465" t="s">
        <v>32</v>
      </c>
      <c r="F269" s="466" t="s">
        <v>43</v>
      </c>
      <c r="G269" s="463"/>
      <c r="H269" s="242">
        <f>SUM(H270:H272)</f>
        <v>13047</v>
      </c>
      <c r="I269" s="242">
        <f>SUM(I270:I272)</f>
        <v>13269.7</v>
      </c>
    </row>
    <row r="270" spans="1:9" ht="90" x14ac:dyDescent="0.35">
      <c r="A270" s="448"/>
      <c r="B270" s="461" t="s">
        <v>44</v>
      </c>
      <c r="C270" s="428" t="s">
        <v>221</v>
      </c>
      <c r="D270" s="449" t="s">
        <v>84</v>
      </c>
      <c r="E270" s="449" t="s">
        <v>32</v>
      </c>
      <c r="F270" s="462" t="s">
        <v>43</v>
      </c>
      <c r="G270" s="463" t="s">
        <v>45</v>
      </c>
      <c r="H270" s="242">
        <f>'прил10 (ведом 23-24)'!M220</f>
        <v>12941.5</v>
      </c>
      <c r="I270" s="242">
        <f>'прил10 (ведом 23-24)'!N220</f>
        <v>12941.5</v>
      </c>
    </row>
    <row r="271" spans="1:9" ht="36" x14ac:dyDescent="0.35">
      <c r="A271" s="448"/>
      <c r="B271" s="459" t="s">
        <v>50</v>
      </c>
      <c r="C271" s="467" t="s">
        <v>221</v>
      </c>
      <c r="D271" s="416" t="s">
        <v>84</v>
      </c>
      <c r="E271" s="416" t="s">
        <v>32</v>
      </c>
      <c r="F271" s="460" t="s">
        <v>43</v>
      </c>
      <c r="G271" s="418" t="s">
        <v>51</v>
      </c>
      <c r="H271" s="242">
        <f>'прил10 (ведом 23-24)'!M221</f>
        <v>104.3</v>
      </c>
      <c r="I271" s="242">
        <f>'прил10 (ведом 23-24)'!N221</f>
        <v>327</v>
      </c>
    </row>
    <row r="272" spans="1:9" ht="18" x14ac:dyDescent="0.35">
      <c r="A272" s="448"/>
      <c r="B272" s="435" t="s">
        <v>52</v>
      </c>
      <c r="C272" s="467" t="s">
        <v>221</v>
      </c>
      <c r="D272" s="416" t="s">
        <v>84</v>
      </c>
      <c r="E272" s="416" t="s">
        <v>32</v>
      </c>
      <c r="F272" s="460" t="s">
        <v>43</v>
      </c>
      <c r="G272" s="418" t="s">
        <v>53</v>
      </c>
      <c r="H272" s="242">
        <f>'прил10 (ведом 23-24)'!M222</f>
        <v>1.2</v>
      </c>
      <c r="I272" s="242">
        <f>'прил10 (ведом 23-24)'!N222</f>
        <v>1.2</v>
      </c>
    </row>
    <row r="273" spans="1:9" ht="36" x14ac:dyDescent="0.35">
      <c r="A273" s="448"/>
      <c r="B273" s="414" t="s">
        <v>437</v>
      </c>
      <c r="C273" s="428" t="s">
        <v>221</v>
      </c>
      <c r="D273" s="449" t="s">
        <v>84</v>
      </c>
      <c r="E273" s="449" t="s">
        <v>32</v>
      </c>
      <c r="F273" s="462" t="s">
        <v>86</v>
      </c>
      <c r="G273" s="463"/>
      <c r="H273" s="242">
        <f>SUM(H274:H276)</f>
        <v>7431.0999999999995</v>
      </c>
      <c r="I273" s="242">
        <f>SUM(I274:I276)</f>
        <v>7655.9</v>
      </c>
    </row>
    <row r="274" spans="1:9" ht="90" x14ac:dyDescent="0.35">
      <c r="A274" s="448"/>
      <c r="B274" s="461" t="s">
        <v>44</v>
      </c>
      <c r="C274" s="428" t="s">
        <v>221</v>
      </c>
      <c r="D274" s="449" t="s">
        <v>84</v>
      </c>
      <c r="E274" s="449" t="s">
        <v>32</v>
      </c>
      <c r="F274" s="462" t="s">
        <v>86</v>
      </c>
      <c r="G274" s="463" t="s">
        <v>45</v>
      </c>
      <c r="H274" s="242">
        <f>'прил10 (ведом 23-24)'!M224</f>
        <v>7312.7</v>
      </c>
      <c r="I274" s="242">
        <f>'прил10 (ведом 23-24)'!N224</f>
        <v>7312.7</v>
      </c>
    </row>
    <row r="275" spans="1:9" ht="36" x14ac:dyDescent="0.35">
      <c r="A275" s="448"/>
      <c r="B275" s="240" t="s">
        <v>50</v>
      </c>
      <c r="C275" s="464" t="s">
        <v>221</v>
      </c>
      <c r="D275" s="465" t="s">
        <v>84</v>
      </c>
      <c r="E275" s="465" t="s">
        <v>32</v>
      </c>
      <c r="F275" s="466" t="s">
        <v>86</v>
      </c>
      <c r="G275" s="463" t="s">
        <v>51</v>
      </c>
      <c r="H275" s="242">
        <f>'прил10 (ведом 23-24)'!M225</f>
        <v>98.9</v>
      </c>
      <c r="I275" s="242">
        <f>'прил10 (ведом 23-24)'!N225</f>
        <v>324.5</v>
      </c>
    </row>
    <row r="276" spans="1:9" ht="18" x14ac:dyDescent="0.35">
      <c r="A276" s="448"/>
      <c r="B276" s="468" t="s">
        <v>52</v>
      </c>
      <c r="C276" s="428" t="s">
        <v>221</v>
      </c>
      <c r="D276" s="449" t="s">
        <v>84</v>
      </c>
      <c r="E276" s="449" t="s">
        <v>32</v>
      </c>
      <c r="F276" s="462" t="s">
        <v>86</v>
      </c>
      <c r="G276" s="463" t="s">
        <v>53</v>
      </c>
      <c r="H276" s="242">
        <f>'прил10 (ведом 23-24)'!M226</f>
        <v>19.5</v>
      </c>
      <c r="I276" s="242">
        <f>'прил10 (ведом 23-24)'!N226</f>
        <v>18.7</v>
      </c>
    </row>
    <row r="277" spans="1:9" ht="54" x14ac:dyDescent="0.35">
      <c r="A277" s="448"/>
      <c r="B277" s="459" t="s">
        <v>343</v>
      </c>
      <c r="C277" s="467" t="s">
        <v>221</v>
      </c>
      <c r="D277" s="416" t="s">
        <v>84</v>
      </c>
      <c r="E277" s="416" t="s">
        <v>32</v>
      </c>
      <c r="F277" s="460" t="s">
        <v>342</v>
      </c>
      <c r="G277" s="418"/>
      <c r="H277" s="242">
        <f>H278</f>
        <v>69</v>
      </c>
      <c r="I277" s="242">
        <f>I278</f>
        <v>69</v>
      </c>
    </row>
    <row r="278" spans="1:9" ht="36" x14ac:dyDescent="0.35">
      <c r="A278" s="448"/>
      <c r="B278" s="459" t="s">
        <v>50</v>
      </c>
      <c r="C278" s="467" t="s">
        <v>221</v>
      </c>
      <c r="D278" s="416" t="s">
        <v>84</v>
      </c>
      <c r="E278" s="416" t="s">
        <v>32</v>
      </c>
      <c r="F278" s="469" t="s">
        <v>342</v>
      </c>
      <c r="G278" s="418" t="s">
        <v>51</v>
      </c>
      <c r="H278" s="242">
        <f>'прил10 (ведом 23-24)'!M228</f>
        <v>69</v>
      </c>
      <c r="I278" s="242">
        <f>'прил10 (ведом 23-24)'!N228</f>
        <v>69</v>
      </c>
    </row>
    <row r="279" spans="1:9" ht="36" x14ac:dyDescent="0.35">
      <c r="A279" s="448"/>
      <c r="B279" s="470" t="s">
        <v>340</v>
      </c>
      <c r="C279" s="467" t="s">
        <v>221</v>
      </c>
      <c r="D279" s="471" t="s">
        <v>84</v>
      </c>
      <c r="E279" s="471" t="s">
        <v>34</v>
      </c>
      <c r="F279" s="472" t="s">
        <v>39</v>
      </c>
      <c r="G279" s="473"/>
      <c r="H279" s="242">
        <f>H280</f>
        <v>0</v>
      </c>
      <c r="I279" s="242">
        <f>I280</f>
        <v>677.6</v>
      </c>
    </row>
    <row r="280" spans="1:9" ht="54" x14ac:dyDescent="0.35">
      <c r="A280" s="448"/>
      <c r="B280" s="474" t="s">
        <v>341</v>
      </c>
      <c r="C280" s="475" t="s">
        <v>221</v>
      </c>
      <c r="D280" s="471" t="s">
        <v>84</v>
      </c>
      <c r="E280" s="471" t="s">
        <v>34</v>
      </c>
      <c r="F280" s="472" t="s">
        <v>100</v>
      </c>
      <c r="G280" s="476"/>
      <c r="H280" s="242">
        <f>H281</f>
        <v>0</v>
      </c>
      <c r="I280" s="242">
        <f>I281</f>
        <v>677.6</v>
      </c>
    </row>
    <row r="281" spans="1:9" ht="36" x14ac:dyDescent="0.35">
      <c r="A281" s="448"/>
      <c r="B281" s="477" t="s">
        <v>50</v>
      </c>
      <c r="C281" s="475" t="s">
        <v>221</v>
      </c>
      <c r="D281" s="478" t="s">
        <v>84</v>
      </c>
      <c r="E281" s="478" t="s">
        <v>34</v>
      </c>
      <c r="F281" s="479" t="s">
        <v>100</v>
      </c>
      <c r="G281" s="480" t="s">
        <v>51</v>
      </c>
      <c r="H281" s="242">
        <f>'прил10 (ведом 23-24)'!M231</f>
        <v>0</v>
      </c>
      <c r="I281" s="242">
        <f>'прил10 (ведом 23-24)'!N231</f>
        <v>677.6</v>
      </c>
    </row>
    <row r="282" spans="1:9" ht="27" customHeight="1" x14ac:dyDescent="0.35">
      <c r="A282" s="448"/>
      <c r="B282" s="481" t="s">
        <v>363</v>
      </c>
      <c r="C282" s="475" t="s">
        <v>221</v>
      </c>
      <c r="D282" s="471" t="s">
        <v>84</v>
      </c>
      <c r="E282" s="471" t="s">
        <v>58</v>
      </c>
      <c r="F282" s="472" t="s">
        <v>39</v>
      </c>
      <c r="G282" s="476"/>
      <c r="H282" s="242">
        <f>H283</f>
        <v>14.8</v>
      </c>
      <c r="I282" s="242">
        <f>I283</f>
        <v>14.8</v>
      </c>
    </row>
    <row r="283" spans="1:9" ht="36" x14ac:dyDescent="0.35">
      <c r="A283" s="448"/>
      <c r="B283" s="481" t="s">
        <v>326</v>
      </c>
      <c r="C283" s="482" t="s">
        <v>221</v>
      </c>
      <c r="D283" s="478" t="s">
        <v>84</v>
      </c>
      <c r="E283" s="478" t="s">
        <v>58</v>
      </c>
      <c r="F283" s="479" t="s">
        <v>325</v>
      </c>
      <c r="G283" s="476"/>
      <c r="H283" s="242">
        <f>H284</f>
        <v>14.8</v>
      </c>
      <c r="I283" s="242">
        <f>I284</f>
        <v>14.8</v>
      </c>
    </row>
    <row r="284" spans="1:9" ht="18" x14ac:dyDescent="0.35">
      <c r="A284" s="448"/>
      <c r="B284" s="435" t="s">
        <v>52</v>
      </c>
      <c r="C284" s="467" t="s">
        <v>221</v>
      </c>
      <c r="D284" s="471" t="s">
        <v>84</v>
      </c>
      <c r="E284" s="471" t="s">
        <v>58</v>
      </c>
      <c r="F284" s="472" t="s">
        <v>325</v>
      </c>
      <c r="G284" s="476" t="s">
        <v>53</v>
      </c>
      <c r="H284" s="242">
        <f>'прил10 (ведом 23-24)'!M234</f>
        <v>14.8</v>
      </c>
      <c r="I284" s="242">
        <f>'прил10 (ведом 23-24)'!N234</f>
        <v>14.8</v>
      </c>
    </row>
    <row r="285" spans="1:9" ht="18" x14ac:dyDescent="0.35">
      <c r="A285" s="448"/>
      <c r="B285" s="468"/>
      <c r="C285" s="429"/>
      <c r="D285" s="449"/>
      <c r="E285" s="449"/>
      <c r="F285" s="462"/>
      <c r="G285" s="463"/>
      <c r="H285" s="242"/>
      <c r="I285" s="242"/>
    </row>
    <row r="286" spans="1:9" s="413" customFormat="1" ht="52.2" x14ac:dyDescent="0.3">
      <c r="A286" s="423">
        <v>8</v>
      </c>
      <c r="B286" s="453" t="s">
        <v>284</v>
      </c>
      <c r="C286" s="424" t="s">
        <v>74</v>
      </c>
      <c r="D286" s="424" t="s">
        <v>37</v>
      </c>
      <c r="E286" s="424" t="s">
        <v>38</v>
      </c>
      <c r="F286" s="425" t="s">
        <v>39</v>
      </c>
      <c r="G286" s="412"/>
      <c r="H286" s="289">
        <f>H287</f>
        <v>123270.39999999999</v>
      </c>
      <c r="I286" s="289">
        <f>I287</f>
        <v>124800.70000000001</v>
      </c>
    </row>
    <row r="287" spans="1:9" ht="23.25" customHeight="1" x14ac:dyDescent="0.35">
      <c r="A287" s="403"/>
      <c r="B287" s="414" t="s">
        <v>328</v>
      </c>
      <c r="C287" s="483" t="s">
        <v>74</v>
      </c>
      <c r="D287" s="449" t="s">
        <v>40</v>
      </c>
      <c r="E287" s="449" t="s">
        <v>38</v>
      </c>
      <c r="F287" s="484" t="s">
        <v>39</v>
      </c>
      <c r="G287" s="264"/>
      <c r="H287" s="242">
        <f>H288+H301+H306+H316</f>
        <v>123270.39999999999</v>
      </c>
      <c r="I287" s="242">
        <f>I288+I301+I306+I316</f>
        <v>124800.70000000001</v>
      </c>
    </row>
    <row r="288" spans="1:9" ht="36" x14ac:dyDescent="0.35">
      <c r="A288" s="403"/>
      <c r="B288" s="414" t="s">
        <v>273</v>
      </c>
      <c r="C288" s="227" t="s">
        <v>74</v>
      </c>
      <c r="D288" s="228" t="s">
        <v>40</v>
      </c>
      <c r="E288" s="228" t="s">
        <v>32</v>
      </c>
      <c r="F288" s="229" t="s">
        <v>39</v>
      </c>
      <c r="G288" s="264"/>
      <c r="H288" s="242">
        <f>H289+H292+H295+H298</f>
        <v>67603.499999999985</v>
      </c>
      <c r="I288" s="242">
        <f>I289+I292+I295+I298</f>
        <v>69133.8</v>
      </c>
    </row>
    <row r="289" spans="1:9" ht="132" customHeight="1" x14ac:dyDescent="0.35">
      <c r="A289" s="403"/>
      <c r="B289" s="557" t="s">
        <v>346</v>
      </c>
      <c r="C289" s="227" t="s">
        <v>74</v>
      </c>
      <c r="D289" s="228" t="s">
        <v>40</v>
      </c>
      <c r="E289" s="228" t="s">
        <v>32</v>
      </c>
      <c r="F289" s="229" t="s">
        <v>533</v>
      </c>
      <c r="G289" s="41"/>
      <c r="H289" s="242">
        <f>SUM(H290:H291)</f>
        <v>36785</v>
      </c>
      <c r="I289" s="242">
        <f>SUM(I290:I291)</f>
        <v>38255.5</v>
      </c>
    </row>
    <row r="290" spans="1:9" ht="36" x14ac:dyDescent="0.35">
      <c r="A290" s="403"/>
      <c r="B290" s="558" t="s">
        <v>50</v>
      </c>
      <c r="C290" s="227" t="s">
        <v>74</v>
      </c>
      <c r="D290" s="228" t="s">
        <v>40</v>
      </c>
      <c r="E290" s="228" t="s">
        <v>32</v>
      </c>
      <c r="F290" s="229" t="s">
        <v>533</v>
      </c>
      <c r="G290" s="41" t="s">
        <v>51</v>
      </c>
      <c r="H290" s="242">
        <f>'прил10 (ведом 23-24)'!M552</f>
        <v>184</v>
      </c>
      <c r="I290" s="242">
        <f>'прил10 (ведом 23-24)'!N552</f>
        <v>191.3</v>
      </c>
    </row>
    <row r="291" spans="1:9" ht="30" customHeight="1" x14ac:dyDescent="0.35">
      <c r="A291" s="403"/>
      <c r="B291" s="414" t="s">
        <v>115</v>
      </c>
      <c r="C291" s="227" t="s">
        <v>74</v>
      </c>
      <c r="D291" s="228" t="s">
        <v>40</v>
      </c>
      <c r="E291" s="228" t="s">
        <v>32</v>
      </c>
      <c r="F291" s="229" t="s">
        <v>533</v>
      </c>
      <c r="G291" s="41" t="s">
        <v>116</v>
      </c>
      <c r="H291" s="242">
        <f>'прил10 (ведом 23-24)'!M553</f>
        <v>36601</v>
      </c>
      <c r="I291" s="242">
        <f>'прил10 (ведом 23-24)'!N553</f>
        <v>38064.199999999997</v>
      </c>
    </row>
    <row r="292" spans="1:9" ht="90" x14ac:dyDescent="0.35">
      <c r="A292" s="403"/>
      <c r="B292" s="414" t="s">
        <v>348</v>
      </c>
      <c r="C292" s="227" t="s">
        <v>74</v>
      </c>
      <c r="D292" s="228" t="s">
        <v>40</v>
      </c>
      <c r="E292" s="228" t="s">
        <v>32</v>
      </c>
      <c r="F292" s="229" t="s">
        <v>535</v>
      </c>
      <c r="G292" s="41"/>
      <c r="H292" s="242">
        <f>SUM(H293:H294)</f>
        <v>1495.2</v>
      </c>
      <c r="I292" s="242">
        <f>SUM(I293:I294)</f>
        <v>1555</v>
      </c>
    </row>
    <row r="293" spans="1:9" ht="36" x14ac:dyDescent="0.35">
      <c r="A293" s="403"/>
      <c r="B293" s="414" t="s">
        <v>50</v>
      </c>
      <c r="C293" s="227" t="s">
        <v>74</v>
      </c>
      <c r="D293" s="228" t="s">
        <v>40</v>
      </c>
      <c r="E293" s="228" t="s">
        <v>32</v>
      </c>
      <c r="F293" s="229" t="s">
        <v>535</v>
      </c>
      <c r="G293" s="41" t="s">
        <v>51</v>
      </c>
      <c r="H293" s="242">
        <f>'прил10 (ведом 23-24)'!M555</f>
        <v>7.5</v>
      </c>
      <c r="I293" s="242">
        <f>'прил10 (ведом 23-24)'!N555</f>
        <v>7.8</v>
      </c>
    </row>
    <row r="294" spans="1:9" ht="26.25" customHeight="1" x14ac:dyDescent="0.35">
      <c r="A294" s="403"/>
      <c r="B294" s="414" t="s">
        <v>115</v>
      </c>
      <c r="C294" s="227" t="s">
        <v>74</v>
      </c>
      <c r="D294" s="228" t="s">
        <v>40</v>
      </c>
      <c r="E294" s="228" t="s">
        <v>32</v>
      </c>
      <c r="F294" s="229" t="s">
        <v>535</v>
      </c>
      <c r="G294" s="41" t="s">
        <v>116</v>
      </c>
      <c r="H294" s="242">
        <f>'прил10 (ведом 23-24)'!M556</f>
        <v>1487.7</v>
      </c>
      <c r="I294" s="242">
        <f>'прил10 (ведом 23-24)'!N556</f>
        <v>1547.2</v>
      </c>
    </row>
    <row r="295" spans="1:9" ht="90" x14ac:dyDescent="0.35">
      <c r="A295" s="403"/>
      <c r="B295" s="414" t="s">
        <v>347</v>
      </c>
      <c r="C295" s="227" t="s">
        <v>74</v>
      </c>
      <c r="D295" s="228" t="s">
        <v>40</v>
      </c>
      <c r="E295" s="228" t="s">
        <v>32</v>
      </c>
      <c r="F295" s="229" t="s">
        <v>534</v>
      </c>
      <c r="G295" s="41"/>
      <c r="H295" s="242">
        <f>SUM(H296:H297)</f>
        <v>27520.6</v>
      </c>
      <c r="I295" s="242">
        <f>SUM(I296:I297)</f>
        <v>27520.6</v>
      </c>
    </row>
    <row r="296" spans="1:9" ht="36" x14ac:dyDescent="0.35">
      <c r="A296" s="403"/>
      <c r="B296" s="558" t="s">
        <v>50</v>
      </c>
      <c r="C296" s="227" t="s">
        <v>74</v>
      </c>
      <c r="D296" s="228" t="s">
        <v>40</v>
      </c>
      <c r="E296" s="228" t="s">
        <v>32</v>
      </c>
      <c r="F296" s="229" t="s">
        <v>534</v>
      </c>
      <c r="G296" s="41" t="s">
        <v>51</v>
      </c>
      <c r="H296" s="242">
        <f>'прил10 (ведом 23-24)'!M558</f>
        <v>137.6</v>
      </c>
      <c r="I296" s="242">
        <f>'прил10 (ведом 23-24)'!N558</f>
        <v>137.6</v>
      </c>
    </row>
    <row r="297" spans="1:9" ht="29.25" customHeight="1" x14ac:dyDescent="0.35">
      <c r="A297" s="403"/>
      <c r="B297" s="414" t="s">
        <v>115</v>
      </c>
      <c r="C297" s="227" t="s">
        <v>74</v>
      </c>
      <c r="D297" s="228" t="s">
        <v>40</v>
      </c>
      <c r="E297" s="228" t="s">
        <v>32</v>
      </c>
      <c r="F297" s="229" t="s">
        <v>534</v>
      </c>
      <c r="G297" s="41" t="s">
        <v>116</v>
      </c>
      <c r="H297" s="242">
        <f>'прил10 (ведом 23-24)'!M559</f>
        <v>27383</v>
      </c>
      <c r="I297" s="242">
        <f>'прил10 (ведом 23-24)'!N559</f>
        <v>27383</v>
      </c>
    </row>
    <row r="298" spans="1:9" ht="108" x14ac:dyDescent="0.35">
      <c r="A298" s="403"/>
      <c r="B298" s="414" t="s">
        <v>354</v>
      </c>
      <c r="C298" s="227" t="s">
        <v>74</v>
      </c>
      <c r="D298" s="228" t="s">
        <v>40</v>
      </c>
      <c r="E298" s="228" t="s">
        <v>32</v>
      </c>
      <c r="F298" s="229" t="s">
        <v>536</v>
      </c>
      <c r="G298" s="41"/>
      <c r="H298" s="242">
        <f>SUM(H299:H300)</f>
        <v>1802.7</v>
      </c>
      <c r="I298" s="242">
        <f>SUM(I299:I300)</f>
        <v>1802.7</v>
      </c>
    </row>
    <row r="299" spans="1:9" ht="36" x14ac:dyDescent="0.35">
      <c r="A299" s="403"/>
      <c r="B299" s="414" t="s">
        <v>50</v>
      </c>
      <c r="C299" s="227" t="s">
        <v>74</v>
      </c>
      <c r="D299" s="228" t="s">
        <v>40</v>
      </c>
      <c r="E299" s="228" t="s">
        <v>32</v>
      </c>
      <c r="F299" s="229" t="s">
        <v>536</v>
      </c>
      <c r="G299" s="41" t="s">
        <v>51</v>
      </c>
      <c r="H299" s="242">
        <f>'прил10 (ведом 23-24)'!M561</f>
        <v>9</v>
      </c>
      <c r="I299" s="242">
        <f>'прил10 (ведом 23-24)'!N561</f>
        <v>9</v>
      </c>
    </row>
    <row r="300" spans="1:9" ht="25.5" customHeight="1" x14ac:dyDescent="0.35">
      <c r="A300" s="403"/>
      <c r="B300" s="414" t="s">
        <v>115</v>
      </c>
      <c r="C300" s="227" t="s">
        <v>74</v>
      </c>
      <c r="D300" s="228" t="s">
        <v>40</v>
      </c>
      <c r="E300" s="228" t="s">
        <v>32</v>
      </c>
      <c r="F300" s="229" t="s">
        <v>536</v>
      </c>
      <c r="G300" s="41" t="s">
        <v>116</v>
      </c>
      <c r="H300" s="242">
        <f>'прил10 (ведом 23-24)'!M562</f>
        <v>1793.7</v>
      </c>
      <c r="I300" s="242">
        <f>'прил10 (ведом 23-24)'!N562</f>
        <v>1793.7</v>
      </c>
    </row>
    <row r="301" spans="1:9" ht="72" x14ac:dyDescent="0.35">
      <c r="A301" s="403"/>
      <c r="B301" s="459" t="s">
        <v>289</v>
      </c>
      <c r="C301" s="485" t="s">
        <v>74</v>
      </c>
      <c r="D301" s="486" t="s">
        <v>40</v>
      </c>
      <c r="E301" s="486" t="s">
        <v>34</v>
      </c>
      <c r="F301" s="487" t="s">
        <v>39</v>
      </c>
      <c r="G301" s="488"/>
      <c r="H301" s="242">
        <f>H302+H304</f>
        <v>47267.9</v>
      </c>
      <c r="I301" s="242">
        <f>I302+I304</f>
        <v>47267.9</v>
      </c>
    </row>
    <row r="302" spans="1:9" ht="94.5" customHeight="1" x14ac:dyDescent="0.35">
      <c r="A302" s="403"/>
      <c r="B302" s="435" t="s">
        <v>405</v>
      </c>
      <c r="C302" s="415" t="s">
        <v>74</v>
      </c>
      <c r="D302" s="416" t="s">
        <v>40</v>
      </c>
      <c r="E302" s="416" t="s">
        <v>34</v>
      </c>
      <c r="F302" s="417" t="s">
        <v>406</v>
      </c>
      <c r="G302" s="418"/>
      <c r="H302" s="242">
        <f>H303</f>
        <v>39126.1</v>
      </c>
      <c r="I302" s="242">
        <f>I303</f>
        <v>39126.1</v>
      </c>
    </row>
    <row r="303" spans="1:9" ht="36" x14ac:dyDescent="0.35">
      <c r="A303" s="403"/>
      <c r="B303" s="435" t="s">
        <v>198</v>
      </c>
      <c r="C303" s="415" t="s">
        <v>74</v>
      </c>
      <c r="D303" s="416" t="s">
        <v>40</v>
      </c>
      <c r="E303" s="416" t="s">
        <v>34</v>
      </c>
      <c r="F303" s="417" t="s">
        <v>406</v>
      </c>
      <c r="G303" s="418" t="s">
        <v>199</v>
      </c>
      <c r="H303" s="242">
        <f>'прил10 (ведом 23-24)'!M260</f>
        <v>39126.1</v>
      </c>
      <c r="I303" s="242">
        <f>'прил10 (ведом 23-24)'!N260</f>
        <v>39126.1</v>
      </c>
    </row>
    <row r="304" spans="1:9" ht="90" x14ac:dyDescent="0.35">
      <c r="A304" s="403"/>
      <c r="B304" s="113" t="s">
        <v>405</v>
      </c>
      <c r="C304" s="88" t="s">
        <v>74</v>
      </c>
      <c r="D304" s="89" t="s">
        <v>40</v>
      </c>
      <c r="E304" s="89" t="s">
        <v>34</v>
      </c>
      <c r="F304" s="114" t="s">
        <v>544</v>
      </c>
      <c r="G304" s="91"/>
      <c r="H304" s="242">
        <f>H305</f>
        <v>8141.8</v>
      </c>
      <c r="I304" s="242">
        <f>I305</f>
        <v>8141.8</v>
      </c>
    </row>
    <row r="305" spans="1:9" ht="36" x14ac:dyDescent="0.35">
      <c r="A305" s="403"/>
      <c r="B305" s="113" t="s">
        <v>198</v>
      </c>
      <c r="C305" s="88" t="s">
        <v>74</v>
      </c>
      <c r="D305" s="89" t="s">
        <v>40</v>
      </c>
      <c r="E305" s="89" t="s">
        <v>34</v>
      </c>
      <c r="F305" s="114" t="s">
        <v>544</v>
      </c>
      <c r="G305" s="91" t="s">
        <v>199</v>
      </c>
      <c r="H305" s="242">
        <f>'прил10 (ведом 23-24)'!M262</f>
        <v>8141.8</v>
      </c>
      <c r="I305" s="242">
        <f>'прил10 (ведом 23-24)'!N262</f>
        <v>8141.8</v>
      </c>
    </row>
    <row r="306" spans="1:9" ht="36" x14ac:dyDescent="0.35">
      <c r="A306" s="403"/>
      <c r="B306" s="414" t="s">
        <v>224</v>
      </c>
      <c r="C306" s="227" t="s">
        <v>74</v>
      </c>
      <c r="D306" s="228" t="s">
        <v>40</v>
      </c>
      <c r="E306" s="228" t="s">
        <v>58</v>
      </c>
      <c r="F306" s="229" t="s">
        <v>39</v>
      </c>
      <c r="G306" s="41"/>
      <c r="H306" s="242">
        <f>H307+H310+H313</f>
        <v>7895</v>
      </c>
      <c r="I306" s="242">
        <f>I307+I310+I313</f>
        <v>7895</v>
      </c>
    </row>
    <row r="307" spans="1:9" ht="234" x14ac:dyDescent="0.35">
      <c r="A307" s="403"/>
      <c r="B307" s="414" t="s">
        <v>227</v>
      </c>
      <c r="C307" s="227" t="s">
        <v>74</v>
      </c>
      <c r="D307" s="228" t="s">
        <v>40</v>
      </c>
      <c r="E307" s="228" t="s">
        <v>58</v>
      </c>
      <c r="F307" s="229" t="s">
        <v>537</v>
      </c>
      <c r="G307" s="41"/>
      <c r="H307" s="242">
        <f>SUM(H308:H309)</f>
        <v>905.8</v>
      </c>
      <c r="I307" s="242">
        <f>SUM(I308:I309)</f>
        <v>905.8</v>
      </c>
    </row>
    <row r="308" spans="1:9" ht="90" x14ac:dyDescent="0.35">
      <c r="A308" s="403"/>
      <c r="B308" s="414" t="s">
        <v>44</v>
      </c>
      <c r="C308" s="227" t="s">
        <v>74</v>
      </c>
      <c r="D308" s="228" t="s">
        <v>40</v>
      </c>
      <c r="E308" s="228" t="s">
        <v>58</v>
      </c>
      <c r="F308" s="229" t="s">
        <v>537</v>
      </c>
      <c r="G308" s="41" t="s">
        <v>45</v>
      </c>
      <c r="H308" s="242">
        <f>'прил10 (ведом 23-24)'!M568</f>
        <v>845.8</v>
      </c>
      <c r="I308" s="242">
        <f>'прил10 (ведом 23-24)'!N568</f>
        <v>845.8</v>
      </c>
    </row>
    <row r="309" spans="1:9" ht="36" x14ac:dyDescent="0.35">
      <c r="A309" s="403"/>
      <c r="B309" s="414" t="s">
        <v>50</v>
      </c>
      <c r="C309" s="227" t="s">
        <v>74</v>
      </c>
      <c r="D309" s="228" t="s">
        <v>40</v>
      </c>
      <c r="E309" s="228" t="s">
        <v>58</v>
      </c>
      <c r="F309" s="229" t="s">
        <v>537</v>
      </c>
      <c r="G309" s="41" t="s">
        <v>51</v>
      </c>
      <c r="H309" s="242">
        <f>'прил10 (ведом 23-24)'!M569</f>
        <v>60</v>
      </c>
      <c r="I309" s="242">
        <f>'прил10 (ведом 23-24)'!N569</f>
        <v>60</v>
      </c>
    </row>
    <row r="310" spans="1:9" ht="90" x14ac:dyDescent="0.35">
      <c r="A310" s="403"/>
      <c r="B310" s="65" t="s">
        <v>434</v>
      </c>
      <c r="C310" s="227" t="s">
        <v>74</v>
      </c>
      <c r="D310" s="228" t="s">
        <v>40</v>
      </c>
      <c r="E310" s="228" t="s">
        <v>58</v>
      </c>
      <c r="F310" s="229" t="s">
        <v>531</v>
      </c>
      <c r="G310" s="41"/>
      <c r="H310" s="242">
        <f>SUM(H311:H312)</f>
        <v>662.2</v>
      </c>
      <c r="I310" s="242">
        <f>SUM(I311:I312)</f>
        <v>662.2</v>
      </c>
    </row>
    <row r="311" spans="1:9" ht="90" x14ac:dyDescent="0.35">
      <c r="A311" s="403"/>
      <c r="B311" s="414" t="s">
        <v>44</v>
      </c>
      <c r="C311" s="227" t="s">
        <v>74</v>
      </c>
      <c r="D311" s="228" t="s">
        <v>40</v>
      </c>
      <c r="E311" s="228" t="s">
        <v>58</v>
      </c>
      <c r="F311" s="229" t="s">
        <v>531</v>
      </c>
      <c r="G311" s="41" t="s">
        <v>45</v>
      </c>
      <c r="H311" s="242">
        <f>'прил10 (ведом 23-24)'!M571</f>
        <v>632.20000000000005</v>
      </c>
      <c r="I311" s="242">
        <f>'прил10 (ведом 23-24)'!N571</f>
        <v>632.20000000000005</v>
      </c>
    </row>
    <row r="312" spans="1:9" ht="36" x14ac:dyDescent="0.35">
      <c r="A312" s="403"/>
      <c r="B312" s="414" t="s">
        <v>50</v>
      </c>
      <c r="C312" s="227" t="s">
        <v>74</v>
      </c>
      <c r="D312" s="228" t="s">
        <v>40</v>
      </c>
      <c r="E312" s="228" t="s">
        <v>58</v>
      </c>
      <c r="F312" s="229" t="s">
        <v>531</v>
      </c>
      <c r="G312" s="41" t="s">
        <v>51</v>
      </c>
      <c r="H312" s="242">
        <f>'прил10 (ведом 23-24)'!M572</f>
        <v>30</v>
      </c>
      <c r="I312" s="242">
        <f>'прил10 (ведом 23-24)'!N572</f>
        <v>30</v>
      </c>
    </row>
    <row r="313" spans="1:9" ht="72" x14ac:dyDescent="0.35">
      <c r="A313" s="403"/>
      <c r="B313" s="414" t="s">
        <v>226</v>
      </c>
      <c r="C313" s="227" t="s">
        <v>74</v>
      </c>
      <c r="D313" s="228" t="s">
        <v>40</v>
      </c>
      <c r="E313" s="228" t="s">
        <v>58</v>
      </c>
      <c r="F313" s="229" t="s">
        <v>532</v>
      </c>
      <c r="G313" s="41"/>
      <c r="H313" s="242">
        <f>H314+H315</f>
        <v>6327</v>
      </c>
      <c r="I313" s="242">
        <f>I314+I315</f>
        <v>6327</v>
      </c>
    </row>
    <row r="314" spans="1:9" ht="90" x14ac:dyDescent="0.35">
      <c r="A314" s="403"/>
      <c r="B314" s="414" t="s">
        <v>44</v>
      </c>
      <c r="C314" s="227" t="s">
        <v>74</v>
      </c>
      <c r="D314" s="228" t="s">
        <v>40</v>
      </c>
      <c r="E314" s="228" t="s">
        <v>58</v>
      </c>
      <c r="F314" s="229" t="s">
        <v>532</v>
      </c>
      <c r="G314" s="41" t="s">
        <v>45</v>
      </c>
      <c r="H314" s="242">
        <f>'прил10 (ведом 23-24)'!M574</f>
        <v>5967</v>
      </c>
      <c r="I314" s="242">
        <f>'прил10 (ведом 23-24)'!N574</f>
        <v>5967</v>
      </c>
    </row>
    <row r="315" spans="1:9" ht="36" x14ac:dyDescent="0.35">
      <c r="A315" s="403"/>
      <c r="B315" s="414" t="s">
        <v>50</v>
      </c>
      <c r="C315" s="559" t="s">
        <v>74</v>
      </c>
      <c r="D315" s="560" t="s">
        <v>40</v>
      </c>
      <c r="E315" s="560" t="s">
        <v>58</v>
      </c>
      <c r="F315" s="229" t="s">
        <v>532</v>
      </c>
      <c r="G315" s="41" t="s">
        <v>51</v>
      </c>
      <c r="H315" s="242">
        <f>'прил10 (ведом 23-24)'!M575</f>
        <v>360</v>
      </c>
      <c r="I315" s="242">
        <f>'прил10 (ведом 23-24)'!N575</f>
        <v>360</v>
      </c>
    </row>
    <row r="316" spans="1:9" ht="77.25" customHeight="1" x14ac:dyDescent="0.35">
      <c r="A316" s="403"/>
      <c r="B316" s="441" t="s">
        <v>425</v>
      </c>
      <c r="C316" s="227" t="s">
        <v>74</v>
      </c>
      <c r="D316" s="228" t="s">
        <v>40</v>
      </c>
      <c r="E316" s="228" t="s">
        <v>47</v>
      </c>
      <c r="F316" s="229" t="s">
        <v>39</v>
      </c>
      <c r="G316" s="41"/>
      <c r="H316" s="242">
        <f>H317</f>
        <v>504</v>
      </c>
      <c r="I316" s="242">
        <f>I317</f>
        <v>504</v>
      </c>
    </row>
    <row r="317" spans="1:9" ht="72" x14ac:dyDescent="0.35">
      <c r="A317" s="403"/>
      <c r="B317" s="441" t="s">
        <v>420</v>
      </c>
      <c r="C317" s="227" t="s">
        <v>74</v>
      </c>
      <c r="D317" s="228" t="s">
        <v>40</v>
      </c>
      <c r="E317" s="228" t="s">
        <v>47</v>
      </c>
      <c r="F317" s="229" t="s">
        <v>345</v>
      </c>
      <c r="G317" s="41"/>
      <c r="H317" s="242">
        <f>H318</f>
        <v>504</v>
      </c>
      <c r="I317" s="242">
        <f>I318</f>
        <v>504</v>
      </c>
    </row>
    <row r="318" spans="1:9" ht="26.25" customHeight="1" x14ac:dyDescent="0.35">
      <c r="A318" s="403"/>
      <c r="B318" s="427" t="s">
        <v>115</v>
      </c>
      <c r="C318" s="227" t="s">
        <v>74</v>
      </c>
      <c r="D318" s="228" t="s">
        <v>40</v>
      </c>
      <c r="E318" s="228" t="s">
        <v>47</v>
      </c>
      <c r="F318" s="229" t="s">
        <v>345</v>
      </c>
      <c r="G318" s="41" t="s">
        <v>116</v>
      </c>
      <c r="H318" s="242">
        <f>'прил10 (ведом 23-24)'!M164</f>
        <v>504</v>
      </c>
      <c r="I318" s="242">
        <f>'прил10 (ведом 23-24)'!N164</f>
        <v>504</v>
      </c>
    </row>
    <row r="319" spans="1:9" ht="18" x14ac:dyDescent="0.35">
      <c r="A319" s="403"/>
      <c r="B319" s="427"/>
      <c r="C319" s="228"/>
      <c r="D319" s="228"/>
      <c r="E319" s="228"/>
      <c r="F319" s="229"/>
      <c r="G319" s="41"/>
      <c r="H319" s="242"/>
      <c r="I319" s="242"/>
    </row>
    <row r="320" spans="1:9" ht="69.599999999999994" x14ac:dyDescent="0.3">
      <c r="A320" s="423">
        <v>9</v>
      </c>
      <c r="B320" s="489" t="s">
        <v>321</v>
      </c>
      <c r="C320" s="490" t="s">
        <v>99</v>
      </c>
      <c r="D320" s="491" t="s">
        <v>37</v>
      </c>
      <c r="E320" s="491" t="s">
        <v>38</v>
      </c>
      <c r="F320" s="492" t="s">
        <v>39</v>
      </c>
      <c r="G320" s="493"/>
      <c r="H320" s="289">
        <f>H321</f>
        <v>3516.2</v>
      </c>
      <c r="I320" s="289">
        <f>I321</f>
        <v>0</v>
      </c>
    </row>
    <row r="321" spans="1:9" ht="54" x14ac:dyDescent="0.35">
      <c r="A321" s="403"/>
      <c r="B321" s="240" t="s">
        <v>477</v>
      </c>
      <c r="C321" s="227" t="s">
        <v>99</v>
      </c>
      <c r="D321" s="228" t="s">
        <v>29</v>
      </c>
      <c r="E321" s="228" t="s">
        <v>38</v>
      </c>
      <c r="F321" s="229" t="s">
        <v>39</v>
      </c>
      <c r="G321" s="41"/>
      <c r="H321" s="242">
        <f t="shared" ref="H321:I323" si="7">H322</f>
        <v>3516.2</v>
      </c>
      <c r="I321" s="242">
        <f t="shared" si="7"/>
        <v>0</v>
      </c>
    </row>
    <row r="322" spans="1:9" ht="36" x14ac:dyDescent="0.35">
      <c r="A322" s="403"/>
      <c r="B322" s="240" t="s">
        <v>478</v>
      </c>
      <c r="C322" s="227" t="s">
        <v>99</v>
      </c>
      <c r="D322" s="228" t="s">
        <v>29</v>
      </c>
      <c r="E322" s="228" t="s">
        <v>32</v>
      </c>
      <c r="F322" s="229" t="s">
        <v>39</v>
      </c>
      <c r="G322" s="41"/>
      <c r="H322" s="242">
        <f t="shared" si="7"/>
        <v>3516.2</v>
      </c>
      <c r="I322" s="242">
        <f t="shared" si="7"/>
        <v>0</v>
      </c>
    </row>
    <row r="323" spans="1:9" ht="36" x14ac:dyDescent="0.35">
      <c r="A323" s="403"/>
      <c r="B323" s="240" t="s">
        <v>479</v>
      </c>
      <c r="C323" s="227" t="s">
        <v>99</v>
      </c>
      <c r="D323" s="228" t="s">
        <v>29</v>
      </c>
      <c r="E323" s="228" t="s">
        <v>32</v>
      </c>
      <c r="F323" s="229" t="s">
        <v>480</v>
      </c>
      <c r="G323" s="41"/>
      <c r="H323" s="242">
        <f t="shared" si="7"/>
        <v>3516.2</v>
      </c>
      <c r="I323" s="242">
        <f t="shared" si="7"/>
        <v>0</v>
      </c>
    </row>
    <row r="324" spans="1:9" ht="36" x14ac:dyDescent="0.35">
      <c r="A324" s="403"/>
      <c r="B324" s="240" t="s">
        <v>50</v>
      </c>
      <c r="C324" s="227" t="s">
        <v>99</v>
      </c>
      <c r="D324" s="228" t="s">
        <v>29</v>
      </c>
      <c r="E324" s="228" t="s">
        <v>32</v>
      </c>
      <c r="F324" s="229" t="s">
        <v>480</v>
      </c>
      <c r="G324" s="41" t="s">
        <v>51</v>
      </c>
      <c r="H324" s="242">
        <f>'прил10 (ведом 23-24)'!M157</f>
        <v>3516.2</v>
      </c>
      <c r="I324" s="242">
        <f>'прил10 (ведом 23-24)'!N157</f>
        <v>0</v>
      </c>
    </row>
    <row r="325" spans="1:9" ht="18" x14ac:dyDescent="0.35">
      <c r="A325" s="403"/>
      <c r="B325" s="427"/>
      <c r="C325" s="228"/>
      <c r="D325" s="228"/>
      <c r="E325" s="228"/>
      <c r="F325" s="229"/>
      <c r="G325" s="41"/>
      <c r="H325" s="242"/>
      <c r="I325" s="242"/>
    </row>
    <row r="326" spans="1:9" s="413" customFormat="1" ht="52.2" x14ac:dyDescent="0.3">
      <c r="A326" s="423">
        <v>10</v>
      </c>
      <c r="B326" s="434" t="s">
        <v>89</v>
      </c>
      <c r="C326" s="424" t="s">
        <v>62</v>
      </c>
      <c r="D326" s="424" t="s">
        <v>37</v>
      </c>
      <c r="E326" s="424" t="s">
        <v>38</v>
      </c>
      <c r="F326" s="425" t="s">
        <v>39</v>
      </c>
      <c r="G326" s="494"/>
      <c r="H326" s="289">
        <f>H327</f>
        <v>12695.300000000001</v>
      </c>
      <c r="I326" s="289">
        <f>I327</f>
        <v>17253.900000000001</v>
      </c>
    </row>
    <row r="327" spans="1:9" ht="18.75" customHeight="1" x14ac:dyDescent="0.35">
      <c r="A327" s="403"/>
      <c r="B327" s="414" t="s">
        <v>328</v>
      </c>
      <c r="C327" s="227" t="s">
        <v>62</v>
      </c>
      <c r="D327" s="228" t="s">
        <v>40</v>
      </c>
      <c r="E327" s="228" t="s">
        <v>38</v>
      </c>
      <c r="F327" s="229" t="s">
        <v>39</v>
      </c>
      <c r="G327" s="431"/>
      <c r="H327" s="242">
        <f>H328+H331</f>
        <v>12695.300000000001</v>
      </c>
      <c r="I327" s="242">
        <f>I328+I331</f>
        <v>17253.900000000001</v>
      </c>
    </row>
    <row r="328" spans="1:9" ht="36" x14ac:dyDescent="0.35">
      <c r="A328" s="403"/>
      <c r="B328" s="414" t="s">
        <v>90</v>
      </c>
      <c r="C328" s="227" t="s">
        <v>62</v>
      </c>
      <c r="D328" s="228" t="s">
        <v>40</v>
      </c>
      <c r="E328" s="228" t="s">
        <v>32</v>
      </c>
      <c r="F328" s="229" t="s">
        <v>39</v>
      </c>
      <c r="G328" s="431"/>
      <c r="H328" s="242">
        <f>H329</f>
        <v>11070.6</v>
      </c>
      <c r="I328" s="242">
        <f>I329</f>
        <v>15776.9</v>
      </c>
    </row>
    <row r="329" spans="1:9" ht="54" x14ac:dyDescent="0.35">
      <c r="A329" s="403"/>
      <c r="B329" s="495" t="s">
        <v>397</v>
      </c>
      <c r="C329" s="227" t="s">
        <v>62</v>
      </c>
      <c r="D329" s="228" t="s">
        <v>40</v>
      </c>
      <c r="E329" s="228" t="s">
        <v>32</v>
      </c>
      <c r="F329" s="229" t="s">
        <v>56</v>
      </c>
      <c r="G329" s="41"/>
      <c r="H329" s="242">
        <f>H330</f>
        <v>11070.6</v>
      </c>
      <c r="I329" s="242">
        <f>I330</f>
        <v>15776.9</v>
      </c>
    </row>
    <row r="330" spans="1:9" ht="18" x14ac:dyDescent="0.35">
      <c r="A330" s="403"/>
      <c r="B330" s="414" t="s">
        <v>52</v>
      </c>
      <c r="C330" s="227" t="s">
        <v>62</v>
      </c>
      <c r="D330" s="228" t="s">
        <v>40</v>
      </c>
      <c r="E330" s="228" t="s">
        <v>32</v>
      </c>
      <c r="F330" s="229" t="s">
        <v>56</v>
      </c>
      <c r="G330" s="41" t="s">
        <v>53</v>
      </c>
      <c r="H330" s="242">
        <f>'прил10 (ведом 23-24)'!M117</f>
        <v>11070.6</v>
      </c>
      <c r="I330" s="242">
        <f>'прил10 (ведом 23-24)'!N117</f>
        <v>15776.9</v>
      </c>
    </row>
    <row r="331" spans="1:9" ht="54" x14ac:dyDescent="0.35">
      <c r="A331" s="403"/>
      <c r="B331" s="414" t="s">
        <v>91</v>
      </c>
      <c r="C331" s="227" t="s">
        <v>62</v>
      </c>
      <c r="D331" s="228" t="s">
        <v>40</v>
      </c>
      <c r="E331" s="228" t="s">
        <v>34</v>
      </c>
      <c r="F331" s="229" t="s">
        <v>39</v>
      </c>
      <c r="G331" s="41"/>
      <c r="H331" s="242">
        <f>H332</f>
        <v>1624.7</v>
      </c>
      <c r="I331" s="242">
        <f>I332</f>
        <v>1477</v>
      </c>
    </row>
    <row r="332" spans="1:9" ht="162" x14ac:dyDescent="0.35">
      <c r="A332" s="403"/>
      <c r="B332" s="240" t="s">
        <v>514</v>
      </c>
      <c r="C332" s="227" t="s">
        <v>62</v>
      </c>
      <c r="D332" s="228" t="s">
        <v>40</v>
      </c>
      <c r="E332" s="228" t="s">
        <v>34</v>
      </c>
      <c r="F332" s="229" t="s">
        <v>92</v>
      </c>
      <c r="G332" s="41"/>
      <c r="H332" s="242">
        <f>H333</f>
        <v>1624.7</v>
      </c>
      <c r="I332" s="242">
        <f>I333</f>
        <v>1477</v>
      </c>
    </row>
    <row r="333" spans="1:9" ht="36" x14ac:dyDescent="0.35">
      <c r="A333" s="403"/>
      <c r="B333" s="414" t="s">
        <v>50</v>
      </c>
      <c r="C333" s="227" t="s">
        <v>62</v>
      </c>
      <c r="D333" s="228" t="s">
        <v>40</v>
      </c>
      <c r="E333" s="228" t="s">
        <v>34</v>
      </c>
      <c r="F333" s="229" t="s">
        <v>92</v>
      </c>
      <c r="G333" s="41" t="s">
        <v>51</v>
      </c>
      <c r="H333" s="242">
        <f>'прил10 (ведом 23-24)'!M120</f>
        <v>1624.7</v>
      </c>
      <c r="I333" s="242">
        <f>'прил10 (ведом 23-24)'!N120</f>
        <v>1477</v>
      </c>
    </row>
    <row r="334" spans="1:9" ht="18" x14ac:dyDescent="0.35">
      <c r="A334" s="403"/>
      <c r="B334" s="422"/>
      <c r="C334" s="599"/>
      <c r="D334" s="599"/>
      <c r="E334" s="599"/>
      <c r="F334" s="600"/>
      <c r="G334" s="264"/>
      <c r="H334" s="242"/>
      <c r="I334" s="242"/>
    </row>
    <row r="335" spans="1:9" s="413" customFormat="1" ht="52.2" x14ac:dyDescent="0.3">
      <c r="A335" s="423">
        <v>11</v>
      </c>
      <c r="B335" s="434" t="s">
        <v>94</v>
      </c>
      <c r="C335" s="424" t="s">
        <v>95</v>
      </c>
      <c r="D335" s="424" t="s">
        <v>37</v>
      </c>
      <c r="E335" s="424" t="s">
        <v>38</v>
      </c>
      <c r="F335" s="425" t="s">
        <v>39</v>
      </c>
      <c r="G335" s="412"/>
      <c r="H335" s="289">
        <f t="shared" ref="H335:I338" si="8">H336</f>
        <v>6443.4</v>
      </c>
      <c r="I335" s="289">
        <f t="shared" si="8"/>
        <v>6701.1</v>
      </c>
    </row>
    <row r="336" spans="1:9" s="413" customFormat="1" ht="19.5" customHeight="1" x14ac:dyDescent="0.35">
      <c r="A336" s="403"/>
      <c r="B336" s="414" t="s">
        <v>328</v>
      </c>
      <c r="C336" s="227" t="s">
        <v>95</v>
      </c>
      <c r="D336" s="228" t="s">
        <v>40</v>
      </c>
      <c r="E336" s="228" t="s">
        <v>38</v>
      </c>
      <c r="F336" s="229" t="s">
        <v>39</v>
      </c>
      <c r="G336" s="41"/>
      <c r="H336" s="242">
        <f t="shared" si="8"/>
        <v>6443.4</v>
      </c>
      <c r="I336" s="242">
        <f t="shared" si="8"/>
        <v>6701.1</v>
      </c>
    </row>
    <row r="337" spans="1:9" s="413" customFormat="1" ht="72" x14ac:dyDescent="0.35">
      <c r="A337" s="403"/>
      <c r="B337" s="414" t="s">
        <v>96</v>
      </c>
      <c r="C337" s="227" t="s">
        <v>95</v>
      </c>
      <c r="D337" s="228" t="s">
        <v>40</v>
      </c>
      <c r="E337" s="228" t="s">
        <v>32</v>
      </c>
      <c r="F337" s="229" t="s">
        <v>39</v>
      </c>
      <c r="G337" s="41"/>
      <c r="H337" s="242">
        <f t="shared" si="8"/>
        <v>6443.4</v>
      </c>
      <c r="I337" s="242">
        <f t="shared" si="8"/>
        <v>6701.1</v>
      </c>
    </row>
    <row r="338" spans="1:9" s="413" customFormat="1" ht="72" x14ac:dyDescent="0.35">
      <c r="A338" s="403"/>
      <c r="B338" s="426" t="s">
        <v>97</v>
      </c>
      <c r="C338" s="227" t="s">
        <v>95</v>
      </c>
      <c r="D338" s="228" t="s">
        <v>40</v>
      </c>
      <c r="E338" s="228" t="s">
        <v>32</v>
      </c>
      <c r="F338" s="229" t="s">
        <v>98</v>
      </c>
      <c r="G338" s="41"/>
      <c r="H338" s="242">
        <f t="shared" si="8"/>
        <v>6443.4</v>
      </c>
      <c r="I338" s="242">
        <f t="shared" si="8"/>
        <v>6701.1</v>
      </c>
    </row>
    <row r="339" spans="1:9" ht="36" x14ac:dyDescent="0.35">
      <c r="A339" s="403"/>
      <c r="B339" s="414" t="s">
        <v>50</v>
      </c>
      <c r="C339" s="227" t="s">
        <v>95</v>
      </c>
      <c r="D339" s="228" t="s">
        <v>40</v>
      </c>
      <c r="E339" s="228" t="s">
        <v>32</v>
      </c>
      <c r="F339" s="229" t="s">
        <v>98</v>
      </c>
      <c r="G339" s="41" t="s">
        <v>51</v>
      </c>
      <c r="H339" s="242">
        <f>'прил10 (ведом 23-24)'!M126</f>
        <v>6443.4</v>
      </c>
      <c r="I339" s="242">
        <f>'прил10 (ведом 23-24)'!N126</f>
        <v>6701.1</v>
      </c>
    </row>
    <row r="340" spans="1:9" ht="18" x14ac:dyDescent="0.35">
      <c r="A340" s="403"/>
      <c r="B340" s="414"/>
      <c r="C340" s="228"/>
      <c r="D340" s="228"/>
      <c r="E340" s="228"/>
      <c r="F340" s="229"/>
      <c r="G340" s="41"/>
      <c r="H340" s="242"/>
      <c r="I340" s="242"/>
    </row>
    <row r="341" spans="1:9" ht="69.599999999999994" x14ac:dyDescent="0.3">
      <c r="A341" s="423">
        <v>12</v>
      </c>
      <c r="B341" s="496" t="s">
        <v>102</v>
      </c>
      <c r="C341" s="497" t="s">
        <v>66</v>
      </c>
      <c r="D341" s="498" t="s">
        <v>37</v>
      </c>
      <c r="E341" s="498" t="s">
        <v>38</v>
      </c>
      <c r="F341" s="499" t="s">
        <v>39</v>
      </c>
      <c r="G341" s="166"/>
      <c r="H341" s="289">
        <f>H346+H342</f>
        <v>1025.0999999999999</v>
      </c>
      <c r="I341" s="289">
        <f>I346+I342</f>
        <v>1025.0999999999999</v>
      </c>
    </row>
    <row r="342" spans="1:9" ht="36" x14ac:dyDescent="0.35">
      <c r="A342" s="423"/>
      <c r="B342" s="442" t="s">
        <v>103</v>
      </c>
      <c r="C342" s="227" t="s">
        <v>66</v>
      </c>
      <c r="D342" s="228" t="s">
        <v>40</v>
      </c>
      <c r="E342" s="228" t="s">
        <v>38</v>
      </c>
      <c r="F342" s="229" t="s">
        <v>39</v>
      </c>
      <c r="G342" s="41"/>
      <c r="H342" s="242">
        <f t="shared" ref="H342:H343" si="9">H343</f>
        <v>310</v>
      </c>
      <c r="I342" s="242">
        <f t="shared" ref="I342:I343" si="10">I343</f>
        <v>310</v>
      </c>
    </row>
    <row r="343" spans="1:9" ht="36" x14ac:dyDescent="0.35">
      <c r="A343" s="423"/>
      <c r="B343" s="240" t="s">
        <v>104</v>
      </c>
      <c r="C343" s="227" t="s">
        <v>66</v>
      </c>
      <c r="D343" s="228" t="s">
        <v>40</v>
      </c>
      <c r="E343" s="228" t="s">
        <v>32</v>
      </c>
      <c r="F343" s="229" t="s">
        <v>39</v>
      </c>
      <c r="G343" s="41"/>
      <c r="H343" s="242">
        <f t="shared" si="9"/>
        <v>310</v>
      </c>
      <c r="I343" s="242">
        <f t="shared" si="10"/>
        <v>310</v>
      </c>
    </row>
    <row r="344" spans="1:9" ht="36" x14ac:dyDescent="0.35">
      <c r="A344" s="423"/>
      <c r="B344" s="442" t="s">
        <v>105</v>
      </c>
      <c r="C344" s="227" t="s">
        <v>66</v>
      </c>
      <c r="D344" s="228" t="s">
        <v>40</v>
      </c>
      <c r="E344" s="228" t="s">
        <v>32</v>
      </c>
      <c r="F344" s="229" t="s">
        <v>106</v>
      </c>
      <c r="G344" s="41"/>
      <c r="H344" s="242">
        <f>H345</f>
        <v>310</v>
      </c>
      <c r="I344" s="242">
        <f>I345</f>
        <v>310</v>
      </c>
    </row>
    <row r="345" spans="1:9" ht="36" x14ac:dyDescent="0.35">
      <c r="A345" s="423"/>
      <c r="B345" s="240" t="s">
        <v>50</v>
      </c>
      <c r="C345" s="227" t="s">
        <v>66</v>
      </c>
      <c r="D345" s="228" t="s">
        <v>40</v>
      </c>
      <c r="E345" s="228" t="s">
        <v>32</v>
      </c>
      <c r="F345" s="229" t="s">
        <v>106</v>
      </c>
      <c r="G345" s="41" t="s">
        <v>51</v>
      </c>
      <c r="H345" s="242">
        <f>'прил10 (ведом 23-24)'!M132</f>
        <v>310</v>
      </c>
      <c r="I345" s="242">
        <f>'прил10 (ведом 23-24)'!N132</f>
        <v>310</v>
      </c>
    </row>
    <row r="346" spans="1:9" ht="36" x14ac:dyDescent="0.35">
      <c r="A346" s="403"/>
      <c r="B346" s="442" t="s">
        <v>107</v>
      </c>
      <c r="C346" s="227" t="s">
        <v>66</v>
      </c>
      <c r="D346" s="228" t="s">
        <v>84</v>
      </c>
      <c r="E346" s="228" t="s">
        <v>38</v>
      </c>
      <c r="F346" s="229" t="s">
        <v>39</v>
      </c>
      <c r="G346" s="41"/>
      <c r="H346" s="242">
        <f t="shared" ref="H346:I348" si="11">H347</f>
        <v>715.1</v>
      </c>
      <c r="I346" s="242">
        <f t="shared" si="11"/>
        <v>715.1</v>
      </c>
    </row>
    <row r="347" spans="1:9" ht="36" x14ac:dyDescent="0.35">
      <c r="A347" s="403"/>
      <c r="B347" s="442" t="s">
        <v>108</v>
      </c>
      <c r="C347" s="227" t="s">
        <v>66</v>
      </c>
      <c r="D347" s="228" t="s">
        <v>84</v>
      </c>
      <c r="E347" s="228" t="s">
        <v>32</v>
      </c>
      <c r="F347" s="229" t="s">
        <v>39</v>
      </c>
      <c r="G347" s="41"/>
      <c r="H347" s="242">
        <f t="shared" si="11"/>
        <v>715.1</v>
      </c>
      <c r="I347" s="242">
        <f t="shared" si="11"/>
        <v>715.1</v>
      </c>
    </row>
    <row r="348" spans="1:9" ht="72" x14ac:dyDescent="0.35">
      <c r="A348" s="403"/>
      <c r="B348" s="442" t="s">
        <v>109</v>
      </c>
      <c r="C348" s="227" t="s">
        <v>66</v>
      </c>
      <c r="D348" s="228" t="s">
        <v>84</v>
      </c>
      <c r="E348" s="228" t="s">
        <v>32</v>
      </c>
      <c r="F348" s="229" t="s">
        <v>110</v>
      </c>
      <c r="G348" s="41"/>
      <c r="H348" s="242">
        <f t="shared" si="11"/>
        <v>715.1</v>
      </c>
      <c r="I348" s="242">
        <f t="shared" si="11"/>
        <v>715.1</v>
      </c>
    </row>
    <row r="349" spans="1:9" ht="36" x14ac:dyDescent="0.35">
      <c r="A349" s="403"/>
      <c r="B349" s="240" t="s">
        <v>50</v>
      </c>
      <c r="C349" s="227" t="s">
        <v>66</v>
      </c>
      <c r="D349" s="228" t="s">
        <v>84</v>
      </c>
      <c r="E349" s="228" t="s">
        <v>32</v>
      </c>
      <c r="F349" s="229" t="s">
        <v>110</v>
      </c>
      <c r="G349" s="41" t="s">
        <v>51</v>
      </c>
      <c r="H349" s="242">
        <f>'прил10 (ведом 23-24)'!M136</f>
        <v>715.1</v>
      </c>
      <c r="I349" s="242">
        <f>'прил10 (ведом 23-24)'!N136</f>
        <v>715.1</v>
      </c>
    </row>
    <row r="350" spans="1:9" ht="18" x14ac:dyDescent="0.35">
      <c r="A350" s="403"/>
      <c r="B350" s="240"/>
      <c r="C350" s="228"/>
      <c r="D350" s="228"/>
      <c r="E350" s="228"/>
      <c r="F350" s="229"/>
      <c r="G350" s="41"/>
      <c r="H350" s="242"/>
      <c r="I350" s="242"/>
    </row>
    <row r="351" spans="1:9" ht="52.2" x14ac:dyDescent="0.3">
      <c r="A351" s="423">
        <v>13</v>
      </c>
      <c r="B351" s="496" t="s">
        <v>111</v>
      </c>
      <c r="C351" s="497" t="s">
        <v>83</v>
      </c>
      <c r="D351" s="498" t="s">
        <v>37</v>
      </c>
      <c r="E351" s="498" t="s">
        <v>38</v>
      </c>
      <c r="F351" s="499" t="s">
        <v>39</v>
      </c>
      <c r="G351" s="166"/>
      <c r="H351" s="289">
        <f t="shared" ref="H351:I356" si="12">H352</f>
        <v>891.2</v>
      </c>
      <c r="I351" s="289">
        <f t="shared" si="12"/>
        <v>934.2</v>
      </c>
    </row>
    <row r="352" spans="1:9" ht="30" customHeight="1" x14ac:dyDescent="0.35">
      <c r="A352" s="403"/>
      <c r="B352" s="240" t="s">
        <v>328</v>
      </c>
      <c r="C352" s="227" t="s">
        <v>83</v>
      </c>
      <c r="D352" s="228" t="s">
        <v>40</v>
      </c>
      <c r="E352" s="228" t="s">
        <v>38</v>
      </c>
      <c r="F352" s="229" t="s">
        <v>39</v>
      </c>
      <c r="G352" s="41"/>
      <c r="H352" s="242">
        <f t="shared" si="12"/>
        <v>891.2</v>
      </c>
      <c r="I352" s="242">
        <f t="shared" si="12"/>
        <v>934.2</v>
      </c>
    </row>
    <row r="353" spans="1:9" ht="54" x14ac:dyDescent="0.35">
      <c r="A353" s="403"/>
      <c r="B353" s="442" t="s">
        <v>295</v>
      </c>
      <c r="C353" s="227" t="s">
        <v>83</v>
      </c>
      <c r="D353" s="228" t="s">
        <v>40</v>
      </c>
      <c r="E353" s="228" t="s">
        <v>32</v>
      </c>
      <c r="F353" s="229" t="s">
        <v>39</v>
      </c>
      <c r="G353" s="41"/>
      <c r="H353" s="242">
        <f>H356+H354</f>
        <v>891.2</v>
      </c>
      <c r="I353" s="242">
        <f>I356+I354</f>
        <v>934.2</v>
      </c>
    </row>
    <row r="354" spans="1:9" ht="54" x14ac:dyDescent="0.35">
      <c r="A354" s="403"/>
      <c r="B354" s="442" t="s">
        <v>112</v>
      </c>
      <c r="C354" s="227" t="s">
        <v>83</v>
      </c>
      <c r="D354" s="228" t="s">
        <v>40</v>
      </c>
      <c r="E354" s="228" t="s">
        <v>32</v>
      </c>
      <c r="F354" s="229" t="s">
        <v>113</v>
      </c>
      <c r="G354" s="41"/>
      <c r="H354" s="242">
        <f>H355</f>
        <v>112.2</v>
      </c>
      <c r="I354" s="242">
        <f>I355</f>
        <v>112.2</v>
      </c>
    </row>
    <row r="355" spans="1:9" ht="36" x14ac:dyDescent="0.35">
      <c r="A355" s="403"/>
      <c r="B355" s="240" t="s">
        <v>50</v>
      </c>
      <c r="C355" s="227" t="s">
        <v>83</v>
      </c>
      <c r="D355" s="228" t="s">
        <v>40</v>
      </c>
      <c r="E355" s="228" t="s">
        <v>32</v>
      </c>
      <c r="F355" s="229" t="s">
        <v>113</v>
      </c>
      <c r="G355" s="41" t="s">
        <v>51</v>
      </c>
      <c r="H355" s="242">
        <f>'прил10 (ведом 23-24)'!M141</f>
        <v>112.2</v>
      </c>
      <c r="I355" s="242">
        <f>'прил10 (ведом 23-24)'!N141</f>
        <v>112.2</v>
      </c>
    </row>
    <row r="356" spans="1:9" ht="72" x14ac:dyDescent="0.35">
      <c r="A356" s="403"/>
      <c r="B356" s="240" t="s">
        <v>515</v>
      </c>
      <c r="C356" s="227" t="s">
        <v>83</v>
      </c>
      <c r="D356" s="228" t="s">
        <v>40</v>
      </c>
      <c r="E356" s="228" t="s">
        <v>32</v>
      </c>
      <c r="F356" s="229" t="s">
        <v>513</v>
      </c>
      <c r="G356" s="41"/>
      <c r="H356" s="242">
        <f t="shared" si="12"/>
        <v>779</v>
      </c>
      <c r="I356" s="242">
        <f t="shared" si="12"/>
        <v>822</v>
      </c>
    </row>
    <row r="357" spans="1:9" ht="36" x14ac:dyDescent="0.35">
      <c r="A357" s="403"/>
      <c r="B357" s="240" t="s">
        <v>50</v>
      </c>
      <c r="C357" s="227" t="s">
        <v>83</v>
      </c>
      <c r="D357" s="228" t="s">
        <v>40</v>
      </c>
      <c r="E357" s="228" t="s">
        <v>32</v>
      </c>
      <c r="F357" s="229" t="s">
        <v>513</v>
      </c>
      <c r="G357" s="41" t="s">
        <v>51</v>
      </c>
      <c r="H357" s="242">
        <f>'прил10 (ведом 23-24)'!M143</f>
        <v>779</v>
      </c>
      <c r="I357" s="242">
        <f>'прил10 (ведом 23-24)'!N143</f>
        <v>822</v>
      </c>
    </row>
    <row r="358" spans="1:9" ht="18" x14ac:dyDescent="0.35">
      <c r="A358" s="403"/>
      <c r="B358" s="240"/>
      <c r="C358" s="228"/>
      <c r="D358" s="228"/>
      <c r="E358" s="228"/>
      <c r="F358" s="229"/>
      <c r="G358" s="41"/>
      <c r="H358" s="242"/>
      <c r="I358" s="242"/>
    </row>
    <row r="359" spans="1:9" ht="69.599999999999994" x14ac:dyDescent="0.3">
      <c r="A359" s="423">
        <v>14</v>
      </c>
      <c r="B359" s="434" t="s">
        <v>67</v>
      </c>
      <c r="C359" s="424" t="s">
        <v>68</v>
      </c>
      <c r="D359" s="424" t="s">
        <v>37</v>
      </c>
      <c r="E359" s="424" t="s">
        <v>38</v>
      </c>
      <c r="F359" s="425" t="s">
        <v>39</v>
      </c>
      <c r="G359" s="412"/>
      <c r="H359" s="289">
        <f t="shared" ref="H359:I362" si="13">H360</f>
        <v>1255.7</v>
      </c>
      <c r="I359" s="289">
        <f t="shared" si="13"/>
        <v>1255.7</v>
      </c>
    </row>
    <row r="360" spans="1:9" ht="26.25" customHeight="1" x14ac:dyDescent="0.35">
      <c r="A360" s="403"/>
      <c r="B360" s="414" t="s">
        <v>328</v>
      </c>
      <c r="C360" s="227" t="s">
        <v>68</v>
      </c>
      <c r="D360" s="228" t="s">
        <v>40</v>
      </c>
      <c r="E360" s="228" t="s">
        <v>38</v>
      </c>
      <c r="F360" s="229" t="s">
        <v>39</v>
      </c>
      <c r="G360" s="41"/>
      <c r="H360" s="242">
        <f t="shared" si="13"/>
        <v>1255.7</v>
      </c>
      <c r="I360" s="242">
        <f t="shared" si="13"/>
        <v>1255.7</v>
      </c>
    </row>
    <row r="361" spans="1:9" ht="36" x14ac:dyDescent="0.35">
      <c r="A361" s="403"/>
      <c r="B361" s="443" t="s">
        <v>254</v>
      </c>
      <c r="C361" s="227" t="s">
        <v>68</v>
      </c>
      <c r="D361" s="228" t="s">
        <v>40</v>
      </c>
      <c r="E361" s="228" t="s">
        <v>32</v>
      </c>
      <c r="F361" s="229" t="s">
        <v>39</v>
      </c>
      <c r="G361" s="41"/>
      <c r="H361" s="242">
        <f t="shared" si="13"/>
        <v>1255.7</v>
      </c>
      <c r="I361" s="242">
        <f t="shared" si="13"/>
        <v>1255.7</v>
      </c>
    </row>
    <row r="362" spans="1:9" ht="36" x14ac:dyDescent="0.35">
      <c r="A362" s="403"/>
      <c r="B362" s="443" t="s">
        <v>69</v>
      </c>
      <c r="C362" s="227" t="s">
        <v>68</v>
      </c>
      <c r="D362" s="228" t="s">
        <v>40</v>
      </c>
      <c r="E362" s="228" t="s">
        <v>32</v>
      </c>
      <c r="F362" s="229" t="s">
        <v>70</v>
      </c>
      <c r="G362" s="41"/>
      <c r="H362" s="242">
        <f t="shared" si="13"/>
        <v>1255.7</v>
      </c>
      <c r="I362" s="242">
        <f t="shared" si="13"/>
        <v>1255.7</v>
      </c>
    </row>
    <row r="363" spans="1:9" ht="41.25" customHeight="1" x14ac:dyDescent="0.35">
      <c r="A363" s="403"/>
      <c r="B363" s="420" t="s">
        <v>71</v>
      </c>
      <c r="C363" s="227" t="s">
        <v>68</v>
      </c>
      <c r="D363" s="228" t="s">
        <v>40</v>
      </c>
      <c r="E363" s="228" t="s">
        <v>32</v>
      </c>
      <c r="F363" s="229" t="s">
        <v>70</v>
      </c>
      <c r="G363" s="41" t="s">
        <v>72</v>
      </c>
      <c r="H363" s="242">
        <f>'прил10 (ведом 23-24)'!M65+'прил10 (ведом 23-24)'!M170</f>
        <v>1255.7</v>
      </c>
      <c r="I363" s="242">
        <f>'прил10 (ведом 23-24)'!N65+'прил10 (ведом 23-24)'!N170</f>
        <v>1255.7</v>
      </c>
    </row>
    <row r="364" spans="1:9" ht="18" x14ac:dyDescent="0.35">
      <c r="A364" s="403"/>
      <c r="B364" s="422"/>
      <c r="C364" s="599"/>
      <c r="D364" s="599"/>
      <c r="E364" s="599"/>
      <c r="F364" s="600"/>
      <c r="G364" s="264"/>
      <c r="H364" s="242"/>
      <c r="I364" s="242"/>
    </row>
    <row r="365" spans="1:9" s="413" customFormat="1" ht="52.2" x14ac:dyDescent="0.3">
      <c r="A365" s="423">
        <v>15</v>
      </c>
      <c r="B365" s="434" t="s">
        <v>35</v>
      </c>
      <c r="C365" s="424" t="s">
        <v>36</v>
      </c>
      <c r="D365" s="424" t="s">
        <v>37</v>
      </c>
      <c r="E365" s="424" t="s">
        <v>38</v>
      </c>
      <c r="F365" s="425" t="s">
        <v>39</v>
      </c>
      <c r="G365" s="412"/>
      <c r="H365" s="289">
        <f>H366</f>
        <v>95388.89999999998</v>
      </c>
      <c r="I365" s="289">
        <f>I366</f>
        <v>93739.4</v>
      </c>
    </row>
    <row r="366" spans="1:9" s="413" customFormat="1" ht="24.75" customHeight="1" x14ac:dyDescent="0.35">
      <c r="A366" s="403"/>
      <c r="B366" s="414" t="s">
        <v>328</v>
      </c>
      <c r="C366" s="227" t="s">
        <v>36</v>
      </c>
      <c r="D366" s="228" t="s">
        <v>40</v>
      </c>
      <c r="E366" s="228" t="s">
        <v>38</v>
      </c>
      <c r="F366" s="229" t="s">
        <v>39</v>
      </c>
      <c r="G366" s="41"/>
      <c r="H366" s="242">
        <f>H367+H370+H400+H404+H389+H395+H410+H413</f>
        <v>95388.89999999998</v>
      </c>
      <c r="I366" s="242">
        <f>I367+I370+I400+I404+I389+I395+I410+I413</f>
        <v>93739.4</v>
      </c>
    </row>
    <row r="367" spans="1:9" s="413" customFormat="1" ht="36" x14ac:dyDescent="0.35">
      <c r="A367" s="403"/>
      <c r="B367" s="414" t="s">
        <v>41</v>
      </c>
      <c r="C367" s="227" t="s">
        <v>36</v>
      </c>
      <c r="D367" s="228" t="s">
        <v>40</v>
      </c>
      <c r="E367" s="228" t="s">
        <v>32</v>
      </c>
      <c r="F367" s="229" t="s">
        <v>39</v>
      </c>
      <c r="G367" s="41"/>
      <c r="H367" s="242">
        <f>H368</f>
        <v>2128.5</v>
      </c>
      <c r="I367" s="242">
        <f>I368</f>
        <v>2128.5</v>
      </c>
    </row>
    <row r="368" spans="1:9" s="413" customFormat="1" ht="36" x14ac:dyDescent="0.35">
      <c r="A368" s="403"/>
      <c r="B368" s="414" t="s">
        <v>42</v>
      </c>
      <c r="C368" s="227" t="s">
        <v>36</v>
      </c>
      <c r="D368" s="228" t="s">
        <v>40</v>
      </c>
      <c r="E368" s="228" t="s">
        <v>32</v>
      </c>
      <c r="F368" s="229" t="s">
        <v>43</v>
      </c>
      <c r="G368" s="41"/>
      <c r="H368" s="242">
        <f>H369</f>
        <v>2128.5</v>
      </c>
      <c r="I368" s="242">
        <f>I369</f>
        <v>2128.5</v>
      </c>
    </row>
    <row r="369" spans="1:9" s="413" customFormat="1" ht="90" x14ac:dyDescent="0.35">
      <c r="A369" s="403"/>
      <c r="B369" s="414" t="s">
        <v>44</v>
      </c>
      <c r="C369" s="227" t="s">
        <v>36</v>
      </c>
      <c r="D369" s="228" t="s">
        <v>40</v>
      </c>
      <c r="E369" s="228" t="s">
        <v>32</v>
      </c>
      <c r="F369" s="229" t="s">
        <v>43</v>
      </c>
      <c r="G369" s="41" t="s">
        <v>45</v>
      </c>
      <c r="H369" s="242">
        <f>'прил10 (ведом 23-24)'!M25</f>
        <v>2128.5</v>
      </c>
      <c r="I369" s="242">
        <f>'прил10 (ведом 23-24)'!N25</f>
        <v>2128.5</v>
      </c>
    </row>
    <row r="370" spans="1:9" s="413" customFormat="1" ht="36" x14ac:dyDescent="0.35">
      <c r="A370" s="403"/>
      <c r="B370" s="414" t="s">
        <v>49</v>
      </c>
      <c r="C370" s="227" t="s">
        <v>36</v>
      </c>
      <c r="D370" s="228" t="s">
        <v>40</v>
      </c>
      <c r="E370" s="228" t="s">
        <v>34</v>
      </c>
      <c r="F370" s="229" t="s">
        <v>39</v>
      </c>
      <c r="G370" s="41"/>
      <c r="H370" s="242">
        <f>H371+H377+H379+H381+H384+H375+H386</f>
        <v>76249.999999999971</v>
      </c>
      <c r="I370" s="242">
        <f>I371+I377+I379+I381+I384+I375+I386</f>
        <v>76330.599999999977</v>
      </c>
    </row>
    <row r="371" spans="1:9" s="413" customFormat="1" ht="36" x14ac:dyDescent="0.35">
      <c r="A371" s="403"/>
      <c r="B371" s="414" t="s">
        <v>42</v>
      </c>
      <c r="C371" s="227" t="s">
        <v>36</v>
      </c>
      <c r="D371" s="228" t="s">
        <v>40</v>
      </c>
      <c r="E371" s="228" t="s">
        <v>34</v>
      </c>
      <c r="F371" s="229" t="s">
        <v>43</v>
      </c>
      <c r="G371" s="41"/>
      <c r="H371" s="242">
        <f>SUM(H372:H374)</f>
        <v>71195.999999999985</v>
      </c>
      <c r="I371" s="242">
        <f>SUM(I372:I374)</f>
        <v>71279.799999999988</v>
      </c>
    </row>
    <row r="372" spans="1:9" s="413" customFormat="1" ht="90" x14ac:dyDescent="0.35">
      <c r="A372" s="403"/>
      <c r="B372" s="414" t="s">
        <v>44</v>
      </c>
      <c r="C372" s="227" t="s">
        <v>36</v>
      </c>
      <c r="D372" s="228" t="s">
        <v>40</v>
      </c>
      <c r="E372" s="228" t="s">
        <v>34</v>
      </c>
      <c r="F372" s="229" t="s">
        <v>43</v>
      </c>
      <c r="G372" s="41" t="s">
        <v>45</v>
      </c>
      <c r="H372" s="242">
        <f>'прил10 (ведом 23-24)'!M31</f>
        <v>65378.2</v>
      </c>
      <c r="I372" s="242">
        <f>'прил10 (ведом 23-24)'!N31</f>
        <v>65378.2</v>
      </c>
    </row>
    <row r="373" spans="1:9" ht="36" x14ac:dyDescent="0.35">
      <c r="A373" s="403"/>
      <c r="B373" s="414" t="s">
        <v>50</v>
      </c>
      <c r="C373" s="227" t="s">
        <v>36</v>
      </c>
      <c r="D373" s="228" t="s">
        <v>40</v>
      </c>
      <c r="E373" s="228" t="s">
        <v>34</v>
      </c>
      <c r="F373" s="229" t="s">
        <v>43</v>
      </c>
      <c r="G373" s="41" t="s">
        <v>51</v>
      </c>
      <c r="H373" s="242">
        <f>'прил10 (ведом 23-24)'!M32</f>
        <v>5716.9</v>
      </c>
      <c r="I373" s="242">
        <f>'прил10 (ведом 23-24)'!N32</f>
        <v>5800.7</v>
      </c>
    </row>
    <row r="374" spans="1:9" ht="18" x14ac:dyDescent="0.35">
      <c r="A374" s="403"/>
      <c r="B374" s="240" t="s">
        <v>52</v>
      </c>
      <c r="C374" s="227" t="s">
        <v>36</v>
      </c>
      <c r="D374" s="228" t="s">
        <v>40</v>
      </c>
      <c r="E374" s="228" t="s">
        <v>34</v>
      </c>
      <c r="F374" s="229" t="s">
        <v>43</v>
      </c>
      <c r="G374" s="41" t="s">
        <v>53</v>
      </c>
      <c r="H374" s="242">
        <f>'прил10 (ведом 23-24)'!M33</f>
        <v>100.9</v>
      </c>
      <c r="I374" s="242">
        <f>'прил10 (ведом 23-24)'!N33</f>
        <v>100.9</v>
      </c>
    </row>
    <row r="375" spans="1:9" s="413" customFormat="1" ht="72" x14ac:dyDescent="0.35">
      <c r="A375" s="403"/>
      <c r="B375" s="240" t="s">
        <v>385</v>
      </c>
      <c r="C375" s="227" t="s">
        <v>36</v>
      </c>
      <c r="D375" s="228" t="s">
        <v>40</v>
      </c>
      <c r="E375" s="228" t="s">
        <v>34</v>
      </c>
      <c r="F375" s="229" t="s">
        <v>384</v>
      </c>
      <c r="G375" s="41"/>
      <c r="H375" s="242">
        <f>H376</f>
        <v>24.700000000000003</v>
      </c>
      <c r="I375" s="242">
        <f>I376</f>
        <v>21.5</v>
      </c>
    </row>
    <row r="376" spans="1:9" s="413" customFormat="1" ht="36" x14ac:dyDescent="0.35">
      <c r="A376" s="403"/>
      <c r="B376" s="240" t="s">
        <v>50</v>
      </c>
      <c r="C376" s="227" t="s">
        <v>36</v>
      </c>
      <c r="D376" s="228" t="s">
        <v>40</v>
      </c>
      <c r="E376" s="228" t="s">
        <v>34</v>
      </c>
      <c r="F376" s="229" t="s">
        <v>384</v>
      </c>
      <c r="G376" s="41" t="s">
        <v>51</v>
      </c>
      <c r="H376" s="242">
        <f>'прил10 (ведом 23-24)'!M54</f>
        <v>24.700000000000003</v>
      </c>
      <c r="I376" s="242">
        <f>'прил10 (ведом 23-24)'!N54</f>
        <v>21.5</v>
      </c>
    </row>
    <row r="377" spans="1:9" ht="90" x14ac:dyDescent="0.35">
      <c r="A377" s="403"/>
      <c r="B377" s="414" t="s">
        <v>421</v>
      </c>
      <c r="C377" s="227" t="s">
        <v>36</v>
      </c>
      <c r="D377" s="228" t="s">
        <v>40</v>
      </c>
      <c r="E377" s="228" t="s">
        <v>34</v>
      </c>
      <c r="F377" s="229" t="s">
        <v>253</v>
      </c>
      <c r="G377" s="41"/>
      <c r="H377" s="242">
        <f>H378</f>
        <v>63</v>
      </c>
      <c r="I377" s="242">
        <f>I378</f>
        <v>63</v>
      </c>
    </row>
    <row r="378" spans="1:9" ht="36" x14ac:dyDescent="0.35">
      <c r="A378" s="403"/>
      <c r="B378" s="414" t="s">
        <v>50</v>
      </c>
      <c r="C378" s="227" t="s">
        <v>36</v>
      </c>
      <c r="D378" s="228" t="s">
        <v>40</v>
      </c>
      <c r="E378" s="228" t="s">
        <v>34</v>
      </c>
      <c r="F378" s="229" t="s">
        <v>253</v>
      </c>
      <c r="G378" s="41" t="s">
        <v>51</v>
      </c>
      <c r="H378" s="242">
        <f>'прил10 (ведом 23-24)'!M35</f>
        <v>63</v>
      </c>
      <c r="I378" s="242">
        <f>'прил10 (ведом 23-24)'!N35</f>
        <v>63</v>
      </c>
    </row>
    <row r="379" spans="1:9" ht="177" customHeight="1" x14ac:dyDescent="0.35">
      <c r="A379" s="403"/>
      <c r="B379" s="495" t="s">
        <v>429</v>
      </c>
      <c r="C379" s="227" t="s">
        <v>36</v>
      </c>
      <c r="D379" s="228" t="s">
        <v>40</v>
      </c>
      <c r="E379" s="228" t="s">
        <v>34</v>
      </c>
      <c r="F379" s="229" t="s">
        <v>54</v>
      </c>
      <c r="G379" s="41"/>
      <c r="H379" s="242">
        <f>H380</f>
        <v>661.9</v>
      </c>
      <c r="I379" s="242">
        <f>I380</f>
        <v>661.9</v>
      </c>
    </row>
    <row r="380" spans="1:9" ht="90" x14ac:dyDescent="0.35">
      <c r="A380" s="403"/>
      <c r="B380" s="240" t="s">
        <v>44</v>
      </c>
      <c r="C380" s="227" t="s">
        <v>36</v>
      </c>
      <c r="D380" s="228" t="s">
        <v>40</v>
      </c>
      <c r="E380" s="228" t="s">
        <v>34</v>
      </c>
      <c r="F380" s="229" t="s">
        <v>54</v>
      </c>
      <c r="G380" s="41" t="s">
        <v>45</v>
      </c>
      <c r="H380" s="242">
        <f>'прил10 (ведом 23-24)'!M37</f>
        <v>661.9</v>
      </c>
      <c r="I380" s="242">
        <f>'прил10 (ведом 23-24)'!N37</f>
        <v>661.9</v>
      </c>
    </row>
    <row r="381" spans="1:9" ht="54" x14ac:dyDescent="0.35">
      <c r="A381" s="403"/>
      <c r="B381" s="240" t="s">
        <v>397</v>
      </c>
      <c r="C381" s="227" t="s">
        <v>36</v>
      </c>
      <c r="D381" s="228" t="s">
        <v>40</v>
      </c>
      <c r="E381" s="228" t="s">
        <v>34</v>
      </c>
      <c r="F381" s="229" t="s">
        <v>56</v>
      </c>
      <c r="G381" s="41"/>
      <c r="H381" s="242">
        <f>H382+H383</f>
        <v>662.19999999999993</v>
      </c>
      <c r="I381" s="242">
        <f>I382+I383</f>
        <v>662.19999999999993</v>
      </c>
    </row>
    <row r="382" spans="1:9" ht="90" x14ac:dyDescent="0.35">
      <c r="A382" s="403"/>
      <c r="B382" s="240" t="s">
        <v>44</v>
      </c>
      <c r="C382" s="227" t="s">
        <v>36</v>
      </c>
      <c r="D382" s="228" t="s">
        <v>40</v>
      </c>
      <c r="E382" s="228" t="s">
        <v>34</v>
      </c>
      <c r="F382" s="229" t="s">
        <v>56</v>
      </c>
      <c r="G382" s="41" t="s">
        <v>45</v>
      </c>
      <c r="H382" s="242">
        <f>'прил10 (ведом 23-24)'!M39</f>
        <v>657.8</v>
      </c>
      <c r="I382" s="242">
        <f>'прил10 (ведом 23-24)'!N39</f>
        <v>657.8</v>
      </c>
    </row>
    <row r="383" spans="1:9" ht="36" x14ac:dyDescent="0.35">
      <c r="A383" s="403"/>
      <c r="B383" s="414" t="s">
        <v>50</v>
      </c>
      <c r="C383" s="227" t="s">
        <v>36</v>
      </c>
      <c r="D383" s="228" t="s">
        <v>40</v>
      </c>
      <c r="E383" s="228" t="s">
        <v>34</v>
      </c>
      <c r="F383" s="229" t="s">
        <v>56</v>
      </c>
      <c r="G383" s="41" t="s">
        <v>51</v>
      </c>
      <c r="H383" s="242">
        <f>'прил10 (ведом 23-24)'!M40</f>
        <v>4.4000000000000004</v>
      </c>
      <c r="I383" s="242">
        <f>'прил10 (ведом 23-24)'!N40</f>
        <v>4.4000000000000004</v>
      </c>
    </row>
    <row r="384" spans="1:9" ht="147" customHeight="1" x14ac:dyDescent="0.35">
      <c r="A384" s="403"/>
      <c r="B384" s="240" t="s">
        <v>365</v>
      </c>
      <c r="C384" s="227" t="s">
        <v>36</v>
      </c>
      <c r="D384" s="228" t="s">
        <v>40</v>
      </c>
      <c r="E384" s="228" t="s">
        <v>34</v>
      </c>
      <c r="F384" s="229" t="s">
        <v>364</v>
      </c>
      <c r="G384" s="41"/>
      <c r="H384" s="242">
        <f>H385</f>
        <v>63</v>
      </c>
      <c r="I384" s="242">
        <f>I385</f>
        <v>63</v>
      </c>
    </row>
    <row r="385" spans="1:9" ht="36" x14ac:dyDescent="0.35">
      <c r="A385" s="403"/>
      <c r="B385" s="240" t="s">
        <v>50</v>
      </c>
      <c r="C385" s="227" t="s">
        <v>36</v>
      </c>
      <c r="D385" s="228" t="s">
        <v>40</v>
      </c>
      <c r="E385" s="228" t="s">
        <v>34</v>
      </c>
      <c r="F385" s="229" t="s">
        <v>364</v>
      </c>
      <c r="G385" s="41" t="s">
        <v>51</v>
      </c>
      <c r="H385" s="242">
        <f>'прил10 (ведом 23-24)'!M42</f>
        <v>63</v>
      </c>
      <c r="I385" s="242">
        <f>'прил10 (ведом 23-24)'!N42</f>
        <v>63</v>
      </c>
    </row>
    <row r="386" spans="1:9" ht="72" x14ac:dyDescent="0.35">
      <c r="A386" s="403"/>
      <c r="B386" s="414" t="s">
        <v>55</v>
      </c>
      <c r="C386" s="227" t="s">
        <v>36</v>
      </c>
      <c r="D386" s="228" t="s">
        <v>40</v>
      </c>
      <c r="E386" s="228" t="s">
        <v>34</v>
      </c>
      <c r="F386" s="229" t="s">
        <v>530</v>
      </c>
      <c r="G386" s="41"/>
      <c r="H386" s="242">
        <f>H387+H388</f>
        <v>3579.2</v>
      </c>
      <c r="I386" s="242">
        <f>I387+I388</f>
        <v>3579.2</v>
      </c>
    </row>
    <row r="387" spans="1:9" ht="90" x14ac:dyDescent="0.35">
      <c r="A387" s="403"/>
      <c r="B387" s="414" t="s">
        <v>44</v>
      </c>
      <c r="C387" s="227" t="s">
        <v>36</v>
      </c>
      <c r="D387" s="228" t="s">
        <v>40</v>
      </c>
      <c r="E387" s="228" t="s">
        <v>34</v>
      </c>
      <c r="F387" s="229" t="s">
        <v>530</v>
      </c>
      <c r="G387" s="41" t="s">
        <v>45</v>
      </c>
      <c r="H387" s="242">
        <f>'прил10 (ведом 23-24)'!M44</f>
        <v>3387.6</v>
      </c>
      <c r="I387" s="242">
        <f>'прил10 (ведом 23-24)'!N44</f>
        <v>3387.6</v>
      </c>
    </row>
    <row r="388" spans="1:9" ht="36" x14ac:dyDescent="0.35">
      <c r="A388" s="403"/>
      <c r="B388" s="414" t="s">
        <v>50</v>
      </c>
      <c r="C388" s="228" t="s">
        <v>36</v>
      </c>
      <c r="D388" s="228" t="s">
        <v>40</v>
      </c>
      <c r="E388" s="228" t="s">
        <v>34</v>
      </c>
      <c r="F388" s="229" t="s">
        <v>530</v>
      </c>
      <c r="G388" s="41" t="s">
        <v>51</v>
      </c>
      <c r="H388" s="242">
        <f>'прил10 (ведом 23-24)'!M45</f>
        <v>191.6</v>
      </c>
      <c r="I388" s="242">
        <f>'прил10 (ведом 23-24)'!N45</f>
        <v>191.6</v>
      </c>
    </row>
    <row r="389" spans="1:9" ht="18" x14ac:dyDescent="0.35">
      <c r="A389" s="403"/>
      <c r="B389" s="240" t="s">
        <v>57</v>
      </c>
      <c r="C389" s="227" t="s">
        <v>36</v>
      </c>
      <c r="D389" s="228" t="s">
        <v>40</v>
      </c>
      <c r="E389" s="228" t="s">
        <v>58</v>
      </c>
      <c r="F389" s="229" t="s">
        <v>39</v>
      </c>
      <c r="G389" s="41"/>
      <c r="H389" s="242">
        <f>H390+H392</f>
        <v>1375.2</v>
      </c>
      <c r="I389" s="242">
        <f>I390+I392</f>
        <v>1332.2</v>
      </c>
    </row>
    <row r="390" spans="1:9" ht="36" x14ac:dyDescent="0.35">
      <c r="A390" s="403"/>
      <c r="B390" s="240" t="s">
        <v>42</v>
      </c>
      <c r="C390" s="227" t="s">
        <v>36</v>
      </c>
      <c r="D390" s="228" t="s">
        <v>40</v>
      </c>
      <c r="E390" s="228" t="s">
        <v>58</v>
      </c>
      <c r="F390" s="229" t="s">
        <v>43</v>
      </c>
      <c r="G390" s="41"/>
      <c r="H390" s="242">
        <f>H391</f>
        <v>127.4</v>
      </c>
      <c r="I390" s="242">
        <f>I391</f>
        <v>84.4</v>
      </c>
    </row>
    <row r="391" spans="1:9" ht="36" x14ac:dyDescent="0.35">
      <c r="A391" s="403"/>
      <c r="B391" s="240" t="s">
        <v>50</v>
      </c>
      <c r="C391" s="227" t="s">
        <v>36</v>
      </c>
      <c r="D391" s="228" t="s">
        <v>40</v>
      </c>
      <c r="E391" s="228" t="s">
        <v>58</v>
      </c>
      <c r="F391" s="229" t="s">
        <v>43</v>
      </c>
      <c r="G391" s="41" t="s">
        <v>51</v>
      </c>
      <c r="H391" s="242">
        <f>'прил10 (ведом 23-24)'!M48</f>
        <v>127.4</v>
      </c>
      <c r="I391" s="242">
        <f>'прил10 (ведом 23-24)'!N48</f>
        <v>84.4</v>
      </c>
    </row>
    <row r="392" spans="1:9" ht="54" x14ac:dyDescent="0.35">
      <c r="A392" s="403"/>
      <c r="B392" s="427" t="s">
        <v>375</v>
      </c>
      <c r="C392" s="227" t="s">
        <v>36</v>
      </c>
      <c r="D392" s="228" t="s">
        <v>40</v>
      </c>
      <c r="E392" s="228" t="s">
        <v>58</v>
      </c>
      <c r="F392" s="229" t="s">
        <v>374</v>
      </c>
      <c r="G392" s="41"/>
      <c r="H392" s="242">
        <f>H393+H394</f>
        <v>1247.8</v>
      </c>
      <c r="I392" s="242">
        <f>I393+I394</f>
        <v>1247.8</v>
      </c>
    </row>
    <row r="393" spans="1:9" ht="36" x14ac:dyDescent="0.35">
      <c r="A393" s="403"/>
      <c r="B393" s="240" t="s">
        <v>50</v>
      </c>
      <c r="C393" s="227" t="s">
        <v>36</v>
      </c>
      <c r="D393" s="228" t="s">
        <v>40</v>
      </c>
      <c r="E393" s="228" t="s">
        <v>58</v>
      </c>
      <c r="F393" s="229" t="s">
        <v>374</v>
      </c>
      <c r="G393" s="41" t="s">
        <v>51</v>
      </c>
      <c r="H393" s="242">
        <f>'прил10 (ведом 23-24)'!M70</f>
        <v>1019.5</v>
      </c>
      <c r="I393" s="242">
        <f>'прил10 (ведом 23-24)'!N70</f>
        <v>1019.5</v>
      </c>
    </row>
    <row r="394" spans="1:9" ht="18" x14ac:dyDescent="0.35">
      <c r="A394" s="403"/>
      <c r="B394" s="240" t="s">
        <v>52</v>
      </c>
      <c r="C394" s="227" t="s">
        <v>36</v>
      </c>
      <c r="D394" s="228" t="s">
        <v>40</v>
      </c>
      <c r="E394" s="228" t="s">
        <v>58</v>
      </c>
      <c r="F394" s="229" t="s">
        <v>374</v>
      </c>
      <c r="G394" s="41" t="s">
        <v>53</v>
      </c>
      <c r="H394" s="242">
        <f>'прил10 (ведом 23-24)'!M71</f>
        <v>228.3</v>
      </c>
      <c r="I394" s="242">
        <f>'прил10 (ведом 23-24)'!N71</f>
        <v>228.3</v>
      </c>
    </row>
    <row r="395" spans="1:9" ht="18" x14ac:dyDescent="0.35">
      <c r="A395" s="403"/>
      <c r="B395" s="240" t="s">
        <v>59</v>
      </c>
      <c r="C395" s="227" t="s">
        <v>36</v>
      </c>
      <c r="D395" s="228" t="s">
        <v>40</v>
      </c>
      <c r="E395" s="228" t="s">
        <v>47</v>
      </c>
      <c r="F395" s="229" t="s">
        <v>39</v>
      </c>
      <c r="G395" s="41"/>
      <c r="H395" s="242">
        <f>H396+H398</f>
        <v>3011.6</v>
      </c>
      <c r="I395" s="242">
        <f>I396+I398</f>
        <v>3011.6</v>
      </c>
    </row>
    <row r="396" spans="1:9" ht="54" x14ac:dyDescent="0.35">
      <c r="A396" s="403"/>
      <c r="B396" s="442" t="s">
        <v>341</v>
      </c>
      <c r="C396" s="227" t="s">
        <v>36</v>
      </c>
      <c r="D396" s="228" t="s">
        <v>40</v>
      </c>
      <c r="E396" s="228" t="s">
        <v>47</v>
      </c>
      <c r="F396" s="229" t="s">
        <v>100</v>
      </c>
      <c r="G396" s="41"/>
      <c r="H396" s="242">
        <f>H397</f>
        <v>1016.8</v>
      </c>
      <c r="I396" s="242">
        <f>I397</f>
        <v>1016.8</v>
      </c>
    </row>
    <row r="397" spans="1:9" ht="36" x14ac:dyDescent="0.35">
      <c r="A397" s="403"/>
      <c r="B397" s="240" t="s">
        <v>50</v>
      </c>
      <c r="C397" s="227" t="s">
        <v>36</v>
      </c>
      <c r="D397" s="228" t="s">
        <v>40</v>
      </c>
      <c r="E397" s="228" t="s">
        <v>47</v>
      </c>
      <c r="F397" s="229" t="s">
        <v>100</v>
      </c>
      <c r="G397" s="41" t="s">
        <v>51</v>
      </c>
      <c r="H397" s="242">
        <f>'прил10 (ведом 23-24)'!M74</f>
        <v>1016.8</v>
      </c>
      <c r="I397" s="242">
        <f>'прил10 (ведом 23-24)'!N74</f>
        <v>1016.8</v>
      </c>
    </row>
    <row r="398" spans="1:9" ht="54" x14ac:dyDescent="0.35">
      <c r="A398" s="403"/>
      <c r="B398" s="240" t="s">
        <v>343</v>
      </c>
      <c r="C398" s="227" t="s">
        <v>36</v>
      </c>
      <c r="D398" s="228" t="s">
        <v>40</v>
      </c>
      <c r="E398" s="228" t="s">
        <v>47</v>
      </c>
      <c r="F398" s="229" t="s">
        <v>342</v>
      </c>
      <c r="G398" s="41"/>
      <c r="H398" s="242">
        <f>'прил10 (ведом 23-24)'!M75</f>
        <v>1994.8</v>
      </c>
      <c r="I398" s="242">
        <f>'прил10 (ведом 23-24)'!N75</f>
        <v>1994.8</v>
      </c>
    </row>
    <row r="399" spans="1:9" ht="36" x14ac:dyDescent="0.35">
      <c r="A399" s="403"/>
      <c r="B399" s="240" t="s">
        <v>50</v>
      </c>
      <c r="C399" s="227" t="s">
        <v>36</v>
      </c>
      <c r="D399" s="228" t="s">
        <v>40</v>
      </c>
      <c r="E399" s="228" t="s">
        <v>47</v>
      </c>
      <c r="F399" s="229" t="s">
        <v>342</v>
      </c>
      <c r="G399" s="41" t="s">
        <v>51</v>
      </c>
      <c r="H399" s="242">
        <f>'прил10 (ведом 23-24)'!M76</f>
        <v>1994.8</v>
      </c>
      <c r="I399" s="242">
        <f>'прил10 (ведом 23-24)'!N76</f>
        <v>1994.8</v>
      </c>
    </row>
    <row r="400" spans="1:9" ht="72" x14ac:dyDescent="0.35">
      <c r="A400" s="448"/>
      <c r="B400" s="461" t="s">
        <v>288</v>
      </c>
      <c r="C400" s="428" t="s">
        <v>36</v>
      </c>
      <c r="D400" s="449" t="s">
        <v>40</v>
      </c>
      <c r="E400" s="449" t="s">
        <v>76</v>
      </c>
      <c r="F400" s="462" t="s">
        <v>39</v>
      </c>
      <c r="G400" s="463"/>
      <c r="H400" s="242">
        <f>H401</f>
        <v>5209.5</v>
      </c>
      <c r="I400" s="242">
        <f>I401</f>
        <v>5213.1000000000004</v>
      </c>
    </row>
    <row r="401" spans="1:9" ht="36" x14ac:dyDescent="0.35">
      <c r="A401" s="448"/>
      <c r="B401" s="414" t="s">
        <v>437</v>
      </c>
      <c r="C401" s="428" t="s">
        <v>36</v>
      </c>
      <c r="D401" s="449" t="s">
        <v>40</v>
      </c>
      <c r="E401" s="449" t="s">
        <v>76</v>
      </c>
      <c r="F401" s="462" t="s">
        <v>86</v>
      </c>
      <c r="G401" s="463"/>
      <c r="H401" s="242">
        <f>SUM(H402:H403)</f>
        <v>5209.5</v>
      </c>
      <c r="I401" s="242">
        <f>SUM(I402:I403)</f>
        <v>5213.1000000000004</v>
      </c>
    </row>
    <row r="402" spans="1:9" ht="90" x14ac:dyDescent="0.35">
      <c r="A402" s="448"/>
      <c r="B402" s="461" t="s">
        <v>44</v>
      </c>
      <c r="C402" s="428" t="s">
        <v>36</v>
      </c>
      <c r="D402" s="449" t="s">
        <v>40</v>
      </c>
      <c r="E402" s="449" t="s">
        <v>76</v>
      </c>
      <c r="F402" s="462" t="s">
        <v>86</v>
      </c>
      <c r="G402" s="463" t="s">
        <v>45</v>
      </c>
      <c r="H402" s="242">
        <f>'прил10 (ведом 23-24)'!M239</f>
        <v>4729.8</v>
      </c>
      <c r="I402" s="242">
        <f>'прил10 (ведом 23-24)'!N239</f>
        <v>4729.8</v>
      </c>
    </row>
    <row r="403" spans="1:9" ht="36" x14ac:dyDescent="0.35">
      <c r="A403" s="448"/>
      <c r="B403" s="240" t="s">
        <v>50</v>
      </c>
      <c r="C403" s="428" t="s">
        <v>36</v>
      </c>
      <c r="D403" s="449" t="s">
        <v>40</v>
      </c>
      <c r="E403" s="449" t="s">
        <v>76</v>
      </c>
      <c r="F403" s="462" t="s">
        <v>86</v>
      </c>
      <c r="G403" s="463" t="s">
        <v>51</v>
      </c>
      <c r="H403" s="242">
        <f>'прил10 (ведом 23-24)'!M240</f>
        <v>479.7</v>
      </c>
      <c r="I403" s="242">
        <f>'прил10 (ведом 23-24)'!N240</f>
        <v>483.3</v>
      </c>
    </row>
    <row r="404" spans="1:9" ht="36" x14ac:dyDescent="0.35">
      <c r="A404" s="448"/>
      <c r="B404" s="240" t="s">
        <v>320</v>
      </c>
      <c r="C404" s="227" t="s">
        <v>36</v>
      </c>
      <c r="D404" s="228" t="s">
        <v>40</v>
      </c>
      <c r="E404" s="228" t="s">
        <v>83</v>
      </c>
      <c r="F404" s="229" t="s">
        <v>39</v>
      </c>
      <c r="G404" s="41"/>
      <c r="H404" s="242">
        <f>H405+H408</f>
        <v>7234</v>
      </c>
      <c r="I404" s="242">
        <f>I405+I408</f>
        <v>5543.3</v>
      </c>
    </row>
    <row r="405" spans="1:9" ht="36" x14ac:dyDescent="0.35">
      <c r="A405" s="448"/>
      <c r="B405" s="414" t="s">
        <v>437</v>
      </c>
      <c r="C405" s="227" t="s">
        <v>36</v>
      </c>
      <c r="D405" s="228" t="s">
        <v>40</v>
      </c>
      <c r="E405" s="228" t="s">
        <v>83</v>
      </c>
      <c r="F405" s="229" t="s">
        <v>86</v>
      </c>
      <c r="G405" s="41"/>
      <c r="H405" s="242">
        <f>SUM(H406:H407)</f>
        <v>5491</v>
      </c>
      <c r="I405" s="242">
        <f>SUM(I406:I407)</f>
        <v>5543.3</v>
      </c>
    </row>
    <row r="406" spans="1:9" ht="90" x14ac:dyDescent="0.35">
      <c r="A406" s="448"/>
      <c r="B406" s="240" t="s">
        <v>44</v>
      </c>
      <c r="C406" s="227" t="s">
        <v>36</v>
      </c>
      <c r="D406" s="228" t="s">
        <v>40</v>
      </c>
      <c r="E406" s="228" t="s">
        <v>83</v>
      </c>
      <c r="F406" s="229" t="s">
        <v>86</v>
      </c>
      <c r="G406" s="41" t="s">
        <v>45</v>
      </c>
      <c r="H406" s="242">
        <f>'прил10 (ведом 23-24)'!M148</f>
        <v>5398</v>
      </c>
      <c r="I406" s="242">
        <f>'прил10 (ведом 23-24)'!N148</f>
        <v>5398</v>
      </c>
    </row>
    <row r="407" spans="1:9" ht="36" x14ac:dyDescent="0.35">
      <c r="A407" s="448"/>
      <c r="B407" s="240" t="s">
        <v>50</v>
      </c>
      <c r="C407" s="227" t="s">
        <v>36</v>
      </c>
      <c r="D407" s="228" t="s">
        <v>40</v>
      </c>
      <c r="E407" s="228" t="s">
        <v>83</v>
      </c>
      <c r="F407" s="229" t="s">
        <v>86</v>
      </c>
      <c r="G407" s="41" t="s">
        <v>51</v>
      </c>
      <c r="H407" s="242">
        <f>'прил10 (ведом 23-24)'!M149</f>
        <v>93.000000000000014</v>
      </c>
      <c r="I407" s="242">
        <f>'прил10 (ведом 23-24)'!N149</f>
        <v>145.30000000000001</v>
      </c>
    </row>
    <row r="408" spans="1:9" ht="36" x14ac:dyDescent="0.35">
      <c r="A408" s="448"/>
      <c r="B408" s="240" t="s">
        <v>529</v>
      </c>
      <c r="C408" s="227" t="s">
        <v>36</v>
      </c>
      <c r="D408" s="228" t="s">
        <v>40</v>
      </c>
      <c r="E408" s="228" t="s">
        <v>83</v>
      </c>
      <c r="F408" s="603" t="s">
        <v>528</v>
      </c>
      <c r="G408" s="41"/>
      <c r="H408" s="242">
        <f>H409</f>
        <v>1743</v>
      </c>
      <c r="I408" s="242">
        <f>I409</f>
        <v>0</v>
      </c>
    </row>
    <row r="409" spans="1:9" ht="36" x14ac:dyDescent="0.35">
      <c r="A409" s="448"/>
      <c r="B409" s="240" t="s">
        <v>50</v>
      </c>
      <c r="C409" s="227" t="s">
        <v>36</v>
      </c>
      <c r="D409" s="228" t="s">
        <v>40</v>
      </c>
      <c r="E409" s="228" t="s">
        <v>83</v>
      </c>
      <c r="F409" s="229" t="s">
        <v>528</v>
      </c>
      <c r="G409" s="41" t="s">
        <v>51</v>
      </c>
      <c r="H409" s="242">
        <f>'прил10 (ведом 23-24)'!M151</f>
        <v>1743</v>
      </c>
      <c r="I409" s="242">
        <f>'прил10 (ведом 23-24)'!N151</f>
        <v>0</v>
      </c>
    </row>
    <row r="410" spans="1:9" ht="36" x14ac:dyDescent="0.35">
      <c r="A410" s="448"/>
      <c r="B410" s="240" t="s">
        <v>445</v>
      </c>
      <c r="C410" s="227" t="s">
        <v>36</v>
      </c>
      <c r="D410" s="228" t="s">
        <v>40</v>
      </c>
      <c r="E410" s="228" t="s">
        <v>400</v>
      </c>
      <c r="F410" s="229" t="s">
        <v>39</v>
      </c>
      <c r="G410" s="41"/>
      <c r="H410" s="242">
        <f>H411</f>
        <v>120.1</v>
      </c>
      <c r="I410" s="242">
        <f>I411</f>
        <v>120.1</v>
      </c>
    </row>
    <row r="411" spans="1:9" ht="36" x14ac:dyDescent="0.35">
      <c r="A411" s="448"/>
      <c r="B411" s="442" t="s">
        <v>122</v>
      </c>
      <c r="C411" s="227" t="s">
        <v>36</v>
      </c>
      <c r="D411" s="228" t="s">
        <v>40</v>
      </c>
      <c r="E411" s="228" t="s">
        <v>400</v>
      </c>
      <c r="F411" s="229" t="s">
        <v>85</v>
      </c>
      <c r="G411" s="41"/>
      <c r="H411" s="242">
        <f>H412</f>
        <v>120.1</v>
      </c>
      <c r="I411" s="242">
        <f>I412</f>
        <v>120.1</v>
      </c>
    </row>
    <row r="412" spans="1:9" ht="36" x14ac:dyDescent="0.35">
      <c r="A412" s="448"/>
      <c r="B412" s="240" t="s">
        <v>50</v>
      </c>
      <c r="C412" s="227" t="s">
        <v>36</v>
      </c>
      <c r="D412" s="228" t="s">
        <v>40</v>
      </c>
      <c r="E412" s="228" t="s">
        <v>400</v>
      </c>
      <c r="F412" s="229" t="s">
        <v>85</v>
      </c>
      <c r="G412" s="41" t="s">
        <v>51</v>
      </c>
      <c r="H412" s="242">
        <f>'прил10 (ведом 23-24)'!M79</f>
        <v>120.1</v>
      </c>
      <c r="I412" s="242">
        <f>'прил10 (ведом 23-24)'!N79</f>
        <v>120.1</v>
      </c>
    </row>
    <row r="413" spans="1:9" ht="36" x14ac:dyDescent="0.35">
      <c r="A413" s="448"/>
      <c r="B413" s="240" t="s">
        <v>441</v>
      </c>
      <c r="C413" s="227" t="s">
        <v>36</v>
      </c>
      <c r="D413" s="228" t="s">
        <v>40</v>
      </c>
      <c r="E413" s="228" t="s">
        <v>36</v>
      </c>
      <c r="F413" s="229" t="s">
        <v>39</v>
      </c>
      <c r="G413" s="41"/>
      <c r="H413" s="242">
        <f>H414</f>
        <v>60</v>
      </c>
      <c r="I413" s="242">
        <f>I414</f>
        <v>60</v>
      </c>
    </row>
    <row r="414" spans="1:9" ht="18" x14ac:dyDescent="0.35">
      <c r="A414" s="448"/>
      <c r="B414" s="442" t="s">
        <v>439</v>
      </c>
      <c r="C414" s="227" t="s">
        <v>36</v>
      </c>
      <c r="D414" s="228" t="s">
        <v>40</v>
      </c>
      <c r="E414" s="228" t="s">
        <v>36</v>
      </c>
      <c r="F414" s="229" t="s">
        <v>440</v>
      </c>
      <c r="G414" s="41"/>
      <c r="H414" s="242">
        <f>H415</f>
        <v>60</v>
      </c>
      <c r="I414" s="242">
        <f>I415</f>
        <v>60</v>
      </c>
    </row>
    <row r="415" spans="1:9" ht="36" x14ac:dyDescent="0.35">
      <c r="A415" s="448"/>
      <c r="B415" s="240" t="s">
        <v>50</v>
      </c>
      <c r="C415" s="227" t="s">
        <v>36</v>
      </c>
      <c r="D415" s="228" t="s">
        <v>40</v>
      </c>
      <c r="E415" s="228" t="s">
        <v>36</v>
      </c>
      <c r="F415" s="229" t="s">
        <v>440</v>
      </c>
      <c r="G415" s="41" t="s">
        <v>51</v>
      </c>
      <c r="H415" s="242">
        <f>'прил10 (ведом 23-24)'!M82</f>
        <v>60</v>
      </c>
      <c r="I415" s="242">
        <f>'прил10 (ведом 23-24)'!N82</f>
        <v>60</v>
      </c>
    </row>
    <row r="416" spans="1:9" ht="18" x14ac:dyDescent="0.35">
      <c r="A416" s="448"/>
      <c r="B416" s="240"/>
      <c r="C416" s="228"/>
      <c r="D416" s="228"/>
      <c r="E416" s="228"/>
      <c r="F416" s="229"/>
      <c r="G416" s="41"/>
      <c r="H416" s="242"/>
      <c r="I416" s="242"/>
    </row>
    <row r="417" spans="1:9" ht="52.8" x14ac:dyDescent="0.35">
      <c r="A417" s="423">
        <v>16</v>
      </c>
      <c r="B417" s="453" t="s">
        <v>228</v>
      </c>
      <c r="C417" s="424" t="s">
        <v>229</v>
      </c>
      <c r="D417" s="424" t="s">
        <v>37</v>
      </c>
      <c r="E417" s="424" t="s">
        <v>38</v>
      </c>
      <c r="F417" s="425" t="s">
        <v>39</v>
      </c>
      <c r="G417" s="41"/>
      <c r="H417" s="289">
        <f t="shared" ref="H417:I420" si="14">H418</f>
        <v>53.4</v>
      </c>
      <c r="I417" s="289">
        <f t="shared" si="14"/>
        <v>53.4</v>
      </c>
    </row>
    <row r="418" spans="1:9" ht="18" x14ac:dyDescent="0.35">
      <c r="A418" s="448"/>
      <c r="B418" s="240" t="s">
        <v>328</v>
      </c>
      <c r="C418" s="227" t="s">
        <v>229</v>
      </c>
      <c r="D418" s="228" t="s">
        <v>40</v>
      </c>
      <c r="E418" s="228" t="s">
        <v>38</v>
      </c>
      <c r="F418" s="229" t="s">
        <v>39</v>
      </c>
      <c r="G418" s="41"/>
      <c r="H418" s="242">
        <f t="shared" si="14"/>
        <v>53.4</v>
      </c>
      <c r="I418" s="242">
        <f t="shared" si="14"/>
        <v>53.4</v>
      </c>
    </row>
    <row r="419" spans="1:9" ht="54" x14ac:dyDescent="0.35">
      <c r="A419" s="448"/>
      <c r="B419" s="240" t="s">
        <v>274</v>
      </c>
      <c r="C419" s="227" t="s">
        <v>229</v>
      </c>
      <c r="D419" s="228" t="s">
        <v>40</v>
      </c>
      <c r="E419" s="228" t="s">
        <v>32</v>
      </c>
      <c r="F419" s="229" t="s">
        <v>39</v>
      </c>
      <c r="G419" s="41"/>
      <c r="H419" s="242">
        <f t="shared" si="14"/>
        <v>53.4</v>
      </c>
      <c r="I419" s="242">
        <f t="shared" si="14"/>
        <v>53.4</v>
      </c>
    </row>
    <row r="420" spans="1:9" ht="36" x14ac:dyDescent="0.35">
      <c r="A420" s="448"/>
      <c r="B420" s="240" t="s">
        <v>230</v>
      </c>
      <c r="C420" s="227" t="s">
        <v>229</v>
      </c>
      <c r="D420" s="228" t="s">
        <v>40</v>
      </c>
      <c r="E420" s="228" t="s">
        <v>32</v>
      </c>
      <c r="F420" s="229" t="s">
        <v>268</v>
      </c>
      <c r="G420" s="41"/>
      <c r="H420" s="242">
        <f t="shared" si="14"/>
        <v>53.4</v>
      </c>
      <c r="I420" s="242">
        <f t="shared" si="14"/>
        <v>53.4</v>
      </c>
    </row>
    <row r="421" spans="1:9" ht="36" x14ac:dyDescent="0.35">
      <c r="A421" s="448"/>
      <c r="B421" s="240" t="s">
        <v>71</v>
      </c>
      <c r="C421" s="227" t="s">
        <v>229</v>
      </c>
      <c r="D421" s="228" t="s">
        <v>40</v>
      </c>
      <c r="E421" s="228" t="s">
        <v>32</v>
      </c>
      <c r="F421" s="229" t="s">
        <v>268</v>
      </c>
      <c r="G421" s="41" t="s">
        <v>72</v>
      </c>
      <c r="H421" s="242">
        <f>'прил10 (ведом 23-24)'!M307</f>
        <v>53.4</v>
      </c>
      <c r="I421" s="242">
        <f>'прил10 (ведом 23-24)'!N307</f>
        <v>53.4</v>
      </c>
    </row>
    <row r="422" spans="1:9" ht="18" x14ac:dyDescent="0.35">
      <c r="A422" s="448"/>
      <c r="B422" s="461"/>
      <c r="C422" s="429"/>
      <c r="D422" s="449"/>
      <c r="E422" s="449"/>
      <c r="F422" s="462"/>
      <c r="G422" s="463"/>
      <c r="H422" s="242"/>
      <c r="I422" s="242"/>
    </row>
    <row r="423" spans="1:9" ht="34.799999999999997" x14ac:dyDescent="0.3">
      <c r="A423" s="423">
        <v>17</v>
      </c>
      <c r="B423" s="500" t="s">
        <v>125</v>
      </c>
      <c r="C423" s="424" t="s">
        <v>126</v>
      </c>
      <c r="D423" s="424" t="s">
        <v>37</v>
      </c>
      <c r="E423" s="424" t="s">
        <v>38</v>
      </c>
      <c r="F423" s="424" t="s">
        <v>39</v>
      </c>
      <c r="G423" s="412"/>
      <c r="H423" s="289">
        <f>H424</f>
        <v>4387.9000000000005</v>
      </c>
      <c r="I423" s="289">
        <f>I424</f>
        <v>4388</v>
      </c>
    </row>
    <row r="424" spans="1:9" ht="36" x14ac:dyDescent="0.35">
      <c r="A424" s="403"/>
      <c r="B424" s="441" t="s">
        <v>127</v>
      </c>
      <c r="C424" s="227" t="s">
        <v>126</v>
      </c>
      <c r="D424" s="228" t="s">
        <v>40</v>
      </c>
      <c r="E424" s="228" t="s">
        <v>38</v>
      </c>
      <c r="F424" s="229" t="s">
        <v>39</v>
      </c>
      <c r="G424" s="41"/>
      <c r="H424" s="242">
        <f>H425</f>
        <v>4387.9000000000005</v>
      </c>
      <c r="I424" s="242">
        <f>I425</f>
        <v>4388</v>
      </c>
    </row>
    <row r="425" spans="1:9" ht="36" x14ac:dyDescent="0.35">
      <c r="A425" s="403"/>
      <c r="B425" s="414" t="s">
        <v>42</v>
      </c>
      <c r="C425" s="227" t="s">
        <v>126</v>
      </c>
      <c r="D425" s="228" t="s">
        <v>40</v>
      </c>
      <c r="E425" s="228" t="s">
        <v>38</v>
      </c>
      <c r="F425" s="229" t="s">
        <v>43</v>
      </c>
      <c r="G425" s="41"/>
      <c r="H425" s="242">
        <f>H426+H427+H428</f>
        <v>4387.9000000000005</v>
      </c>
      <c r="I425" s="242">
        <f>I426+I427+I428</f>
        <v>4388</v>
      </c>
    </row>
    <row r="426" spans="1:9" ht="90" x14ac:dyDescent="0.35">
      <c r="A426" s="403"/>
      <c r="B426" s="443" t="s">
        <v>44</v>
      </c>
      <c r="C426" s="227" t="s">
        <v>126</v>
      </c>
      <c r="D426" s="228" t="s">
        <v>40</v>
      </c>
      <c r="E426" s="228" t="s">
        <v>38</v>
      </c>
      <c r="F426" s="229" t="s">
        <v>43</v>
      </c>
      <c r="G426" s="41" t="s">
        <v>45</v>
      </c>
      <c r="H426" s="242">
        <f>'прил10 (ведом 23-24)'!M205</f>
        <v>4137.8</v>
      </c>
      <c r="I426" s="242">
        <f>'прил10 (ведом 23-24)'!N205</f>
        <v>4137.8</v>
      </c>
    </row>
    <row r="427" spans="1:9" ht="36" x14ac:dyDescent="0.35">
      <c r="A427" s="403"/>
      <c r="B427" s="240" t="s">
        <v>50</v>
      </c>
      <c r="C427" s="227" t="s">
        <v>126</v>
      </c>
      <c r="D427" s="228" t="s">
        <v>40</v>
      </c>
      <c r="E427" s="228" t="s">
        <v>38</v>
      </c>
      <c r="F427" s="229" t="s">
        <v>43</v>
      </c>
      <c r="G427" s="41" t="s">
        <v>51</v>
      </c>
      <c r="H427" s="242">
        <f>'прил10 (ведом 23-24)'!M206</f>
        <v>240.1</v>
      </c>
      <c r="I427" s="242">
        <f>'прил10 (ведом 23-24)'!N206</f>
        <v>240.2</v>
      </c>
    </row>
    <row r="428" spans="1:9" ht="18" x14ac:dyDescent="0.35">
      <c r="A428" s="403"/>
      <c r="B428" s="240" t="s">
        <v>52</v>
      </c>
      <c r="C428" s="227" t="s">
        <v>126</v>
      </c>
      <c r="D428" s="228" t="s">
        <v>40</v>
      </c>
      <c r="E428" s="228" t="s">
        <v>38</v>
      </c>
      <c r="F428" s="229" t="s">
        <v>43</v>
      </c>
      <c r="G428" s="41" t="s">
        <v>53</v>
      </c>
      <c r="H428" s="242">
        <f>'прил10 (ведом 23-24)'!M207</f>
        <v>10</v>
      </c>
      <c r="I428" s="242">
        <f>'прил10 (ведом 23-24)'!N207</f>
        <v>10</v>
      </c>
    </row>
    <row r="429" spans="1:9" ht="18" x14ac:dyDescent="0.35">
      <c r="A429" s="403"/>
      <c r="B429" s="422"/>
      <c r="C429" s="599"/>
      <c r="D429" s="599"/>
      <c r="E429" s="599"/>
      <c r="F429" s="599"/>
      <c r="G429" s="264"/>
      <c r="H429" s="242"/>
      <c r="I429" s="242"/>
    </row>
    <row r="430" spans="1:9" s="413" customFormat="1" ht="52.2" x14ac:dyDescent="0.3">
      <c r="A430" s="423">
        <v>18</v>
      </c>
      <c r="B430" s="500" t="s">
        <v>427</v>
      </c>
      <c r="C430" s="424" t="s">
        <v>63</v>
      </c>
      <c r="D430" s="424" t="s">
        <v>37</v>
      </c>
      <c r="E430" s="424" t="s">
        <v>38</v>
      </c>
      <c r="F430" s="424" t="s">
        <v>39</v>
      </c>
      <c r="G430" s="412"/>
      <c r="H430" s="289">
        <f t="shared" ref="H430:I432" si="15">H431</f>
        <v>5000</v>
      </c>
      <c r="I430" s="289">
        <f t="shared" si="15"/>
        <v>5000</v>
      </c>
    </row>
    <row r="431" spans="1:9" ht="18" x14ac:dyDescent="0.35">
      <c r="A431" s="403"/>
      <c r="B431" s="443" t="s">
        <v>424</v>
      </c>
      <c r="C431" s="227" t="s">
        <v>63</v>
      </c>
      <c r="D431" s="228" t="s">
        <v>40</v>
      </c>
      <c r="E431" s="228" t="s">
        <v>38</v>
      </c>
      <c r="F431" s="229" t="s">
        <v>39</v>
      </c>
      <c r="G431" s="41"/>
      <c r="H431" s="242">
        <f>H432</f>
        <v>5000</v>
      </c>
      <c r="I431" s="242">
        <f>I432</f>
        <v>5000</v>
      </c>
    </row>
    <row r="432" spans="1:9" ht="36" x14ac:dyDescent="0.35">
      <c r="A432" s="403"/>
      <c r="B432" s="414" t="s">
        <v>422</v>
      </c>
      <c r="C432" s="227" t="s">
        <v>63</v>
      </c>
      <c r="D432" s="228" t="s">
        <v>40</v>
      </c>
      <c r="E432" s="228" t="s">
        <v>38</v>
      </c>
      <c r="F432" s="229" t="s">
        <v>64</v>
      </c>
      <c r="G432" s="41"/>
      <c r="H432" s="242">
        <f t="shared" si="15"/>
        <v>5000</v>
      </c>
      <c r="I432" s="242">
        <f t="shared" si="15"/>
        <v>5000</v>
      </c>
    </row>
    <row r="433" spans="1:9" ht="18" x14ac:dyDescent="0.35">
      <c r="A433" s="403"/>
      <c r="B433" s="414" t="s">
        <v>52</v>
      </c>
      <c r="C433" s="227" t="s">
        <v>63</v>
      </c>
      <c r="D433" s="228" t="s">
        <v>40</v>
      </c>
      <c r="E433" s="228" t="s">
        <v>38</v>
      </c>
      <c r="F433" s="229" t="s">
        <v>64</v>
      </c>
      <c r="G433" s="41" t="s">
        <v>53</v>
      </c>
      <c r="H433" s="242">
        <f>'прил10 (ведом 23-24)'!M59</f>
        <v>5000</v>
      </c>
      <c r="I433" s="242">
        <f>'прил10 (ведом 23-24)'!N59</f>
        <v>5000</v>
      </c>
    </row>
    <row r="434" spans="1:9" ht="18" x14ac:dyDescent="0.35">
      <c r="A434" s="403"/>
      <c r="B434" s="414"/>
      <c r="C434" s="227"/>
      <c r="D434" s="228"/>
      <c r="E434" s="228"/>
      <c r="F434" s="229"/>
      <c r="G434" s="41"/>
      <c r="H434" s="242"/>
      <c r="I434" s="242"/>
    </row>
    <row r="435" spans="1:9" s="413" customFormat="1" ht="17.399999999999999" x14ac:dyDescent="0.3">
      <c r="A435" s="54">
        <v>19</v>
      </c>
      <c r="B435" s="501" t="s">
        <v>351</v>
      </c>
      <c r="C435" s="497"/>
      <c r="D435" s="498"/>
      <c r="E435" s="498"/>
      <c r="F435" s="499"/>
      <c r="G435" s="166"/>
      <c r="H435" s="289">
        <f>H436</f>
        <v>27393.1</v>
      </c>
      <c r="I435" s="289">
        <f>I436</f>
        <v>34551.699999999997</v>
      </c>
    </row>
    <row r="436" spans="1:9" ht="18" x14ac:dyDescent="0.35">
      <c r="A436" s="52"/>
      <c r="B436" s="502" t="s">
        <v>351</v>
      </c>
      <c r="C436" s="227"/>
      <c r="D436" s="228"/>
      <c r="E436" s="228"/>
      <c r="F436" s="229"/>
      <c r="G436" s="41"/>
      <c r="H436" s="503">
        <f>'прил10 (ведом 23-24)'!M577</f>
        <v>27393.1</v>
      </c>
      <c r="I436" s="503">
        <f>'прил10 (ведом 23-24)'!N577</f>
        <v>34551.699999999997</v>
      </c>
    </row>
    <row r="437" spans="1:9" ht="18" x14ac:dyDescent="0.35">
      <c r="A437" s="66"/>
      <c r="B437" s="504"/>
      <c r="C437" s="73"/>
      <c r="D437" s="73"/>
      <c r="E437" s="73"/>
      <c r="F437" s="73"/>
      <c r="G437" s="73"/>
      <c r="H437" s="505"/>
      <c r="I437" s="505"/>
    </row>
    <row r="438" spans="1:9" ht="18" x14ac:dyDescent="0.35">
      <c r="A438" s="66"/>
      <c r="B438" s="504"/>
      <c r="C438" s="73"/>
      <c r="D438" s="73"/>
      <c r="E438" s="73"/>
      <c r="F438" s="73"/>
      <c r="G438" s="73"/>
      <c r="H438" s="505"/>
      <c r="I438" s="505"/>
    </row>
    <row r="439" spans="1:9" ht="17.399999999999999" x14ac:dyDescent="0.3">
      <c r="A439" s="399"/>
      <c r="B439" s="56"/>
      <c r="C439" s="57"/>
      <c r="D439" s="57"/>
      <c r="E439" s="57"/>
      <c r="F439" s="57"/>
      <c r="G439" s="58"/>
    </row>
    <row r="440" spans="1:9" ht="18" x14ac:dyDescent="0.35">
      <c r="A440" s="55" t="s">
        <v>366</v>
      </c>
      <c r="B440" s="56"/>
      <c r="C440" s="57"/>
      <c r="D440" s="57"/>
      <c r="E440" s="57"/>
      <c r="F440" s="57"/>
      <c r="G440" s="58"/>
    </row>
    <row r="441" spans="1:9" ht="18" x14ac:dyDescent="0.35">
      <c r="A441" s="55" t="s">
        <v>367</v>
      </c>
      <c r="B441" s="56"/>
      <c r="C441" s="57"/>
      <c r="D441" s="57"/>
      <c r="E441" s="57"/>
      <c r="F441" s="57"/>
      <c r="G441" s="58"/>
    </row>
    <row r="442" spans="1:9" ht="18" x14ac:dyDescent="0.35">
      <c r="A442" s="61" t="s">
        <v>368</v>
      </c>
      <c r="B442" s="56"/>
      <c r="C442" s="60"/>
      <c r="D442" s="57"/>
      <c r="E442" s="57"/>
      <c r="F442" s="57"/>
      <c r="G442" s="60"/>
      <c r="H442" s="60"/>
      <c r="I442" s="62" t="s">
        <v>387</v>
      </c>
    </row>
    <row r="443" spans="1:9" x14ac:dyDescent="0.3">
      <c r="A443" s="399"/>
      <c r="B443" s="56"/>
      <c r="C443" s="57"/>
      <c r="D443" s="57"/>
      <c r="E443" s="57"/>
      <c r="F443" s="57"/>
    </row>
    <row r="444" spans="1:9" x14ac:dyDescent="0.3">
      <c r="A444" s="399"/>
      <c r="B444" s="56"/>
      <c r="C444" s="57"/>
      <c r="D444" s="57"/>
      <c r="E444" s="57"/>
      <c r="F444" s="57"/>
    </row>
    <row r="445" spans="1:9" x14ac:dyDescent="0.3">
      <c r="A445" s="399"/>
      <c r="B445" s="56"/>
      <c r="C445" s="57"/>
      <c r="D445" s="57"/>
      <c r="E445" s="57"/>
      <c r="F445" s="57"/>
    </row>
    <row r="446" spans="1:9" ht="17.399999999999999" hidden="1" x14ac:dyDescent="0.3">
      <c r="A446" s="399"/>
      <c r="B446" s="56"/>
      <c r="C446" s="57"/>
      <c r="D446" s="57"/>
      <c r="E446" s="57"/>
      <c r="F446" s="57"/>
      <c r="G446" s="58"/>
    </row>
    <row r="447" spans="1:9" hidden="1" x14ac:dyDescent="0.3">
      <c r="B447" s="507" t="s">
        <v>232</v>
      </c>
      <c r="H447" s="398">
        <f>H365+H335+H326+H286+H262+H245+H217+H194+H157+H115+H16+H320+H359+H341+H351</f>
        <v>1556332.2999999998</v>
      </c>
      <c r="I447" s="398">
        <f>I365+I335+I326+I286+I262+I245+I217+I194+I157+I115+I16+I320+I359+I341+I351</f>
        <v>1553413.2</v>
      </c>
    </row>
    <row r="448" spans="1:9" hidden="1" x14ac:dyDescent="0.3"/>
    <row r="449" spans="2:9" hidden="1" x14ac:dyDescent="0.3">
      <c r="H449" s="398">
        <f>(H447/H15)*100</f>
        <v>97.687975778052632</v>
      </c>
      <c r="I449" s="398">
        <f>(I447/I15)*100</f>
        <v>97.245966790039603</v>
      </c>
    </row>
    <row r="450" spans="2:9" hidden="1" x14ac:dyDescent="0.3">
      <c r="H450" s="398"/>
      <c r="I450" s="398"/>
    </row>
    <row r="451" spans="2:9" hidden="1" x14ac:dyDescent="0.3">
      <c r="B451" s="507" t="s">
        <v>233</v>
      </c>
      <c r="H451" s="398">
        <f>H430+H423</f>
        <v>9387.9000000000015</v>
      </c>
      <c r="I451" s="398">
        <f>I430+I423</f>
        <v>9388</v>
      </c>
    </row>
    <row r="452" spans="2:9" hidden="1" x14ac:dyDescent="0.3">
      <c r="H452" s="398">
        <f>(H451/H456)*100</f>
        <v>0.58928012213569503</v>
      </c>
      <c r="I452" s="398">
        <f>(I451/I456)*100</f>
        <v>0.58772234989525485</v>
      </c>
    </row>
    <row r="453" spans="2:9" hidden="1" x14ac:dyDescent="0.3">
      <c r="H453" s="398"/>
      <c r="I453" s="398"/>
    </row>
    <row r="454" spans="2:9" hidden="1" x14ac:dyDescent="0.3">
      <c r="B454" s="507" t="s">
        <v>353</v>
      </c>
      <c r="H454" s="398">
        <f>H435</f>
        <v>27393.1</v>
      </c>
      <c r="I454" s="398">
        <f>I435</f>
        <v>34551.699999999997</v>
      </c>
    </row>
    <row r="455" spans="2:9" hidden="1" x14ac:dyDescent="0.3">
      <c r="H455" s="398">
        <f>(H454/H456)*100</f>
        <v>1.7194696698596392</v>
      </c>
      <c r="I455" s="398">
        <f>(I454/I456)*100</f>
        <v>2.1630598974090196</v>
      </c>
    </row>
    <row r="456" spans="2:9" hidden="1" x14ac:dyDescent="0.3">
      <c r="B456" s="507" t="s">
        <v>197</v>
      </c>
      <c r="H456" s="398">
        <f>H451+H447+H454</f>
        <v>1593113.2999999998</v>
      </c>
      <c r="I456" s="398">
        <f>I451+I447+I454</f>
        <v>1597352.9</v>
      </c>
    </row>
  </sheetData>
  <autoFilter ref="A4:I456"/>
  <mergeCells count="7">
    <mergeCell ref="A9:I9"/>
    <mergeCell ref="C14:F14"/>
    <mergeCell ref="H12:I12"/>
    <mergeCell ref="A12:A13"/>
    <mergeCell ref="B12:B13"/>
    <mergeCell ref="C12:F13"/>
    <mergeCell ref="G12:G13"/>
  </mergeCells>
  <printOptions horizontalCentered="1"/>
  <pageMargins left="1.1811023622047245" right="0.39370078740157483" top="0.78740157480314965" bottom="0.78740157480314965" header="0" footer="0"/>
  <pageSetup paperSize="9" scale="70" fitToHeight="0" orientation="portrait" blackAndWhite="1" r:id="rId1"/>
  <headerFooter differentFirst="1" alignWithMargins="0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autoPageBreaks="0" fitToPage="1"/>
  </sheetPr>
  <dimension ref="A1:O831"/>
  <sheetViews>
    <sheetView topLeftCell="A702" zoomScale="80" zoomScaleNormal="80" workbookViewId="0">
      <selection activeCell="A724" sqref="A724:XFD780"/>
    </sheetView>
  </sheetViews>
  <sheetFormatPr defaultColWidth="8.88671875" defaultRowHeight="14.4" x14ac:dyDescent="0.3"/>
  <cols>
    <col min="1" max="1" width="4.6640625" style="7" customWidth="1"/>
    <col min="2" max="2" width="54.44140625" style="7" customWidth="1"/>
    <col min="3" max="3" width="10" style="7" customWidth="1"/>
    <col min="4" max="4" width="3.6640625" style="7" customWidth="1"/>
    <col min="5" max="5" width="4" style="7" customWidth="1"/>
    <col min="6" max="6" width="3.33203125" style="7" customWidth="1"/>
    <col min="7" max="7" width="2.44140625" style="7" customWidth="1"/>
    <col min="8" max="8" width="2.6640625" style="7" customWidth="1"/>
    <col min="9" max="9" width="7.6640625" style="7" customWidth="1"/>
    <col min="10" max="10" width="5" style="7" customWidth="1"/>
    <col min="11" max="11" width="14.5546875" style="7" hidden="1" customWidth="1"/>
    <col min="12" max="12" width="17.44140625" style="7" customWidth="1"/>
    <col min="13" max="13" width="21.33203125" style="43" customWidth="1"/>
    <col min="14" max="14" width="10.109375" style="7" customWidth="1"/>
    <col min="15" max="15" width="11.6640625" style="7" customWidth="1"/>
    <col min="16" max="16384" width="8.88671875" style="7"/>
  </cols>
  <sheetData>
    <row r="1" spans="1:14" ht="18" x14ac:dyDescent="0.35">
      <c r="M1" s="172" t="s">
        <v>547</v>
      </c>
    </row>
    <row r="2" spans="1:14" ht="18" x14ac:dyDescent="0.35">
      <c r="M2" s="172" t="s">
        <v>546</v>
      </c>
    </row>
    <row r="4" spans="1:14" s="49" customFormat="1" ht="18" x14ac:dyDescent="0.35">
      <c r="M4" s="303" t="s">
        <v>503</v>
      </c>
    </row>
    <row r="5" spans="1:14" s="49" customFormat="1" ht="18.75" customHeight="1" x14ac:dyDescent="0.35">
      <c r="M5" s="303" t="s">
        <v>545</v>
      </c>
    </row>
    <row r="7" spans="1:14" ht="15" customHeight="1" x14ac:dyDescent="0.3"/>
    <row r="8" spans="1:14" ht="15" customHeight="1" x14ac:dyDescent="0.3"/>
    <row r="9" spans="1:14" ht="18.75" customHeight="1" x14ac:dyDescent="0.3">
      <c r="A9" s="632" t="s">
        <v>493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</row>
    <row r="10" spans="1:14" ht="18.75" customHeight="1" x14ac:dyDescent="0.3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</row>
    <row r="11" spans="1:14" ht="18.75" customHeight="1" x14ac:dyDescent="0.35">
      <c r="A11" s="8"/>
      <c r="B11" s="9"/>
      <c r="C11" s="10"/>
      <c r="D11" s="10"/>
      <c r="E11" s="10"/>
      <c r="F11" s="10"/>
      <c r="G11" s="8"/>
      <c r="H11" s="11"/>
      <c r="I11" s="12"/>
      <c r="J11" s="13"/>
      <c r="K11" s="13"/>
      <c r="L11" s="13"/>
      <c r="M11" s="44" t="s">
        <v>17</v>
      </c>
    </row>
    <row r="12" spans="1:14" ht="25.2" customHeight="1" x14ac:dyDescent="0.3">
      <c r="A12" s="636" t="s">
        <v>18</v>
      </c>
      <c r="B12" s="638" t="s">
        <v>19</v>
      </c>
      <c r="C12" s="640" t="s">
        <v>20</v>
      </c>
      <c r="D12" s="640" t="s">
        <v>21</v>
      </c>
      <c r="E12" s="640" t="s">
        <v>22</v>
      </c>
      <c r="F12" s="642" t="s">
        <v>23</v>
      </c>
      <c r="G12" s="643"/>
      <c r="H12" s="643"/>
      <c r="I12" s="644"/>
      <c r="J12" s="640" t="s">
        <v>24</v>
      </c>
      <c r="K12" s="648" t="s">
        <v>519</v>
      </c>
      <c r="L12" s="650" t="s">
        <v>396</v>
      </c>
      <c r="M12" s="651"/>
    </row>
    <row r="13" spans="1:14" ht="37.200000000000003" customHeight="1" x14ac:dyDescent="0.35">
      <c r="A13" s="637"/>
      <c r="B13" s="639"/>
      <c r="C13" s="641"/>
      <c r="D13" s="641"/>
      <c r="E13" s="641"/>
      <c r="F13" s="645"/>
      <c r="G13" s="646"/>
      <c r="H13" s="646"/>
      <c r="I13" s="647"/>
      <c r="J13" s="641"/>
      <c r="K13" s="649"/>
      <c r="L13" s="569" t="s">
        <v>548</v>
      </c>
      <c r="M13" s="570" t="s">
        <v>549</v>
      </c>
    </row>
    <row r="14" spans="1:14" ht="18.75" customHeight="1" x14ac:dyDescent="0.35">
      <c r="A14" s="14">
        <v>1</v>
      </c>
      <c r="B14" s="15">
        <v>2</v>
      </c>
      <c r="C14" s="16" t="s">
        <v>25</v>
      </c>
      <c r="D14" s="16" t="s">
        <v>26</v>
      </c>
      <c r="E14" s="16" t="s">
        <v>27</v>
      </c>
      <c r="F14" s="633" t="s">
        <v>28</v>
      </c>
      <c r="G14" s="634"/>
      <c r="H14" s="634"/>
      <c r="I14" s="635"/>
      <c r="J14" s="16" t="s">
        <v>29</v>
      </c>
      <c r="K14" s="16"/>
      <c r="L14" s="16" t="s">
        <v>460</v>
      </c>
      <c r="M14" s="45">
        <v>9</v>
      </c>
    </row>
    <row r="15" spans="1:14" ht="18.75" customHeight="1" x14ac:dyDescent="0.3">
      <c r="A15" s="17">
        <v>1</v>
      </c>
      <c r="B15" s="18" t="s">
        <v>197</v>
      </c>
      <c r="C15" s="19"/>
      <c r="D15" s="20"/>
      <c r="E15" s="20"/>
      <c r="F15" s="21"/>
      <c r="G15" s="22"/>
      <c r="H15" s="22"/>
      <c r="I15" s="23"/>
      <c r="J15" s="20"/>
      <c r="K15" s="293">
        <f>K16+K217+K254+K266+K519+K596+K651+K685+K362</f>
        <v>1865457.9000000001</v>
      </c>
      <c r="L15" s="293">
        <v>19168.987000000008</v>
      </c>
      <c r="M15" s="293">
        <v>1884626.8870000001</v>
      </c>
      <c r="N15" s="224"/>
    </row>
    <row r="16" spans="1:14" s="127" customFormat="1" ht="37.5" customHeight="1" x14ac:dyDescent="0.3">
      <c r="A16" s="122">
        <v>1</v>
      </c>
      <c r="B16" s="24" t="s">
        <v>0</v>
      </c>
      <c r="C16" s="25" t="s">
        <v>1</v>
      </c>
      <c r="D16" s="26"/>
      <c r="E16" s="26"/>
      <c r="F16" s="27"/>
      <c r="G16" s="28"/>
      <c r="H16" s="28"/>
      <c r="I16" s="29"/>
      <c r="J16" s="26"/>
      <c r="K16" s="46">
        <f>K17+K91+K125+K168+K196+K209+K189</f>
        <v>222657.9</v>
      </c>
      <c r="L16" s="46">
        <v>10873.126000000006</v>
      </c>
      <c r="M16" s="46">
        <v>233531.02600000001</v>
      </c>
    </row>
    <row r="17" spans="1:15" s="128" customFormat="1" ht="18.75" customHeight="1" x14ac:dyDescent="0.35">
      <c r="A17" s="17"/>
      <c r="B17" s="30" t="s">
        <v>31</v>
      </c>
      <c r="C17" s="31" t="s">
        <v>1</v>
      </c>
      <c r="D17" s="16" t="s">
        <v>32</v>
      </c>
      <c r="E17" s="16"/>
      <c r="F17" s="583"/>
      <c r="G17" s="584"/>
      <c r="H17" s="584"/>
      <c r="I17" s="585"/>
      <c r="J17" s="16"/>
      <c r="K17" s="32">
        <f>K18+K24+K55+K60+K49</f>
        <v>103057</v>
      </c>
      <c r="L17" s="32">
        <v>11900.726000000006</v>
      </c>
      <c r="M17" s="32">
        <v>114957.72600000001</v>
      </c>
    </row>
    <row r="18" spans="1:15" s="123" customFormat="1" ht="56.25" customHeight="1" x14ac:dyDescent="0.35">
      <c r="A18" s="17"/>
      <c r="B18" s="30" t="s">
        <v>33</v>
      </c>
      <c r="C18" s="31" t="s">
        <v>1</v>
      </c>
      <c r="D18" s="16" t="s">
        <v>32</v>
      </c>
      <c r="E18" s="16" t="s">
        <v>34</v>
      </c>
      <c r="F18" s="583"/>
      <c r="G18" s="584"/>
      <c r="H18" s="584"/>
      <c r="I18" s="585"/>
      <c r="J18" s="16"/>
      <c r="K18" s="32">
        <f t="shared" ref="K18:M21" si="0">K19</f>
        <v>2439.1999999999998</v>
      </c>
      <c r="L18" s="32">
        <v>0</v>
      </c>
      <c r="M18" s="32">
        <v>2439.1999999999998</v>
      </c>
      <c r="O18" s="123" t="s">
        <v>419</v>
      </c>
    </row>
    <row r="19" spans="1:15" s="123" customFormat="1" ht="59.25" customHeight="1" x14ac:dyDescent="0.35">
      <c r="A19" s="17"/>
      <c r="B19" s="30" t="s">
        <v>35</v>
      </c>
      <c r="C19" s="31" t="s">
        <v>1</v>
      </c>
      <c r="D19" s="16" t="s">
        <v>32</v>
      </c>
      <c r="E19" s="16" t="s">
        <v>34</v>
      </c>
      <c r="F19" s="583" t="s">
        <v>36</v>
      </c>
      <c r="G19" s="584" t="s">
        <v>37</v>
      </c>
      <c r="H19" s="584" t="s">
        <v>38</v>
      </c>
      <c r="I19" s="585" t="s">
        <v>39</v>
      </c>
      <c r="J19" s="16"/>
      <c r="K19" s="32">
        <f t="shared" si="0"/>
        <v>2439.1999999999998</v>
      </c>
      <c r="L19" s="32">
        <v>0</v>
      </c>
      <c r="M19" s="32">
        <v>2439.1999999999998</v>
      </c>
    </row>
    <row r="20" spans="1:15" s="123" customFormat="1" ht="37.5" customHeight="1" x14ac:dyDescent="0.35">
      <c r="A20" s="17"/>
      <c r="B20" s="30" t="s">
        <v>328</v>
      </c>
      <c r="C20" s="31" t="s">
        <v>1</v>
      </c>
      <c r="D20" s="16" t="s">
        <v>32</v>
      </c>
      <c r="E20" s="16" t="s">
        <v>34</v>
      </c>
      <c r="F20" s="583" t="s">
        <v>36</v>
      </c>
      <c r="G20" s="584" t="s">
        <v>40</v>
      </c>
      <c r="H20" s="584" t="s">
        <v>38</v>
      </c>
      <c r="I20" s="585" t="s">
        <v>39</v>
      </c>
      <c r="J20" s="16"/>
      <c r="K20" s="32">
        <f t="shared" si="0"/>
        <v>2439.1999999999998</v>
      </c>
      <c r="L20" s="32">
        <v>0</v>
      </c>
      <c r="M20" s="32">
        <v>2439.1999999999998</v>
      </c>
    </row>
    <row r="21" spans="1:15" s="123" customFormat="1" ht="56.25" customHeight="1" x14ac:dyDescent="0.35">
      <c r="A21" s="17"/>
      <c r="B21" s="30" t="s">
        <v>41</v>
      </c>
      <c r="C21" s="31" t="s">
        <v>1</v>
      </c>
      <c r="D21" s="16" t="s">
        <v>32</v>
      </c>
      <c r="E21" s="16" t="s">
        <v>34</v>
      </c>
      <c r="F21" s="583" t="s">
        <v>36</v>
      </c>
      <c r="G21" s="584" t="s">
        <v>40</v>
      </c>
      <c r="H21" s="584" t="s">
        <v>32</v>
      </c>
      <c r="I21" s="585" t="s">
        <v>39</v>
      </c>
      <c r="J21" s="16"/>
      <c r="K21" s="32">
        <f t="shared" si="0"/>
        <v>2439.1999999999998</v>
      </c>
      <c r="L21" s="32">
        <v>0</v>
      </c>
      <c r="M21" s="32">
        <v>2439.1999999999998</v>
      </c>
    </row>
    <row r="22" spans="1:15" s="123" customFormat="1" ht="37.5" customHeight="1" x14ac:dyDescent="0.35">
      <c r="A22" s="17"/>
      <c r="B22" s="30" t="s">
        <v>42</v>
      </c>
      <c r="C22" s="31" t="s">
        <v>1</v>
      </c>
      <c r="D22" s="16" t="s">
        <v>32</v>
      </c>
      <c r="E22" s="16" t="s">
        <v>34</v>
      </c>
      <c r="F22" s="583" t="s">
        <v>36</v>
      </c>
      <c r="G22" s="584" t="s">
        <v>40</v>
      </c>
      <c r="H22" s="584" t="s">
        <v>32</v>
      </c>
      <c r="I22" s="585" t="s">
        <v>43</v>
      </c>
      <c r="J22" s="16"/>
      <c r="K22" s="32">
        <f>K23</f>
        <v>2439.1999999999998</v>
      </c>
      <c r="L22" s="32">
        <v>0</v>
      </c>
      <c r="M22" s="32">
        <v>2439.1999999999998</v>
      </c>
    </row>
    <row r="23" spans="1:15" s="123" customFormat="1" ht="112.5" customHeight="1" x14ac:dyDescent="0.35">
      <c r="A23" s="17"/>
      <c r="B23" s="30" t="s">
        <v>44</v>
      </c>
      <c r="C23" s="31" t="s">
        <v>1</v>
      </c>
      <c r="D23" s="16" t="s">
        <v>32</v>
      </c>
      <c r="E23" s="16" t="s">
        <v>34</v>
      </c>
      <c r="F23" s="583" t="s">
        <v>36</v>
      </c>
      <c r="G23" s="584" t="s">
        <v>40</v>
      </c>
      <c r="H23" s="584" t="s">
        <v>32</v>
      </c>
      <c r="I23" s="585" t="s">
        <v>43</v>
      </c>
      <c r="J23" s="16" t="s">
        <v>45</v>
      </c>
      <c r="K23" s="32">
        <f>2067.1+372.1</f>
        <v>2439.1999999999998</v>
      </c>
      <c r="L23" s="32">
        <v>0</v>
      </c>
      <c r="M23" s="32">
        <v>2439.1999999999998</v>
      </c>
    </row>
    <row r="24" spans="1:15" s="128" customFormat="1" ht="75.75" customHeight="1" x14ac:dyDescent="0.35">
      <c r="A24" s="17"/>
      <c r="B24" s="30" t="s">
        <v>46</v>
      </c>
      <c r="C24" s="31" t="s">
        <v>1</v>
      </c>
      <c r="D24" s="16" t="s">
        <v>32</v>
      </c>
      <c r="E24" s="16" t="s">
        <v>47</v>
      </c>
      <c r="F24" s="583"/>
      <c r="G24" s="584"/>
      <c r="H24" s="584"/>
      <c r="I24" s="585"/>
      <c r="J24" s="16"/>
      <c r="K24" s="32">
        <f t="shared" ref="K24:M25" si="1">K25</f>
        <v>84141.5</v>
      </c>
      <c r="L24" s="32">
        <v>1126.9260000000058</v>
      </c>
      <c r="M24" s="32">
        <v>85268.426000000007</v>
      </c>
    </row>
    <row r="25" spans="1:15" s="128" customFormat="1" ht="60" customHeight="1" x14ac:dyDescent="0.35">
      <c r="A25" s="17"/>
      <c r="B25" s="30" t="s">
        <v>48</v>
      </c>
      <c r="C25" s="31" t="s">
        <v>1</v>
      </c>
      <c r="D25" s="16" t="s">
        <v>32</v>
      </c>
      <c r="E25" s="16" t="s">
        <v>47</v>
      </c>
      <c r="F25" s="583" t="s">
        <v>36</v>
      </c>
      <c r="G25" s="584" t="s">
        <v>37</v>
      </c>
      <c r="H25" s="584" t="s">
        <v>38</v>
      </c>
      <c r="I25" s="585" t="s">
        <v>39</v>
      </c>
      <c r="J25" s="16"/>
      <c r="K25" s="32">
        <f t="shared" si="1"/>
        <v>84141.5</v>
      </c>
      <c r="L25" s="32">
        <v>1126.9260000000058</v>
      </c>
      <c r="M25" s="32">
        <v>85268.426000000007</v>
      </c>
    </row>
    <row r="26" spans="1:15" s="13" customFormat="1" ht="37.5" customHeight="1" x14ac:dyDescent="0.35">
      <c r="A26" s="17"/>
      <c r="B26" s="30" t="s">
        <v>328</v>
      </c>
      <c r="C26" s="31" t="s">
        <v>1</v>
      </c>
      <c r="D26" s="16" t="s">
        <v>32</v>
      </c>
      <c r="E26" s="16" t="s">
        <v>47</v>
      </c>
      <c r="F26" s="583" t="s">
        <v>36</v>
      </c>
      <c r="G26" s="584" t="s">
        <v>40</v>
      </c>
      <c r="H26" s="584" t="s">
        <v>38</v>
      </c>
      <c r="I26" s="585" t="s">
        <v>39</v>
      </c>
      <c r="J26" s="16"/>
      <c r="K26" s="32">
        <f>K27+K46</f>
        <v>84141.5</v>
      </c>
      <c r="L26" s="32">
        <v>1126.9260000000058</v>
      </c>
      <c r="M26" s="32">
        <v>85268.426000000007</v>
      </c>
    </row>
    <row r="27" spans="1:15" s="13" customFormat="1" ht="37.5" customHeight="1" x14ac:dyDescent="0.35">
      <c r="A27" s="17"/>
      <c r="B27" s="30" t="s">
        <v>49</v>
      </c>
      <c r="C27" s="31" t="s">
        <v>1</v>
      </c>
      <c r="D27" s="16" t="s">
        <v>32</v>
      </c>
      <c r="E27" s="16" t="s">
        <v>47</v>
      </c>
      <c r="F27" s="583" t="s">
        <v>36</v>
      </c>
      <c r="G27" s="584" t="s">
        <v>40</v>
      </c>
      <c r="H27" s="584" t="s">
        <v>34</v>
      </c>
      <c r="I27" s="585" t="s">
        <v>39</v>
      </c>
      <c r="J27" s="16"/>
      <c r="K27" s="32">
        <f>K28+K36+K38+K34+K41+K43+K32</f>
        <v>84126.5</v>
      </c>
      <c r="L27" s="32">
        <v>1126.9260000000058</v>
      </c>
      <c r="M27" s="32">
        <v>85253.426000000007</v>
      </c>
    </row>
    <row r="28" spans="1:15" s="123" customFormat="1" ht="37.5" customHeight="1" x14ac:dyDescent="0.35">
      <c r="A28" s="17"/>
      <c r="B28" s="30" t="s">
        <v>42</v>
      </c>
      <c r="C28" s="31" t="s">
        <v>1</v>
      </c>
      <c r="D28" s="16" t="s">
        <v>32</v>
      </c>
      <c r="E28" s="16" t="s">
        <v>47</v>
      </c>
      <c r="F28" s="583" t="s">
        <v>36</v>
      </c>
      <c r="G28" s="584" t="s">
        <v>40</v>
      </c>
      <c r="H28" s="584" t="s">
        <v>34</v>
      </c>
      <c r="I28" s="585" t="s">
        <v>43</v>
      </c>
      <c r="J28" s="16"/>
      <c r="K28" s="32">
        <f>K29+K30+K31</f>
        <v>78600.100000000006</v>
      </c>
      <c r="L28" s="32">
        <v>1126.9260000000058</v>
      </c>
      <c r="M28" s="32">
        <v>79727.026000000013</v>
      </c>
    </row>
    <row r="29" spans="1:15" s="123" customFormat="1" ht="112.5" customHeight="1" x14ac:dyDescent="0.35">
      <c r="A29" s="17"/>
      <c r="B29" s="30" t="s">
        <v>44</v>
      </c>
      <c r="C29" s="31" t="s">
        <v>1</v>
      </c>
      <c r="D29" s="16" t="s">
        <v>32</v>
      </c>
      <c r="E29" s="16" t="s">
        <v>47</v>
      </c>
      <c r="F29" s="583" t="s">
        <v>36</v>
      </c>
      <c r="G29" s="584" t="s">
        <v>40</v>
      </c>
      <c r="H29" s="584" t="s">
        <v>34</v>
      </c>
      <c r="I29" s="585" t="s">
        <v>43</v>
      </c>
      <c r="J29" s="16" t="s">
        <v>45</v>
      </c>
      <c r="K29" s="32">
        <f>60208.2+168.8+10014.1+2381.6</f>
        <v>72772.700000000012</v>
      </c>
      <c r="L29" s="32">
        <v>1079.1000000000058</v>
      </c>
      <c r="M29" s="575">
        <v>73851.800000000017</v>
      </c>
      <c r="N29" s="128"/>
    </row>
    <row r="30" spans="1:15" s="13" customFormat="1" ht="56.25" customHeight="1" x14ac:dyDescent="0.35">
      <c r="A30" s="17"/>
      <c r="B30" s="30" t="s">
        <v>50</v>
      </c>
      <c r="C30" s="31" t="s">
        <v>1</v>
      </c>
      <c r="D30" s="16" t="s">
        <v>32</v>
      </c>
      <c r="E30" s="16" t="s">
        <v>47</v>
      </c>
      <c r="F30" s="583" t="s">
        <v>36</v>
      </c>
      <c r="G30" s="584" t="s">
        <v>40</v>
      </c>
      <c r="H30" s="584" t="s">
        <v>34</v>
      </c>
      <c r="I30" s="585" t="s">
        <v>43</v>
      </c>
      <c r="J30" s="16" t="s">
        <v>51</v>
      </c>
      <c r="K30" s="32">
        <f>6016.5-290</f>
        <v>5726.5</v>
      </c>
      <c r="L30" s="32">
        <v>47.826000000000022</v>
      </c>
      <c r="M30" s="575">
        <v>5774.326</v>
      </c>
    </row>
    <row r="31" spans="1:15" s="123" customFormat="1" ht="18.75" customHeight="1" x14ac:dyDescent="0.35">
      <c r="A31" s="17"/>
      <c r="B31" s="30" t="s">
        <v>52</v>
      </c>
      <c r="C31" s="31" t="s">
        <v>1</v>
      </c>
      <c r="D31" s="16" t="s">
        <v>32</v>
      </c>
      <c r="E31" s="16" t="s">
        <v>47</v>
      </c>
      <c r="F31" s="583" t="s">
        <v>36</v>
      </c>
      <c r="G31" s="584" t="s">
        <v>40</v>
      </c>
      <c r="H31" s="584" t="s">
        <v>34</v>
      </c>
      <c r="I31" s="585" t="s">
        <v>43</v>
      </c>
      <c r="J31" s="16" t="s">
        <v>53</v>
      </c>
      <c r="K31" s="32">
        <v>100.9</v>
      </c>
      <c r="L31" s="32">
        <v>0</v>
      </c>
      <c r="M31" s="32">
        <v>100.9</v>
      </c>
      <c r="N31" s="13"/>
    </row>
    <row r="32" spans="1:15" s="123" customFormat="1" ht="18.75" customHeight="1" x14ac:dyDescent="0.35">
      <c r="A32" s="17"/>
      <c r="B32" s="30" t="s">
        <v>438</v>
      </c>
      <c r="C32" s="31" t="s">
        <v>1</v>
      </c>
      <c r="D32" s="16" t="s">
        <v>32</v>
      </c>
      <c r="E32" s="16" t="s">
        <v>47</v>
      </c>
      <c r="F32" s="583" t="s">
        <v>36</v>
      </c>
      <c r="G32" s="584" t="s">
        <v>40</v>
      </c>
      <c r="H32" s="584" t="s">
        <v>34</v>
      </c>
      <c r="I32" s="585" t="s">
        <v>376</v>
      </c>
      <c r="J32" s="16"/>
      <c r="K32" s="32">
        <f>K33</f>
        <v>624.6</v>
      </c>
      <c r="L32" s="32">
        <v>0</v>
      </c>
      <c r="M32" s="32">
        <v>624.6</v>
      </c>
      <c r="N32" s="13"/>
    </row>
    <row r="33" spans="1:14" s="123" customFormat="1" ht="54" x14ac:dyDescent="0.35">
      <c r="A33" s="17"/>
      <c r="B33" s="30" t="s">
        <v>50</v>
      </c>
      <c r="C33" s="31" t="s">
        <v>1</v>
      </c>
      <c r="D33" s="16" t="s">
        <v>32</v>
      </c>
      <c r="E33" s="16" t="s">
        <v>47</v>
      </c>
      <c r="F33" s="583" t="s">
        <v>36</v>
      </c>
      <c r="G33" s="584" t="s">
        <v>40</v>
      </c>
      <c r="H33" s="584" t="s">
        <v>34</v>
      </c>
      <c r="I33" s="585" t="s">
        <v>376</v>
      </c>
      <c r="J33" s="16" t="s">
        <v>51</v>
      </c>
      <c r="K33" s="32">
        <v>624.6</v>
      </c>
      <c r="L33" s="32">
        <v>0</v>
      </c>
      <c r="M33" s="32">
        <v>624.6</v>
      </c>
      <c r="N33" s="13"/>
    </row>
    <row r="34" spans="1:14" s="128" customFormat="1" ht="97.5" customHeight="1" x14ac:dyDescent="0.35">
      <c r="A34" s="17"/>
      <c r="B34" s="30" t="s">
        <v>421</v>
      </c>
      <c r="C34" s="31" t="s">
        <v>1</v>
      </c>
      <c r="D34" s="16" t="s">
        <v>32</v>
      </c>
      <c r="E34" s="16" t="s">
        <v>47</v>
      </c>
      <c r="F34" s="583" t="s">
        <v>36</v>
      </c>
      <c r="G34" s="584" t="s">
        <v>40</v>
      </c>
      <c r="H34" s="584" t="s">
        <v>34</v>
      </c>
      <c r="I34" s="585" t="s">
        <v>253</v>
      </c>
      <c r="J34" s="16"/>
      <c r="K34" s="32">
        <f>K35</f>
        <v>63</v>
      </c>
      <c r="L34" s="32">
        <v>0</v>
      </c>
      <c r="M34" s="32">
        <v>63</v>
      </c>
    </row>
    <row r="35" spans="1:14" s="128" customFormat="1" ht="56.25" customHeight="1" x14ac:dyDescent="0.35">
      <c r="A35" s="17"/>
      <c r="B35" s="30" t="s">
        <v>50</v>
      </c>
      <c r="C35" s="31" t="s">
        <v>1</v>
      </c>
      <c r="D35" s="16" t="s">
        <v>32</v>
      </c>
      <c r="E35" s="16" t="s">
        <v>47</v>
      </c>
      <c r="F35" s="583" t="s">
        <v>36</v>
      </c>
      <c r="G35" s="584" t="s">
        <v>40</v>
      </c>
      <c r="H35" s="584" t="s">
        <v>34</v>
      </c>
      <c r="I35" s="585" t="s">
        <v>253</v>
      </c>
      <c r="J35" s="16" t="s">
        <v>51</v>
      </c>
      <c r="K35" s="32">
        <v>63</v>
      </c>
      <c r="L35" s="32">
        <v>0</v>
      </c>
      <c r="M35" s="32">
        <v>63</v>
      </c>
    </row>
    <row r="36" spans="1:14" s="128" customFormat="1" ht="200.4" customHeight="1" x14ac:dyDescent="0.35">
      <c r="A36" s="17"/>
      <c r="B36" s="50" t="s">
        <v>429</v>
      </c>
      <c r="C36" s="31" t="s">
        <v>1</v>
      </c>
      <c r="D36" s="16" t="s">
        <v>32</v>
      </c>
      <c r="E36" s="16" t="s">
        <v>47</v>
      </c>
      <c r="F36" s="583" t="s">
        <v>36</v>
      </c>
      <c r="G36" s="584" t="s">
        <v>40</v>
      </c>
      <c r="H36" s="584" t="s">
        <v>34</v>
      </c>
      <c r="I36" s="585" t="s">
        <v>54</v>
      </c>
      <c r="J36" s="16"/>
      <c r="K36" s="32">
        <f>K37</f>
        <v>645.20000000000005</v>
      </c>
      <c r="L36" s="32">
        <v>0</v>
      </c>
      <c r="M36" s="32">
        <v>645.20000000000005</v>
      </c>
    </row>
    <row r="37" spans="1:14" s="128" customFormat="1" ht="110.4" customHeight="1" x14ac:dyDescent="0.35">
      <c r="A37" s="17"/>
      <c r="B37" s="30" t="s">
        <v>44</v>
      </c>
      <c r="C37" s="31" t="s">
        <v>1</v>
      </c>
      <c r="D37" s="16" t="s">
        <v>32</v>
      </c>
      <c r="E37" s="16" t="s">
        <v>47</v>
      </c>
      <c r="F37" s="583" t="s">
        <v>36</v>
      </c>
      <c r="G37" s="584" t="s">
        <v>40</v>
      </c>
      <c r="H37" s="584" t="s">
        <v>34</v>
      </c>
      <c r="I37" s="585" t="s">
        <v>54</v>
      </c>
      <c r="J37" s="16" t="s">
        <v>45</v>
      </c>
      <c r="K37" s="32">
        <v>645.20000000000005</v>
      </c>
      <c r="L37" s="32">
        <v>0</v>
      </c>
      <c r="M37" s="32">
        <v>645.20000000000005</v>
      </c>
    </row>
    <row r="38" spans="1:14" s="128" customFormat="1" ht="75" customHeight="1" x14ac:dyDescent="0.35">
      <c r="A38" s="17"/>
      <c r="B38" s="30" t="s">
        <v>397</v>
      </c>
      <c r="C38" s="31" t="s">
        <v>1</v>
      </c>
      <c r="D38" s="16" t="s">
        <v>32</v>
      </c>
      <c r="E38" s="16" t="s">
        <v>47</v>
      </c>
      <c r="F38" s="583" t="s">
        <v>36</v>
      </c>
      <c r="G38" s="584" t="s">
        <v>40</v>
      </c>
      <c r="H38" s="584" t="s">
        <v>34</v>
      </c>
      <c r="I38" s="585" t="s">
        <v>56</v>
      </c>
      <c r="J38" s="16"/>
      <c r="K38" s="32">
        <f>K39+K40</f>
        <v>645.4</v>
      </c>
      <c r="L38" s="32">
        <v>0</v>
      </c>
      <c r="M38" s="32">
        <v>645.4</v>
      </c>
    </row>
    <row r="39" spans="1:14" s="128" customFormat="1" ht="112.5" customHeight="1" x14ac:dyDescent="0.35">
      <c r="A39" s="17"/>
      <c r="B39" s="30" t="s">
        <v>44</v>
      </c>
      <c r="C39" s="31" t="s">
        <v>1</v>
      </c>
      <c r="D39" s="16" t="s">
        <v>32</v>
      </c>
      <c r="E39" s="16" t="s">
        <v>47</v>
      </c>
      <c r="F39" s="583" t="s">
        <v>36</v>
      </c>
      <c r="G39" s="584" t="s">
        <v>40</v>
      </c>
      <c r="H39" s="584" t="s">
        <v>34</v>
      </c>
      <c r="I39" s="585" t="s">
        <v>56</v>
      </c>
      <c r="J39" s="16" t="s">
        <v>45</v>
      </c>
      <c r="K39" s="32">
        <v>641</v>
      </c>
      <c r="L39" s="32">
        <v>0</v>
      </c>
      <c r="M39" s="32">
        <v>641</v>
      </c>
    </row>
    <row r="40" spans="1:14" s="128" customFormat="1" ht="56.25" customHeight="1" x14ac:dyDescent="0.35">
      <c r="A40" s="17"/>
      <c r="B40" s="30" t="s">
        <v>50</v>
      </c>
      <c r="C40" s="31" t="s">
        <v>1</v>
      </c>
      <c r="D40" s="16" t="s">
        <v>32</v>
      </c>
      <c r="E40" s="16" t="s">
        <v>47</v>
      </c>
      <c r="F40" s="583" t="s">
        <v>36</v>
      </c>
      <c r="G40" s="584" t="s">
        <v>40</v>
      </c>
      <c r="H40" s="584" t="s">
        <v>34</v>
      </c>
      <c r="I40" s="585" t="s">
        <v>56</v>
      </c>
      <c r="J40" s="16" t="s">
        <v>51</v>
      </c>
      <c r="K40" s="32">
        <v>4.4000000000000004</v>
      </c>
      <c r="L40" s="32">
        <v>0</v>
      </c>
      <c r="M40" s="32">
        <v>4.4000000000000004</v>
      </c>
    </row>
    <row r="41" spans="1:14" s="128" customFormat="1" ht="177.6" customHeight="1" x14ac:dyDescent="0.35">
      <c r="A41" s="17"/>
      <c r="B41" s="50" t="s">
        <v>365</v>
      </c>
      <c r="C41" s="31" t="s">
        <v>1</v>
      </c>
      <c r="D41" s="16" t="s">
        <v>32</v>
      </c>
      <c r="E41" s="16" t="s">
        <v>47</v>
      </c>
      <c r="F41" s="583" t="s">
        <v>36</v>
      </c>
      <c r="G41" s="584" t="s">
        <v>40</v>
      </c>
      <c r="H41" s="584" t="s">
        <v>34</v>
      </c>
      <c r="I41" s="585" t="s">
        <v>364</v>
      </c>
      <c r="J41" s="16"/>
      <c r="K41" s="32">
        <f>K42</f>
        <v>63</v>
      </c>
      <c r="L41" s="32">
        <v>0</v>
      </c>
      <c r="M41" s="32">
        <v>63</v>
      </c>
    </row>
    <row r="42" spans="1:14" s="128" customFormat="1" ht="56.25" customHeight="1" x14ac:dyDescent="0.35">
      <c r="A42" s="17"/>
      <c r="B42" s="30" t="s">
        <v>50</v>
      </c>
      <c r="C42" s="31" t="s">
        <v>1</v>
      </c>
      <c r="D42" s="16" t="s">
        <v>32</v>
      </c>
      <c r="E42" s="16" t="s">
        <v>47</v>
      </c>
      <c r="F42" s="583" t="s">
        <v>36</v>
      </c>
      <c r="G42" s="584" t="s">
        <v>40</v>
      </c>
      <c r="H42" s="584" t="s">
        <v>34</v>
      </c>
      <c r="I42" s="585" t="s">
        <v>364</v>
      </c>
      <c r="J42" s="16" t="s">
        <v>51</v>
      </c>
      <c r="K42" s="32">
        <v>63</v>
      </c>
      <c r="L42" s="32">
        <v>0</v>
      </c>
      <c r="M42" s="32">
        <v>63</v>
      </c>
    </row>
    <row r="43" spans="1:14" s="128" customFormat="1" ht="76.8" customHeight="1" x14ac:dyDescent="0.35">
      <c r="A43" s="17"/>
      <c r="B43" s="30" t="s">
        <v>55</v>
      </c>
      <c r="C43" s="31" t="s">
        <v>1</v>
      </c>
      <c r="D43" s="16" t="s">
        <v>32</v>
      </c>
      <c r="E43" s="16" t="s">
        <v>47</v>
      </c>
      <c r="F43" s="583" t="s">
        <v>36</v>
      </c>
      <c r="G43" s="584" t="s">
        <v>40</v>
      </c>
      <c r="H43" s="584" t="s">
        <v>34</v>
      </c>
      <c r="I43" s="585" t="s">
        <v>530</v>
      </c>
      <c r="J43" s="16"/>
      <c r="K43" s="32">
        <f>SUM(K44:K45)</f>
        <v>3485.2</v>
      </c>
      <c r="L43" s="32">
        <v>0</v>
      </c>
      <c r="M43" s="32">
        <v>3485.2</v>
      </c>
    </row>
    <row r="44" spans="1:14" s="128" customFormat="1" ht="56.25" customHeight="1" x14ac:dyDescent="0.35">
      <c r="A44" s="17"/>
      <c r="B44" s="30" t="s">
        <v>44</v>
      </c>
      <c r="C44" s="31" t="s">
        <v>1</v>
      </c>
      <c r="D44" s="16" t="s">
        <v>32</v>
      </c>
      <c r="E44" s="16" t="s">
        <v>47</v>
      </c>
      <c r="F44" s="583" t="s">
        <v>36</v>
      </c>
      <c r="G44" s="584" t="s">
        <v>40</v>
      </c>
      <c r="H44" s="584" t="s">
        <v>34</v>
      </c>
      <c r="I44" s="585" t="s">
        <v>530</v>
      </c>
      <c r="J44" s="16" t="s">
        <v>45</v>
      </c>
      <c r="K44" s="32">
        <v>3293.6</v>
      </c>
      <c r="L44" s="32">
        <v>0</v>
      </c>
      <c r="M44" s="32">
        <v>3293.6</v>
      </c>
    </row>
    <row r="45" spans="1:14" s="128" customFormat="1" ht="56.25" customHeight="1" x14ac:dyDescent="0.35">
      <c r="A45" s="17"/>
      <c r="B45" s="30" t="s">
        <v>50</v>
      </c>
      <c r="C45" s="31" t="s">
        <v>1</v>
      </c>
      <c r="D45" s="16" t="s">
        <v>32</v>
      </c>
      <c r="E45" s="16" t="s">
        <v>47</v>
      </c>
      <c r="F45" s="583" t="s">
        <v>36</v>
      </c>
      <c r="G45" s="584" t="s">
        <v>40</v>
      </c>
      <c r="H45" s="584" t="s">
        <v>34</v>
      </c>
      <c r="I45" s="585" t="s">
        <v>530</v>
      </c>
      <c r="J45" s="16" t="s">
        <v>51</v>
      </c>
      <c r="K45" s="32">
        <v>191.6</v>
      </c>
      <c r="L45" s="32">
        <v>0</v>
      </c>
      <c r="M45" s="32">
        <v>191.6</v>
      </c>
    </row>
    <row r="46" spans="1:14" s="13" customFormat="1" ht="18.75" customHeight="1" x14ac:dyDescent="0.35">
      <c r="A46" s="17"/>
      <c r="B46" s="30" t="s">
        <v>57</v>
      </c>
      <c r="C46" s="31" t="s">
        <v>1</v>
      </c>
      <c r="D46" s="16" t="s">
        <v>32</v>
      </c>
      <c r="E46" s="16" t="s">
        <v>47</v>
      </c>
      <c r="F46" s="583" t="s">
        <v>36</v>
      </c>
      <c r="G46" s="584" t="s">
        <v>40</v>
      </c>
      <c r="H46" s="584" t="s">
        <v>58</v>
      </c>
      <c r="I46" s="585" t="s">
        <v>39</v>
      </c>
      <c r="J46" s="16"/>
      <c r="K46" s="32">
        <f t="shared" ref="K46:M46" si="2">K47</f>
        <v>15</v>
      </c>
      <c r="L46" s="32">
        <v>0</v>
      </c>
      <c r="M46" s="32">
        <v>15</v>
      </c>
    </row>
    <row r="47" spans="1:14" s="123" customFormat="1" ht="37.5" customHeight="1" x14ac:dyDescent="0.35">
      <c r="A47" s="17"/>
      <c r="B47" s="30" t="s">
        <v>42</v>
      </c>
      <c r="C47" s="31" t="s">
        <v>1</v>
      </c>
      <c r="D47" s="16" t="s">
        <v>32</v>
      </c>
      <c r="E47" s="16" t="s">
        <v>47</v>
      </c>
      <c r="F47" s="583" t="s">
        <v>36</v>
      </c>
      <c r="G47" s="584" t="s">
        <v>40</v>
      </c>
      <c r="H47" s="584" t="s">
        <v>58</v>
      </c>
      <c r="I47" s="585" t="s">
        <v>43</v>
      </c>
      <c r="J47" s="16"/>
      <c r="K47" s="32">
        <f>K48</f>
        <v>15</v>
      </c>
      <c r="L47" s="32">
        <v>0</v>
      </c>
      <c r="M47" s="32">
        <v>15</v>
      </c>
    </row>
    <row r="48" spans="1:14" s="13" customFormat="1" ht="56.25" customHeight="1" x14ac:dyDescent="0.35">
      <c r="A48" s="17"/>
      <c r="B48" s="30" t="s">
        <v>50</v>
      </c>
      <c r="C48" s="31" t="s">
        <v>1</v>
      </c>
      <c r="D48" s="16" t="s">
        <v>32</v>
      </c>
      <c r="E48" s="16" t="s">
        <v>47</v>
      </c>
      <c r="F48" s="583" t="s">
        <v>36</v>
      </c>
      <c r="G48" s="584" t="s">
        <v>40</v>
      </c>
      <c r="H48" s="584" t="s">
        <v>58</v>
      </c>
      <c r="I48" s="585" t="s">
        <v>43</v>
      </c>
      <c r="J48" s="16" t="s">
        <v>51</v>
      </c>
      <c r="K48" s="32">
        <f>127.4-112.4</f>
        <v>15</v>
      </c>
      <c r="L48" s="32">
        <v>0</v>
      </c>
      <c r="M48" s="32">
        <v>15</v>
      </c>
    </row>
    <row r="49" spans="1:13" s="13" customFormat="1" ht="18.75" customHeight="1" x14ac:dyDescent="0.35">
      <c r="A49" s="17"/>
      <c r="B49" s="30" t="s">
        <v>383</v>
      </c>
      <c r="C49" s="31" t="s">
        <v>1</v>
      </c>
      <c r="D49" s="16" t="s">
        <v>32</v>
      </c>
      <c r="E49" s="16" t="s">
        <v>60</v>
      </c>
      <c r="F49" s="583"/>
      <c r="G49" s="584"/>
      <c r="H49" s="584"/>
      <c r="I49" s="585"/>
      <c r="J49" s="16"/>
      <c r="K49" s="32">
        <f t="shared" ref="K49:M52" si="3">K50</f>
        <v>140</v>
      </c>
      <c r="L49" s="32">
        <v>0</v>
      </c>
      <c r="M49" s="32">
        <v>140</v>
      </c>
    </row>
    <row r="50" spans="1:13" s="13" customFormat="1" ht="59.25" customHeight="1" x14ac:dyDescent="0.35">
      <c r="A50" s="17"/>
      <c r="B50" s="30" t="s">
        <v>48</v>
      </c>
      <c r="C50" s="31" t="s">
        <v>1</v>
      </c>
      <c r="D50" s="16" t="s">
        <v>32</v>
      </c>
      <c r="E50" s="16" t="s">
        <v>60</v>
      </c>
      <c r="F50" s="583" t="s">
        <v>36</v>
      </c>
      <c r="G50" s="584" t="s">
        <v>37</v>
      </c>
      <c r="H50" s="584" t="s">
        <v>38</v>
      </c>
      <c r="I50" s="585" t="s">
        <v>39</v>
      </c>
      <c r="J50" s="16"/>
      <c r="K50" s="32">
        <f t="shared" si="3"/>
        <v>140</v>
      </c>
      <c r="L50" s="32">
        <v>0</v>
      </c>
      <c r="M50" s="32">
        <v>140</v>
      </c>
    </row>
    <row r="51" spans="1:13" s="13" customFormat="1" ht="37.5" customHeight="1" x14ac:dyDescent="0.35">
      <c r="A51" s="17"/>
      <c r="B51" s="30" t="s">
        <v>328</v>
      </c>
      <c r="C51" s="31" t="s">
        <v>1</v>
      </c>
      <c r="D51" s="16" t="s">
        <v>32</v>
      </c>
      <c r="E51" s="16" t="s">
        <v>60</v>
      </c>
      <c r="F51" s="583" t="s">
        <v>36</v>
      </c>
      <c r="G51" s="584" t="s">
        <v>40</v>
      </c>
      <c r="H51" s="584" t="s">
        <v>38</v>
      </c>
      <c r="I51" s="585" t="s">
        <v>39</v>
      </c>
      <c r="J51" s="16"/>
      <c r="K51" s="32">
        <f t="shared" si="3"/>
        <v>140</v>
      </c>
      <c r="L51" s="32">
        <v>0</v>
      </c>
      <c r="M51" s="32">
        <v>140</v>
      </c>
    </row>
    <row r="52" spans="1:13" s="13" customFormat="1" ht="37.5" customHeight="1" x14ac:dyDescent="0.35">
      <c r="A52" s="17"/>
      <c r="B52" s="30" t="s">
        <v>49</v>
      </c>
      <c r="C52" s="31" t="s">
        <v>1</v>
      </c>
      <c r="D52" s="16" t="s">
        <v>32</v>
      </c>
      <c r="E52" s="16" t="s">
        <v>60</v>
      </c>
      <c r="F52" s="583" t="s">
        <v>36</v>
      </c>
      <c r="G52" s="584" t="s">
        <v>40</v>
      </c>
      <c r="H52" s="584" t="s">
        <v>34</v>
      </c>
      <c r="I52" s="585" t="s">
        <v>39</v>
      </c>
      <c r="J52" s="16"/>
      <c r="K52" s="32">
        <f t="shared" si="3"/>
        <v>140</v>
      </c>
      <c r="L52" s="32">
        <v>0</v>
      </c>
      <c r="M52" s="32">
        <v>140</v>
      </c>
    </row>
    <row r="53" spans="1:13" s="13" customFormat="1" ht="72" x14ac:dyDescent="0.35">
      <c r="A53" s="17"/>
      <c r="B53" s="30" t="s">
        <v>385</v>
      </c>
      <c r="C53" s="31" t="s">
        <v>1</v>
      </c>
      <c r="D53" s="16" t="s">
        <v>32</v>
      </c>
      <c r="E53" s="16" t="s">
        <v>60</v>
      </c>
      <c r="F53" s="583" t="s">
        <v>36</v>
      </c>
      <c r="G53" s="584" t="s">
        <v>40</v>
      </c>
      <c r="H53" s="584" t="s">
        <v>34</v>
      </c>
      <c r="I53" s="585" t="s">
        <v>384</v>
      </c>
      <c r="J53" s="16"/>
      <c r="K53" s="32">
        <f>K54</f>
        <v>140</v>
      </c>
      <c r="L53" s="32">
        <v>0</v>
      </c>
      <c r="M53" s="32">
        <v>140</v>
      </c>
    </row>
    <row r="54" spans="1:13" s="13" customFormat="1" ht="56.25" customHeight="1" x14ac:dyDescent="0.35">
      <c r="A54" s="17"/>
      <c r="B54" s="30" t="s">
        <v>50</v>
      </c>
      <c r="C54" s="31" t="s">
        <v>1</v>
      </c>
      <c r="D54" s="16" t="s">
        <v>32</v>
      </c>
      <c r="E54" s="16" t="s">
        <v>60</v>
      </c>
      <c r="F54" s="583" t="s">
        <v>36</v>
      </c>
      <c r="G54" s="584" t="s">
        <v>40</v>
      </c>
      <c r="H54" s="584" t="s">
        <v>34</v>
      </c>
      <c r="I54" s="585" t="s">
        <v>384</v>
      </c>
      <c r="J54" s="16" t="s">
        <v>51</v>
      </c>
      <c r="K54" s="32">
        <f>105+35</f>
        <v>140</v>
      </c>
      <c r="L54" s="32">
        <v>0</v>
      </c>
      <c r="M54" s="32">
        <v>140</v>
      </c>
    </row>
    <row r="55" spans="1:13" s="123" customFormat="1" ht="18.75" customHeight="1" x14ac:dyDescent="0.35">
      <c r="A55" s="17"/>
      <c r="B55" s="30" t="s">
        <v>61</v>
      </c>
      <c r="C55" s="31" t="s">
        <v>1</v>
      </c>
      <c r="D55" s="16" t="s">
        <v>32</v>
      </c>
      <c r="E55" s="16" t="s">
        <v>62</v>
      </c>
      <c r="F55" s="583"/>
      <c r="G55" s="584"/>
      <c r="H55" s="584"/>
      <c r="I55" s="585"/>
      <c r="J55" s="16"/>
      <c r="K55" s="32">
        <f t="shared" ref="K55:M56" si="4">K56</f>
        <v>11000</v>
      </c>
      <c r="L55" s="32">
        <v>10700</v>
      </c>
      <c r="M55" s="32">
        <v>21700</v>
      </c>
    </row>
    <row r="56" spans="1:13" s="123" customFormat="1" ht="37.5" customHeight="1" x14ac:dyDescent="0.35">
      <c r="A56" s="17"/>
      <c r="B56" s="30" t="s">
        <v>423</v>
      </c>
      <c r="C56" s="31" t="s">
        <v>1</v>
      </c>
      <c r="D56" s="16" t="s">
        <v>32</v>
      </c>
      <c r="E56" s="16" t="s">
        <v>62</v>
      </c>
      <c r="F56" s="583" t="s">
        <v>63</v>
      </c>
      <c r="G56" s="584" t="s">
        <v>37</v>
      </c>
      <c r="H56" s="584" t="s">
        <v>38</v>
      </c>
      <c r="I56" s="585" t="s">
        <v>39</v>
      </c>
      <c r="J56" s="16"/>
      <c r="K56" s="32">
        <f t="shared" si="4"/>
        <v>11000</v>
      </c>
      <c r="L56" s="32">
        <v>10700</v>
      </c>
      <c r="M56" s="32">
        <v>21700</v>
      </c>
    </row>
    <row r="57" spans="1:13" s="123" customFormat="1" ht="18.75" customHeight="1" x14ac:dyDescent="0.35">
      <c r="A57" s="17"/>
      <c r="B57" s="33" t="s">
        <v>424</v>
      </c>
      <c r="C57" s="31" t="s">
        <v>1</v>
      </c>
      <c r="D57" s="16" t="s">
        <v>32</v>
      </c>
      <c r="E57" s="16" t="s">
        <v>62</v>
      </c>
      <c r="F57" s="583" t="s">
        <v>63</v>
      </c>
      <c r="G57" s="584" t="s">
        <v>40</v>
      </c>
      <c r="H57" s="584" t="s">
        <v>38</v>
      </c>
      <c r="I57" s="585" t="s">
        <v>39</v>
      </c>
      <c r="J57" s="16"/>
      <c r="K57" s="32">
        <f t="shared" ref="K57:M58" si="5">K58</f>
        <v>11000</v>
      </c>
      <c r="L57" s="32">
        <v>10700</v>
      </c>
      <c r="M57" s="32">
        <v>21700</v>
      </c>
    </row>
    <row r="58" spans="1:13" s="123" customFormat="1" ht="40.200000000000003" customHeight="1" x14ac:dyDescent="0.35">
      <c r="A58" s="17"/>
      <c r="B58" s="30" t="s">
        <v>422</v>
      </c>
      <c r="C58" s="31" t="s">
        <v>1</v>
      </c>
      <c r="D58" s="16" t="s">
        <v>32</v>
      </c>
      <c r="E58" s="16" t="s">
        <v>62</v>
      </c>
      <c r="F58" s="583" t="s">
        <v>63</v>
      </c>
      <c r="G58" s="584" t="s">
        <v>40</v>
      </c>
      <c r="H58" s="584" t="s">
        <v>38</v>
      </c>
      <c r="I58" s="585" t="s">
        <v>64</v>
      </c>
      <c r="J58" s="16"/>
      <c r="K58" s="32">
        <f t="shared" si="5"/>
        <v>11000</v>
      </c>
      <c r="L58" s="32">
        <v>10700</v>
      </c>
      <c r="M58" s="32">
        <v>21700</v>
      </c>
    </row>
    <row r="59" spans="1:13" s="123" customFormat="1" ht="18.75" customHeight="1" x14ac:dyDescent="0.35">
      <c r="A59" s="17"/>
      <c r="B59" s="30" t="s">
        <v>52</v>
      </c>
      <c r="C59" s="31" t="s">
        <v>1</v>
      </c>
      <c r="D59" s="16" t="s">
        <v>32</v>
      </c>
      <c r="E59" s="16" t="s">
        <v>62</v>
      </c>
      <c r="F59" s="583" t="s">
        <v>63</v>
      </c>
      <c r="G59" s="584" t="s">
        <v>40</v>
      </c>
      <c r="H59" s="584" t="s">
        <v>38</v>
      </c>
      <c r="I59" s="585" t="s">
        <v>64</v>
      </c>
      <c r="J59" s="16" t="s">
        <v>53</v>
      </c>
      <c r="K59" s="32">
        <f>5000+6000</f>
        <v>11000</v>
      </c>
      <c r="L59" s="32">
        <v>10700</v>
      </c>
      <c r="M59" s="575">
        <v>21700</v>
      </c>
    </row>
    <row r="60" spans="1:13" s="123" customFormat="1" ht="18.75" customHeight="1" x14ac:dyDescent="0.35">
      <c r="A60" s="17"/>
      <c r="B60" s="30" t="s">
        <v>65</v>
      </c>
      <c r="C60" s="31" t="s">
        <v>1</v>
      </c>
      <c r="D60" s="16" t="s">
        <v>32</v>
      </c>
      <c r="E60" s="16" t="s">
        <v>66</v>
      </c>
      <c r="F60" s="583"/>
      <c r="G60" s="584"/>
      <c r="H60" s="584"/>
      <c r="I60" s="585"/>
      <c r="J60" s="16"/>
      <c r="K60" s="32">
        <f>K61+K71+K66</f>
        <v>5336.3</v>
      </c>
      <c r="L60" s="32">
        <v>73.799999999999912</v>
      </c>
      <c r="M60" s="32">
        <v>5410.1</v>
      </c>
    </row>
    <row r="61" spans="1:13" s="123" customFormat="1" ht="69.599999999999994" customHeight="1" x14ac:dyDescent="0.35">
      <c r="A61" s="589"/>
      <c r="B61" s="590" t="s">
        <v>321</v>
      </c>
      <c r="C61" s="591" t="s">
        <v>1</v>
      </c>
      <c r="D61" s="592" t="s">
        <v>32</v>
      </c>
      <c r="E61" s="592" t="s">
        <v>66</v>
      </c>
      <c r="F61" s="593" t="s">
        <v>99</v>
      </c>
      <c r="G61" s="594" t="s">
        <v>37</v>
      </c>
      <c r="H61" s="594" t="s">
        <v>38</v>
      </c>
      <c r="I61" s="595" t="s">
        <v>39</v>
      </c>
      <c r="J61" s="592"/>
      <c r="K61" s="575">
        <f>K62</f>
        <v>0</v>
      </c>
      <c r="L61" s="575">
        <v>10.199999999999999</v>
      </c>
      <c r="M61" s="575">
        <v>10.199999999999999</v>
      </c>
    </row>
    <row r="62" spans="1:13" s="123" customFormat="1" ht="36.6" customHeight="1" x14ac:dyDescent="0.35">
      <c r="A62" s="589"/>
      <c r="B62" s="590" t="s">
        <v>459</v>
      </c>
      <c r="C62" s="591" t="s">
        <v>1</v>
      </c>
      <c r="D62" s="592" t="s">
        <v>32</v>
      </c>
      <c r="E62" s="592" t="s">
        <v>66</v>
      </c>
      <c r="F62" s="593" t="s">
        <v>99</v>
      </c>
      <c r="G62" s="594" t="s">
        <v>460</v>
      </c>
      <c r="H62" s="594" t="s">
        <v>38</v>
      </c>
      <c r="I62" s="595" t="s">
        <v>39</v>
      </c>
      <c r="J62" s="592"/>
      <c r="K62" s="575">
        <f>K63</f>
        <v>0</v>
      </c>
      <c r="L62" s="575">
        <v>10.199999999999999</v>
      </c>
      <c r="M62" s="575">
        <v>10.199999999999999</v>
      </c>
    </row>
    <row r="63" spans="1:13" s="123" customFormat="1" ht="36" customHeight="1" x14ac:dyDescent="0.35">
      <c r="A63" s="589"/>
      <c r="B63" s="590" t="s">
        <v>559</v>
      </c>
      <c r="C63" s="591" t="s">
        <v>1</v>
      </c>
      <c r="D63" s="592" t="s">
        <v>32</v>
      </c>
      <c r="E63" s="592" t="s">
        <v>66</v>
      </c>
      <c r="F63" s="593" t="s">
        <v>99</v>
      </c>
      <c r="G63" s="594" t="s">
        <v>460</v>
      </c>
      <c r="H63" s="594" t="s">
        <v>32</v>
      </c>
      <c r="I63" s="595" t="s">
        <v>39</v>
      </c>
      <c r="J63" s="592"/>
      <c r="K63" s="575">
        <f>K64</f>
        <v>0</v>
      </c>
      <c r="L63" s="575">
        <v>10.199999999999999</v>
      </c>
      <c r="M63" s="575">
        <v>10.199999999999999</v>
      </c>
    </row>
    <row r="64" spans="1:13" s="123" customFormat="1" ht="72" x14ac:dyDescent="0.35">
      <c r="A64" s="589"/>
      <c r="B64" s="590" t="s">
        <v>560</v>
      </c>
      <c r="C64" s="591" t="s">
        <v>1</v>
      </c>
      <c r="D64" s="592" t="s">
        <v>32</v>
      </c>
      <c r="E64" s="592" t="s">
        <v>66</v>
      </c>
      <c r="F64" s="593" t="s">
        <v>99</v>
      </c>
      <c r="G64" s="594" t="s">
        <v>460</v>
      </c>
      <c r="H64" s="594" t="s">
        <v>32</v>
      </c>
      <c r="I64" s="595" t="s">
        <v>558</v>
      </c>
      <c r="J64" s="592"/>
      <c r="K64" s="575">
        <f>K65</f>
        <v>0</v>
      </c>
      <c r="L64" s="575">
        <v>10.199999999999999</v>
      </c>
      <c r="M64" s="575">
        <v>10.199999999999999</v>
      </c>
    </row>
    <row r="65" spans="1:13" s="123" customFormat="1" ht="58.2" customHeight="1" x14ac:dyDescent="0.35">
      <c r="A65" s="589"/>
      <c r="B65" s="590" t="s">
        <v>50</v>
      </c>
      <c r="C65" s="591" t="s">
        <v>1</v>
      </c>
      <c r="D65" s="592" t="s">
        <v>32</v>
      </c>
      <c r="E65" s="592" t="s">
        <v>66</v>
      </c>
      <c r="F65" s="593" t="s">
        <v>99</v>
      </c>
      <c r="G65" s="594" t="s">
        <v>460</v>
      </c>
      <c r="H65" s="594" t="s">
        <v>32</v>
      </c>
      <c r="I65" s="595" t="s">
        <v>558</v>
      </c>
      <c r="J65" s="592" t="s">
        <v>51</v>
      </c>
      <c r="K65" s="575"/>
      <c r="L65" s="575">
        <v>10.199999999999999</v>
      </c>
      <c r="M65" s="575">
        <v>10.199999999999999</v>
      </c>
    </row>
    <row r="66" spans="1:13" s="123" customFormat="1" ht="72" x14ac:dyDescent="0.35">
      <c r="A66" s="17"/>
      <c r="B66" s="30" t="s">
        <v>67</v>
      </c>
      <c r="C66" s="31" t="s">
        <v>1</v>
      </c>
      <c r="D66" s="16" t="s">
        <v>32</v>
      </c>
      <c r="E66" s="16" t="s">
        <v>66</v>
      </c>
      <c r="F66" s="583" t="s">
        <v>68</v>
      </c>
      <c r="G66" s="584" t="s">
        <v>37</v>
      </c>
      <c r="H66" s="584" t="s">
        <v>38</v>
      </c>
      <c r="I66" s="585" t="s">
        <v>39</v>
      </c>
      <c r="J66" s="16"/>
      <c r="K66" s="32">
        <f t="shared" ref="K66:M68" si="6">K67</f>
        <v>303.60000000000002</v>
      </c>
      <c r="L66" s="32">
        <v>0</v>
      </c>
      <c r="M66" s="32">
        <v>303.60000000000002</v>
      </c>
    </row>
    <row r="67" spans="1:13" s="123" customFormat="1" ht="37.5" customHeight="1" x14ac:dyDescent="0.35">
      <c r="A67" s="17"/>
      <c r="B67" s="30" t="s">
        <v>328</v>
      </c>
      <c r="C67" s="31" t="s">
        <v>1</v>
      </c>
      <c r="D67" s="16" t="s">
        <v>32</v>
      </c>
      <c r="E67" s="16" t="s">
        <v>66</v>
      </c>
      <c r="F67" s="583" t="s">
        <v>68</v>
      </c>
      <c r="G67" s="584" t="s">
        <v>40</v>
      </c>
      <c r="H67" s="584" t="s">
        <v>38</v>
      </c>
      <c r="I67" s="585" t="s">
        <v>39</v>
      </c>
      <c r="J67" s="16"/>
      <c r="K67" s="32">
        <f t="shared" si="6"/>
        <v>303.60000000000002</v>
      </c>
      <c r="L67" s="32">
        <v>0</v>
      </c>
      <c r="M67" s="32">
        <v>303.60000000000002</v>
      </c>
    </row>
    <row r="68" spans="1:13" s="123" customFormat="1" ht="56.25" customHeight="1" x14ac:dyDescent="0.35">
      <c r="A68" s="17"/>
      <c r="B68" s="33" t="s">
        <v>254</v>
      </c>
      <c r="C68" s="31" t="s">
        <v>1</v>
      </c>
      <c r="D68" s="16" t="s">
        <v>32</v>
      </c>
      <c r="E68" s="16" t="s">
        <v>66</v>
      </c>
      <c r="F68" s="583" t="s">
        <v>68</v>
      </c>
      <c r="G68" s="584" t="s">
        <v>40</v>
      </c>
      <c r="H68" s="584" t="s">
        <v>32</v>
      </c>
      <c r="I68" s="585" t="s">
        <v>39</v>
      </c>
      <c r="J68" s="16"/>
      <c r="K68" s="32">
        <f t="shared" si="6"/>
        <v>303.60000000000002</v>
      </c>
      <c r="L68" s="32">
        <v>0</v>
      </c>
      <c r="M68" s="32">
        <v>303.60000000000002</v>
      </c>
    </row>
    <row r="69" spans="1:13" s="123" customFormat="1" ht="54" customHeight="1" x14ac:dyDescent="0.35">
      <c r="A69" s="17"/>
      <c r="B69" s="33" t="s">
        <v>69</v>
      </c>
      <c r="C69" s="31" t="s">
        <v>1</v>
      </c>
      <c r="D69" s="16" t="s">
        <v>32</v>
      </c>
      <c r="E69" s="16" t="s">
        <v>66</v>
      </c>
      <c r="F69" s="583" t="s">
        <v>68</v>
      </c>
      <c r="G69" s="584" t="s">
        <v>40</v>
      </c>
      <c r="H69" s="584" t="s">
        <v>32</v>
      </c>
      <c r="I69" s="585" t="s">
        <v>70</v>
      </c>
      <c r="J69" s="16"/>
      <c r="K69" s="32">
        <f>K70</f>
        <v>303.60000000000002</v>
      </c>
      <c r="L69" s="32">
        <v>0</v>
      </c>
      <c r="M69" s="32">
        <v>303.60000000000002</v>
      </c>
    </row>
    <row r="70" spans="1:13" s="123" customFormat="1" ht="56.25" customHeight="1" x14ac:dyDescent="0.35">
      <c r="A70" s="17"/>
      <c r="B70" s="34" t="s">
        <v>71</v>
      </c>
      <c r="C70" s="31" t="s">
        <v>1</v>
      </c>
      <c r="D70" s="16" t="s">
        <v>32</v>
      </c>
      <c r="E70" s="16" t="s">
        <v>66</v>
      </c>
      <c r="F70" s="583" t="s">
        <v>68</v>
      </c>
      <c r="G70" s="584" t="s">
        <v>40</v>
      </c>
      <c r="H70" s="584" t="s">
        <v>32</v>
      </c>
      <c r="I70" s="585" t="s">
        <v>70</v>
      </c>
      <c r="J70" s="16" t="s">
        <v>72</v>
      </c>
      <c r="K70" s="32">
        <v>303.60000000000002</v>
      </c>
      <c r="L70" s="32">
        <v>0</v>
      </c>
      <c r="M70" s="32">
        <v>303.60000000000002</v>
      </c>
    </row>
    <row r="71" spans="1:13" s="123" customFormat="1" ht="60" customHeight="1" x14ac:dyDescent="0.35">
      <c r="A71" s="17"/>
      <c r="B71" s="30" t="s">
        <v>35</v>
      </c>
      <c r="C71" s="31" t="s">
        <v>1</v>
      </c>
      <c r="D71" s="16" t="s">
        <v>32</v>
      </c>
      <c r="E71" s="16" t="s">
        <v>66</v>
      </c>
      <c r="F71" s="583" t="s">
        <v>36</v>
      </c>
      <c r="G71" s="584" t="s">
        <v>37</v>
      </c>
      <c r="H71" s="584" t="s">
        <v>38</v>
      </c>
      <c r="I71" s="585" t="s">
        <v>39</v>
      </c>
      <c r="J71" s="16"/>
      <c r="K71" s="32">
        <f>K72</f>
        <v>5032.7</v>
      </c>
      <c r="L71" s="32">
        <v>63.599999999999909</v>
      </c>
      <c r="M71" s="32">
        <v>5096.3</v>
      </c>
    </row>
    <row r="72" spans="1:13" s="123" customFormat="1" ht="37.5" customHeight="1" x14ac:dyDescent="0.35">
      <c r="A72" s="17"/>
      <c r="B72" s="30" t="s">
        <v>328</v>
      </c>
      <c r="C72" s="31" t="s">
        <v>1</v>
      </c>
      <c r="D72" s="16" t="s">
        <v>32</v>
      </c>
      <c r="E72" s="16" t="s">
        <v>66</v>
      </c>
      <c r="F72" s="583" t="s">
        <v>36</v>
      </c>
      <c r="G72" s="584" t="s">
        <v>40</v>
      </c>
      <c r="H72" s="584" t="s">
        <v>38</v>
      </c>
      <c r="I72" s="585" t="s">
        <v>39</v>
      </c>
      <c r="J72" s="16"/>
      <c r="K72" s="32">
        <f>K80+K76+K85+K88+K73</f>
        <v>5032.7</v>
      </c>
      <c r="L72" s="32">
        <v>63.599999999999909</v>
      </c>
      <c r="M72" s="32">
        <v>5096.3</v>
      </c>
    </row>
    <row r="73" spans="1:13" s="123" customFormat="1" ht="37.5" customHeight="1" x14ac:dyDescent="0.35">
      <c r="A73" s="17"/>
      <c r="B73" s="30" t="s">
        <v>49</v>
      </c>
      <c r="C73" s="31" t="s">
        <v>1</v>
      </c>
      <c r="D73" s="16" t="s">
        <v>32</v>
      </c>
      <c r="E73" s="16" t="s">
        <v>66</v>
      </c>
      <c r="F73" s="583" t="s">
        <v>36</v>
      </c>
      <c r="G73" s="584" t="s">
        <v>40</v>
      </c>
      <c r="H73" s="584" t="s">
        <v>34</v>
      </c>
      <c r="I73" s="585" t="s">
        <v>39</v>
      </c>
      <c r="J73" s="16"/>
      <c r="K73" s="32">
        <f t="shared" ref="K73:M73" si="7">K74</f>
        <v>451.7</v>
      </c>
      <c r="L73" s="32">
        <v>0</v>
      </c>
      <c r="M73" s="32">
        <v>451.7</v>
      </c>
    </row>
    <row r="74" spans="1:13" s="123" customFormat="1" ht="18" x14ac:dyDescent="0.35">
      <c r="A74" s="17"/>
      <c r="B74" s="30" t="s">
        <v>438</v>
      </c>
      <c r="C74" s="31" t="s">
        <v>1</v>
      </c>
      <c r="D74" s="16" t="s">
        <v>32</v>
      </c>
      <c r="E74" s="16" t="s">
        <v>66</v>
      </c>
      <c r="F74" s="583" t="s">
        <v>36</v>
      </c>
      <c r="G74" s="584" t="s">
        <v>40</v>
      </c>
      <c r="H74" s="584" t="s">
        <v>34</v>
      </c>
      <c r="I74" s="585" t="s">
        <v>376</v>
      </c>
      <c r="J74" s="16"/>
      <c r="K74" s="32">
        <f t="shared" ref="K74:M74" si="8">K75</f>
        <v>451.7</v>
      </c>
      <c r="L74" s="32">
        <v>0</v>
      </c>
      <c r="M74" s="32">
        <v>451.7</v>
      </c>
    </row>
    <row r="75" spans="1:13" s="123" customFormat="1" ht="54" x14ac:dyDescent="0.35">
      <c r="A75" s="17"/>
      <c r="B75" s="30" t="s">
        <v>50</v>
      </c>
      <c r="C75" s="31" t="s">
        <v>1</v>
      </c>
      <c r="D75" s="16" t="s">
        <v>32</v>
      </c>
      <c r="E75" s="16" t="s">
        <v>66</v>
      </c>
      <c r="F75" s="583" t="s">
        <v>36</v>
      </c>
      <c r="G75" s="584" t="s">
        <v>40</v>
      </c>
      <c r="H75" s="584" t="s">
        <v>34</v>
      </c>
      <c r="I75" s="585" t="s">
        <v>376</v>
      </c>
      <c r="J75" s="16" t="s">
        <v>51</v>
      </c>
      <c r="K75" s="32">
        <v>451.7</v>
      </c>
      <c r="L75" s="32">
        <v>0</v>
      </c>
      <c r="M75" s="32">
        <v>451.7</v>
      </c>
    </row>
    <row r="76" spans="1:13" s="123" customFormat="1" ht="18.75" customHeight="1" x14ac:dyDescent="0.35">
      <c r="A76" s="17"/>
      <c r="B76" s="34" t="s">
        <v>57</v>
      </c>
      <c r="C76" s="31" t="s">
        <v>1</v>
      </c>
      <c r="D76" s="16" t="s">
        <v>32</v>
      </c>
      <c r="E76" s="16" t="s">
        <v>66</v>
      </c>
      <c r="F76" s="583" t="s">
        <v>36</v>
      </c>
      <c r="G76" s="584" t="s">
        <v>40</v>
      </c>
      <c r="H76" s="584" t="s">
        <v>58</v>
      </c>
      <c r="I76" s="585" t="s">
        <v>39</v>
      </c>
      <c r="J76" s="16"/>
      <c r="K76" s="32">
        <f t="shared" ref="K76:M76" si="9">K77</f>
        <v>1457.8</v>
      </c>
      <c r="L76" s="32">
        <v>63.599999999999909</v>
      </c>
      <c r="M76" s="32">
        <v>1521.3999999999999</v>
      </c>
    </row>
    <row r="77" spans="1:13" s="123" customFormat="1" ht="60" customHeight="1" x14ac:dyDescent="0.35">
      <c r="A77" s="17"/>
      <c r="B77" s="34" t="s">
        <v>375</v>
      </c>
      <c r="C77" s="31" t="s">
        <v>1</v>
      </c>
      <c r="D77" s="16" t="s">
        <v>32</v>
      </c>
      <c r="E77" s="16" t="s">
        <v>66</v>
      </c>
      <c r="F77" s="583" t="s">
        <v>36</v>
      </c>
      <c r="G77" s="584" t="s">
        <v>40</v>
      </c>
      <c r="H77" s="584" t="s">
        <v>58</v>
      </c>
      <c r="I77" s="585" t="s">
        <v>374</v>
      </c>
      <c r="J77" s="16"/>
      <c r="K77" s="32">
        <f>K78+K79</f>
        <v>1457.8</v>
      </c>
      <c r="L77" s="32">
        <v>63.599999999999909</v>
      </c>
      <c r="M77" s="32">
        <v>1521.3999999999999</v>
      </c>
    </row>
    <row r="78" spans="1:13" s="123" customFormat="1" ht="56.25" customHeight="1" x14ac:dyDescent="0.35">
      <c r="A78" s="17"/>
      <c r="B78" s="30" t="s">
        <v>50</v>
      </c>
      <c r="C78" s="31" t="s">
        <v>1</v>
      </c>
      <c r="D78" s="16" t="s">
        <v>32</v>
      </c>
      <c r="E78" s="16" t="s">
        <v>66</v>
      </c>
      <c r="F78" s="583" t="s">
        <v>36</v>
      </c>
      <c r="G78" s="584" t="s">
        <v>40</v>
      </c>
      <c r="H78" s="584" t="s">
        <v>58</v>
      </c>
      <c r="I78" s="585" t="s">
        <v>374</v>
      </c>
      <c r="J78" s="16" t="s">
        <v>51</v>
      </c>
      <c r="K78" s="32">
        <f>1019.5+210</f>
        <v>1229.5</v>
      </c>
      <c r="L78" s="32">
        <v>63.599999999999909</v>
      </c>
      <c r="M78" s="575">
        <v>1293.0999999999999</v>
      </c>
    </row>
    <row r="79" spans="1:13" s="123" customFormat="1" ht="18" x14ac:dyDescent="0.35">
      <c r="A79" s="17"/>
      <c r="B79" s="30" t="s">
        <v>52</v>
      </c>
      <c r="C79" s="31" t="s">
        <v>1</v>
      </c>
      <c r="D79" s="16" t="s">
        <v>32</v>
      </c>
      <c r="E79" s="16" t="s">
        <v>66</v>
      </c>
      <c r="F79" s="583" t="s">
        <v>36</v>
      </c>
      <c r="G79" s="584" t="s">
        <v>40</v>
      </c>
      <c r="H79" s="584" t="s">
        <v>58</v>
      </c>
      <c r="I79" s="585" t="s">
        <v>374</v>
      </c>
      <c r="J79" s="16" t="s">
        <v>53</v>
      </c>
      <c r="K79" s="32">
        <v>228.3</v>
      </c>
      <c r="L79" s="32">
        <v>0</v>
      </c>
      <c r="M79" s="32">
        <v>228.3</v>
      </c>
    </row>
    <row r="80" spans="1:13" s="123" customFormat="1" ht="18.75" customHeight="1" x14ac:dyDescent="0.35">
      <c r="A80" s="17"/>
      <c r="B80" s="30" t="s">
        <v>59</v>
      </c>
      <c r="C80" s="31" t="s">
        <v>1</v>
      </c>
      <c r="D80" s="16" t="s">
        <v>32</v>
      </c>
      <c r="E80" s="16" t="s">
        <v>66</v>
      </c>
      <c r="F80" s="583" t="s">
        <v>36</v>
      </c>
      <c r="G80" s="584" t="s">
        <v>40</v>
      </c>
      <c r="H80" s="584" t="s">
        <v>47</v>
      </c>
      <c r="I80" s="585" t="s">
        <v>39</v>
      </c>
      <c r="J80" s="16"/>
      <c r="K80" s="32">
        <f>K81+K83</f>
        <v>2943.1</v>
      </c>
      <c r="L80" s="32">
        <v>0</v>
      </c>
      <c r="M80" s="32">
        <v>2943.1</v>
      </c>
    </row>
    <row r="81" spans="1:13" s="123" customFormat="1" ht="58.5" customHeight="1" x14ac:dyDescent="0.35">
      <c r="A81" s="17"/>
      <c r="B81" s="35" t="s">
        <v>341</v>
      </c>
      <c r="C81" s="31" t="s">
        <v>1</v>
      </c>
      <c r="D81" s="16" t="s">
        <v>32</v>
      </c>
      <c r="E81" s="16" t="s">
        <v>66</v>
      </c>
      <c r="F81" s="583" t="s">
        <v>36</v>
      </c>
      <c r="G81" s="584" t="s">
        <v>40</v>
      </c>
      <c r="H81" s="584" t="s">
        <v>47</v>
      </c>
      <c r="I81" s="585" t="s">
        <v>100</v>
      </c>
      <c r="J81" s="16"/>
      <c r="K81" s="32">
        <f>K82</f>
        <v>948.3</v>
      </c>
      <c r="L81" s="32">
        <v>0</v>
      </c>
      <c r="M81" s="32">
        <v>948.3</v>
      </c>
    </row>
    <row r="82" spans="1:13" s="123" customFormat="1" ht="56.25" customHeight="1" x14ac:dyDescent="0.35">
      <c r="A82" s="17"/>
      <c r="B82" s="30" t="s">
        <v>50</v>
      </c>
      <c r="C82" s="31" t="s">
        <v>1</v>
      </c>
      <c r="D82" s="16" t="s">
        <v>32</v>
      </c>
      <c r="E82" s="16" t="s">
        <v>66</v>
      </c>
      <c r="F82" s="583" t="s">
        <v>36</v>
      </c>
      <c r="G82" s="584" t="s">
        <v>40</v>
      </c>
      <c r="H82" s="584" t="s">
        <v>47</v>
      </c>
      <c r="I82" s="585" t="s">
        <v>100</v>
      </c>
      <c r="J82" s="16" t="s">
        <v>51</v>
      </c>
      <c r="K82" s="32">
        <v>948.3</v>
      </c>
      <c r="L82" s="32">
        <v>0</v>
      </c>
      <c r="M82" s="32">
        <v>948.3</v>
      </c>
    </row>
    <row r="83" spans="1:13" s="123" customFormat="1" ht="56.25" customHeight="1" x14ac:dyDescent="0.35">
      <c r="A83" s="17"/>
      <c r="B83" s="30" t="s">
        <v>343</v>
      </c>
      <c r="C83" s="31" t="s">
        <v>1</v>
      </c>
      <c r="D83" s="16" t="s">
        <v>32</v>
      </c>
      <c r="E83" s="16" t="s">
        <v>66</v>
      </c>
      <c r="F83" s="583" t="s">
        <v>36</v>
      </c>
      <c r="G83" s="584" t="s">
        <v>40</v>
      </c>
      <c r="H83" s="584" t="s">
        <v>47</v>
      </c>
      <c r="I83" s="585" t="s">
        <v>342</v>
      </c>
      <c r="J83" s="16"/>
      <c r="K83" s="32">
        <f>K84</f>
        <v>1994.8</v>
      </c>
      <c r="L83" s="32">
        <v>0</v>
      </c>
      <c r="M83" s="32">
        <v>1994.8</v>
      </c>
    </row>
    <row r="84" spans="1:13" s="123" customFormat="1" ht="56.25" customHeight="1" x14ac:dyDescent="0.35">
      <c r="A84" s="17"/>
      <c r="B84" s="30" t="s">
        <v>50</v>
      </c>
      <c r="C84" s="31" t="s">
        <v>1</v>
      </c>
      <c r="D84" s="16" t="s">
        <v>32</v>
      </c>
      <c r="E84" s="16" t="s">
        <v>66</v>
      </c>
      <c r="F84" s="583" t="s">
        <v>36</v>
      </c>
      <c r="G84" s="584" t="s">
        <v>40</v>
      </c>
      <c r="H84" s="584" t="s">
        <v>47</v>
      </c>
      <c r="I84" s="585" t="s">
        <v>342</v>
      </c>
      <c r="J84" s="16" t="s">
        <v>51</v>
      </c>
      <c r="K84" s="32">
        <v>1994.8</v>
      </c>
      <c r="L84" s="32">
        <v>0</v>
      </c>
      <c r="M84" s="32">
        <v>1994.8</v>
      </c>
    </row>
    <row r="85" spans="1:13" s="123" customFormat="1" ht="35.25" customHeight="1" x14ac:dyDescent="0.35">
      <c r="A85" s="17"/>
      <c r="B85" s="30" t="s">
        <v>445</v>
      </c>
      <c r="C85" s="31" t="s">
        <v>1</v>
      </c>
      <c r="D85" s="16" t="s">
        <v>32</v>
      </c>
      <c r="E85" s="16" t="s">
        <v>66</v>
      </c>
      <c r="F85" s="583" t="s">
        <v>36</v>
      </c>
      <c r="G85" s="584" t="s">
        <v>40</v>
      </c>
      <c r="H85" s="584" t="s">
        <v>400</v>
      </c>
      <c r="I85" s="585" t="s">
        <v>39</v>
      </c>
      <c r="J85" s="16"/>
      <c r="K85" s="32">
        <f t="shared" ref="K85:M86" si="10">K86</f>
        <v>120.1</v>
      </c>
      <c r="L85" s="32">
        <v>0</v>
      </c>
      <c r="M85" s="32">
        <v>120.1</v>
      </c>
    </row>
    <row r="86" spans="1:13" s="123" customFormat="1" ht="39" customHeight="1" x14ac:dyDescent="0.35">
      <c r="A86" s="17"/>
      <c r="B86" s="35" t="s">
        <v>122</v>
      </c>
      <c r="C86" s="31" t="s">
        <v>1</v>
      </c>
      <c r="D86" s="16" t="s">
        <v>32</v>
      </c>
      <c r="E86" s="16" t="s">
        <v>66</v>
      </c>
      <c r="F86" s="583" t="s">
        <v>36</v>
      </c>
      <c r="G86" s="584" t="s">
        <v>40</v>
      </c>
      <c r="H86" s="584" t="s">
        <v>400</v>
      </c>
      <c r="I86" s="585" t="s">
        <v>85</v>
      </c>
      <c r="J86" s="16"/>
      <c r="K86" s="32">
        <f t="shared" si="10"/>
        <v>120.1</v>
      </c>
      <c r="L86" s="32">
        <v>0</v>
      </c>
      <c r="M86" s="32">
        <v>120.1</v>
      </c>
    </row>
    <row r="87" spans="1:13" s="123" customFormat="1" ht="56.25" customHeight="1" x14ac:dyDescent="0.35">
      <c r="A87" s="17"/>
      <c r="B87" s="30" t="s">
        <v>50</v>
      </c>
      <c r="C87" s="31" t="s">
        <v>1</v>
      </c>
      <c r="D87" s="16" t="s">
        <v>32</v>
      </c>
      <c r="E87" s="16" t="s">
        <v>66</v>
      </c>
      <c r="F87" s="583" t="s">
        <v>36</v>
      </c>
      <c r="G87" s="584" t="s">
        <v>40</v>
      </c>
      <c r="H87" s="584" t="s">
        <v>400</v>
      </c>
      <c r="I87" s="585" t="s">
        <v>85</v>
      </c>
      <c r="J87" s="16" t="s">
        <v>51</v>
      </c>
      <c r="K87" s="32">
        <v>120.1</v>
      </c>
      <c r="L87" s="32">
        <v>0</v>
      </c>
      <c r="M87" s="32">
        <v>120.1</v>
      </c>
    </row>
    <row r="88" spans="1:13" s="123" customFormat="1" ht="35.25" customHeight="1" x14ac:dyDescent="0.35">
      <c r="A88" s="17"/>
      <c r="B88" s="30" t="s">
        <v>441</v>
      </c>
      <c r="C88" s="31" t="s">
        <v>1</v>
      </c>
      <c r="D88" s="16" t="s">
        <v>32</v>
      </c>
      <c r="E88" s="16" t="s">
        <v>66</v>
      </c>
      <c r="F88" s="583" t="s">
        <v>36</v>
      </c>
      <c r="G88" s="584" t="s">
        <v>40</v>
      </c>
      <c r="H88" s="584" t="s">
        <v>36</v>
      </c>
      <c r="I88" s="585" t="s">
        <v>39</v>
      </c>
      <c r="J88" s="16"/>
      <c r="K88" s="32">
        <f t="shared" ref="K88:M89" si="11">K89</f>
        <v>60</v>
      </c>
      <c r="L88" s="32">
        <v>0</v>
      </c>
      <c r="M88" s="32">
        <v>60</v>
      </c>
    </row>
    <row r="89" spans="1:13" s="123" customFormat="1" ht="25.5" customHeight="1" x14ac:dyDescent="0.35">
      <c r="A89" s="17"/>
      <c r="B89" s="35" t="s">
        <v>439</v>
      </c>
      <c r="C89" s="31" t="s">
        <v>1</v>
      </c>
      <c r="D89" s="16" t="s">
        <v>32</v>
      </c>
      <c r="E89" s="16" t="s">
        <v>66</v>
      </c>
      <c r="F89" s="583" t="s">
        <v>36</v>
      </c>
      <c r="G89" s="584" t="s">
        <v>40</v>
      </c>
      <c r="H89" s="584" t="s">
        <v>36</v>
      </c>
      <c r="I89" s="585" t="s">
        <v>440</v>
      </c>
      <c r="J89" s="16"/>
      <c r="K89" s="32">
        <f t="shared" si="11"/>
        <v>60</v>
      </c>
      <c r="L89" s="32">
        <v>0</v>
      </c>
      <c r="M89" s="32">
        <v>60</v>
      </c>
    </row>
    <row r="90" spans="1:13" s="123" customFormat="1" ht="56.25" customHeight="1" x14ac:dyDescent="0.35">
      <c r="A90" s="17"/>
      <c r="B90" s="30" t="s">
        <v>50</v>
      </c>
      <c r="C90" s="31" t="s">
        <v>1</v>
      </c>
      <c r="D90" s="16" t="s">
        <v>32</v>
      </c>
      <c r="E90" s="16" t="s">
        <v>66</v>
      </c>
      <c r="F90" s="583" t="s">
        <v>36</v>
      </c>
      <c r="G90" s="584" t="s">
        <v>40</v>
      </c>
      <c r="H90" s="584" t="s">
        <v>36</v>
      </c>
      <c r="I90" s="585" t="s">
        <v>440</v>
      </c>
      <c r="J90" s="16" t="s">
        <v>51</v>
      </c>
      <c r="K90" s="32">
        <v>60</v>
      </c>
      <c r="L90" s="32">
        <v>0</v>
      </c>
      <c r="M90" s="32">
        <v>60</v>
      </c>
    </row>
    <row r="91" spans="1:13" s="123" customFormat="1" ht="37.5" customHeight="1" x14ac:dyDescent="0.35">
      <c r="A91" s="17"/>
      <c r="B91" s="30" t="s">
        <v>73</v>
      </c>
      <c r="C91" s="31" t="s">
        <v>1</v>
      </c>
      <c r="D91" s="16" t="s">
        <v>58</v>
      </c>
      <c r="E91" s="16"/>
      <c r="F91" s="583"/>
      <c r="G91" s="584"/>
      <c r="H91" s="584"/>
      <c r="I91" s="585"/>
      <c r="J91" s="16"/>
      <c r="K91" s="32">
        <f>K92+K104</f>
        <v>19116.8</v>
      </c>
      <c r="L91" s="32">
        <v>0</v>
      </c>
      <c r="M91" s="32">
        <v>19116.8</v>
      </c>
    </row>
    <row r="92" spans="1:13" s="123" customFormat="1" ht="72.75" customHeight="1" x14ac:dyDescent="0.35">
      <c r="A92" s="17"/>
      <c r="B92" s="30" t="s">
        <v>436</v>
      </c>
      <c r="C92" s="31" t="s">
        <v>1</v>
      </c>
      <c r="D92" s="16" t="s">
        <v>58</v>
      </c>
      <c r="E92" s="16" t="s">
        <v>99</v>
      </c>
      <c r="F92" s="583"/>
      <c r="G92" s="584"/>
      <c r="H92" s="584"/>
      <c r="I92" s="585"/>
      <c r="J92" s="16"/>
      <c r="K92" s="32">
        <f>K93</f>
        <v>3610.0000000000005</v>
      </c>
      <c r="L92" s="32">
        <v>0</v>
      </c>
      <c r="M92" s="32">
        <v>3610.0000000000005</v>
      </c>
    </row>
    <row r="93" spans="1:13" s="123" customFormat="1" ht="57" customHeight="1" x14ac:dyDescent="0.35">
      <c r="A93" s="17"/>
      <c r="B93" s="30" t="s">
        <v>75</v>
      </c>
      <c r="C93" s="31" t="s">
        <v>1</v>
      </c>
      <c r="D93" s="16" t="s">
        <v>58</v>
      </c>
      <c r="E93" s="16" t="s">
        <v>99</v>
      </c>
      <c r="F93" s="583" t="s">
        <v>76</v>
      </c>
      <c r="G93" s="584" t="s">
        <v>37</v>
      </c>
      <c r="H93" s="584" t="s">
        <v>38</v>
      </c>
      <c r="I93" s="585" t="s">
        <v>39</v>
      </c>
      <c r="J93" s="16"/>
      <c r="K93" s="32">
        <f t="shared" ref="K93:M93" si="12">K94</f>
        <v>3610.0000000000005</v>
      </c>
      <c r="L93" s="32">
        <v>0</v>
      </c>
      <c r="M93" s="32">
        <v>3610.0000000000005</v>
      </c>
    </row>
    <row r="94" spans="1:13" s="123" customFormat="1" ht="58.5" customHeight="1" x14ac:dyDescent="0.35">
      <c r="A94" s="17"/>
      <c r="B94" s="36" t="s">
        <v>77</v>
      </c>
      <c r="C94" s="31" t="s">
        <v>1</v>
      </c>
      <c r="D94" s="16" t="s">
        <v>58</v>
      </c>
      <c r="E94" s="16" t="s">
        <v>99</v>
      </c>
      <c r="F94" s="583" t="s">
        <v>76</v>
      </c>
      <c r="G94" s="584" t="s">
        <v>40</v>
      </c>
      <c r="H94" s="584" t="s">
        <v>38</v>
      </c>
      <c r="I94" s="585" t="s">
        <v>39</v>
      </c>
      <c r="J94" s="16"/>
      <c r="K94" s="32">
        <f>K95</f>
        <v>3610.0000000000005</v>
      </c>
      <c r="L94" s="32">
        <v>0</v>
      </c>
      <c r="M94" s="32">
        <v>3610.0000000000005</v>
      </c>
    </row>
    <row r="95" spans="1:13" s="123" customFormat="1" ht="78.75" customHeight="1" x14ac:dyDescent="0.35">
      <c r="A95" s="17"/>
      <c r="B95" s="30" t="s">
        <v>78</v>
      </c>
      <c r="C95" s="31" t="s">
        <v>1</v>
      </c>
      <c r="D95" s="16" t="s">
        <v>58</v>
      </c>
      <c r="E95" s="16" t="s">
        <v>99</v>
      </c>
      <c r="F95" s="583" t="s">
        <v>76</v>
      </c>
      <c r="G95" s="584" t="s">
        <v>40</v>
      </c>
      <c r="H95" s="584" t="s">
        <v>32</v>
      </c>
      <c r="I95" s="585" t="s">
        <v>39</v>
      </c>
      <c r="J95" s="16"/>
      <c r="K95" s="32">
        <f t="shared" ref="K95:M95" si="13">K96+K98+K100+K103</f>
        <v>3610.0000000000005</v>
      </c>
      <c r="L95" s="32">
        <v>0</v>
      </c>
      <c r="M95" s="32">
        <v>3610.0000000000005</v>
      </c>
    </row>
    <row r="96" spans="1:13" s="123" customFormat="1" ht="37.5" customHeight="1" x14ac:dyDescent="0.35">
      <c r="A96" s="17"/>
      <c r="B96" s="36" t="s">
        <v>428</v>
      </c>
      <c r="C96" s="31" t="s">
        <v>1</v>
      </c>
      <c r="D96" s="16" t="s">
        <v>58</v>
      </c>
      <c r="E96" s="16" t="s">
        <v>99</v>
      </c>
      <c r="F96" s="583" t="s">
        <v>76</v>
      </c>
      <c r="G96" s="584" t="s">
        <v>40</v>
      </c>
      <c r="H96" s="584" t="s">
        <v>32</v>
      </c>
      <c r="I96" s="585" t="s">
        <v>79</v>
      </c>
      <c r="J96" s="16"/>
      <c r="K96" s="32">
        <f>K97</f>
        <v>298.39999999999998</v>
      </c>
      <c r="L96" s="32">
        <v>0</v>
      </c>
      <c r="M96" s="32">
        <v>298.39999999999998</v>
      </c>
    </row>
    <row r="97" spans="1:13" s="123" customFormat="1" ht="56.25" customHeight="1" x14ac:dyDescent="0.35">
      <c r="A97" s="17"/>
      <c r="B97" s="30" t="s">
        <v>50</v>
      </c>
      <c r="C97" s="31" t="s">
        <v>1</v>
      </c>
      <c r="D97" s="16" t="s">
        <v>58</v>
      </c>
      <c r="E97" s="16" t="s">
        <v>99</v>
      </c>
      <c r="F97" s="583" t="s">
        <v>76</v>
      </c>
      <c r="G97" s="584" t="s">
        <v>40</v>
      </c>
      <c r="H97" s="584" t="s">
        <v>32</v>
      </c>
      <c r="I97" s="585" t="s">
        <v>79</v>
      </c>
      <c r="J97" s="16" t="s">
        <v>51</v>
      </c>
      <c r="K97" s="32">
        <v>298.39999999999998</v>
      </c>
      <c r="L97" s="32">
        <v>0</v>
      </c>
      <c r="M97" s="32">
        <v>298.39999999999998</v>
      </c>
    </row>
    <row r="98" spans="1:13" s="123" customFormat="1" ht="56.25" customHeight="1" x14ac:dyDescent="0.35">
      <c r="A98" s="17"/>
      <c r="B98" s="30" t="s">
        <v>80</v>
      </c>
      <c r="C98" s="31" t="s">
        <v>1</v>
      </c>
      <c r="D98" s="16" t="s">
        <v>58</v>
      </c>
      <c r="E98" s="16" t="s">
        <v>99</v>
      </c>
      <c r="F98" s="583" t="s">
        <v>76</v>
      </c>
      <c r="G98" s="584" t="s">
        <v>40</v>
      </c>
      <c r="H98" s="584" t="s">
        <v>32</v>
      </c>
      <c r="I98" s="585" t="s">
        <v>81</v>
      </c>
      <c r="J98" s="16"/>
      <c r="K98" s="32">
        <f>K99</f>
        <v>223.9</v>
      </c>
      <c r="L98" s="32">
        <v>0</v>
      </c>
      <c r="M98" s="32">
        <v>223.9</v>
      </c>
    </row>
    <row r="99" spans="1:13" s="123" customFormat="1" ht="56.25" customHeight="1" x14ac:dyDescent="0.35">
      <c r="A99" s="17"/>
      <c r="B99" s="30" t="s">
        <v>50</v>
      </c>
      <c r="C99" s="31" t="s">
        <v>1</v>
      </c>
      <c r="D99" s="16" t="s">
        <v>58</v>
      </c>
      <c r="E99" s="16" t="s">
        <v>99</v>
      </c>
      <c r="F99" s="583" t="s">
        <v>76</v>
      </c>
      <c r="G99" s="584" t="s">
        <v>40</v>
      </c>
      <c r="H99" s="584" t="s">
        <v>32</v>
      </c>
      <c r="I99" s="585" t="s">
        <v>81</v>
      </c>
      <c r="J99" s="16" t="s">
        <v>51</v>
      </c>
      <c r="K99" s="32">
        <v>223.9</v>
      </c>
      <c r="L99" s="32">
        <v>0</v>
      </c>
      <c r="M99" s="32">
        <v>223.9</v>
      </c>
    </row>
    <row r="100" spans="1:13" s="123" customFormat="1" ht="94.5" customHeight="1" x14ac:dyDescent="0.35">
      <c r="A100" s="17"/>
      <c r="B100" s="30" t="s">
        <v>329</v>
      </c>
      <c r="C100" s="31" t="s">
        <v>1</v>
      </c>
      <c r="D100" s="16" t="s">
        <v>58</v>
      </c>
      <c r="E100" s="16" t="s">
        <v>99</v>
      </c>
      <c r="F100" s="583" t="s">
        <v>76</v>
      </c>
      <c r="G100" s="584" t="s">
        <v>40</v>
      </c>
      <c r="H100" s="584" t="s">
        <v>32</v>
      </c>
      <c r="I100" s="585" t="s">
        <v>317</v>
      </c>
      <c r="J100" s="16"/>
      <c r="K100" s="32">
        <f>K101</f>
        <v>3075.3</v>
      </c>
      <c r="L100" s="32">
        <v>0</v>
      </c>
      <c r="M100" s="32">
        <v>3075.3</v>
      </c>
    </row>
    <row r="101" spans="1:13" s="123" customFormat="1" ht="18.75" customHeight="1" x14ac:dyDescent="0.35">
      <c r="A101" s="17"/>
      <c r="B101" s="30" t="s">
        <v>118</v>
      </c>
      <c r="C101" s="31" t="s">
        <v>1</v>
      </c>
      <c r="D101" s="16" t="s">
        <v>58</v>
      </c>
      <c r="E101" s="16" t="s">
        <v>99</v>
      </c>
      <c r="F101" s="583" t="s">
        <v>76</v>
      </c>
      <c r="G101" s="584" t="s">
        <v>40</v>
      </c>
      <c r="H101" s="584" t="s">
        <v>32</v>
      </c>
      <c r="I101" s="585" t="s">
        <v>317</v>
      </c>
      <c r="J101" s="16" t="s">
        <v>119</v>
      </c>
      <c r="K101" s="32">
        <v>3075.3</v>
      </c>
      <c r="L101" s="32">
        <v>0</v>
      </c>
      <c r="M101" s="32">
        <v>3075.3</v>
      </c>
    </row>
    <row r="102" spans="1:13" s="123" customFormat="1" ht="131.25" customHeight="1" x14ac:dyDescent="0.35">
      <c r="A102" s="17"/>
      <c r="B102" s="30" t="s">
        <v>331</v>
      </c>
      <c r="C102" s="31" t="s">
        <v>1</v>
      </c>
      <c r="D102" s="16" t="s">
        <v>58</v>
      </c>
      <c r="E102" s="16" t="s">
        <v>99</v>
      </c>
      <c r="F102" s="583" t="s">
        <v>76</v>
      </c>
      <c r="G102" s="584" t="s">
        <v>40</v>
      </c>
      <c r="H102" s="584" t="s">
        <v>32</v>
      </c>
      <c r="I102" s="585" t="s">
        <v>318</v>
      </c>
      <c r="J102" s="16"/>
      <c r="K102" s="32">
        <f>K103</f>
        <v>12.4</v>
      </c>
      <c r="L102" s="32">
        <v>0</v>
      </c>
      <c r="M102" s="32">
        <v>12.4</v>
      </c>
    </row>
    <row r="103" spans="1:13" s="123" customFormat="1" ht="18.75" customHeight="1" x14ac:dyDescent="0.35">
      <c r="A103" s="17"/>
      <c r="B103" s="30" t="s">
        <v>118</v>
      </c>
      <c r="C103" s="31" t="s">
        <v>1</v>
      </c>
      <c r="D103" s="16" t="s">
        <v>58</v>
      </c>
      <c r="E103" s="16" t="s">
        <v>99</v>
      </c>
      <c r="F103" s="583" t="s">
        <v>76</v>
      </c>
      <c r="G103" s="584" t="s">
        <v>40</v>
      </c>
      <c r="H103" s="584" t="s">
        <v>32</v>
      </c>
      <c r="I103" s="585" t="s">
        <v>318</v>
      </c>
      <c r="J103" s="16" t="s">
        <v>119</v>
      </c>
      <c r="K103" s="32">
        <v>12.4</v>
      </c>
      <c r="L103" s="32">
        <v>0</v>
      </c>
      <c r="M103" s="32">
        <v>12.4</v>
      </c>
    </row>
    <row r="104" spans="1:13" s="123" customFormat="1" ht="56.25" customHeight="1" x14ac:dyDescent="0.35">
      <c r="A104" s="17"/>
      <c r="B104" s="35" t="s">
        <v>82</v>
      </c>
      <c r="C104" s="31" t="s">
        <v>1</v>
      </c>
      <c r="D104" s="16" t="s">
        <v>58</v>
      </c>
      <c r="E104" s="16" t="s">
        <v>83</v>
      </c>
      <c r="F104" s="583"/>
      <c r="G104" s="584"/>
      <c r="H104" s="584"/>
      <c r="I104" s="585"/>
      <c r="J104" s="16"/>
      <c r="K104" s="32">
        <f>K105</f>
        <v>15506.8</v>
      </c>
      <c r="L104" s="32">
        <v>0</v>
      </c>
      <c r="M104" s="32">
        <v>15506.8</v>
      </c>
    </row>
    <row r="105" spans="1:13" s="123" customFormat="1" ht="60.75" customHeight="1" x14ac:dyDescent="0.35">
      <c r="A105" s="17"/>
      <c r="B105" s="30" t="s">
        <v>75</v>
      </c>
      <c r="C105" s="31" t="s">
        <v>1</v>
      </c>
      <c r="D105" s="16" t="s">
        <v>58</v>
      </c>
      <c r="E105" s="16" t="s">
        <v>83</v>
      </c>
      <c r="F105" s="583" t="s">
        <v>76</v>
      </c>
      <c r="G105" s="584" t="s">
        <v>37</v>
      </c>
      <c r="H105" s="584" t="s">
        <v>38</v>
      </c>
      <c r="I105" s="585" t="s">
        <v>39</v>
      </c>
      <c r="J105" s="16"/>
      <c r="K105" s="32">
        <f>K106+K115+K121</f>
        <v>15506.8</v>
      </c>
      <c r="L105" s="32">
        <v>0</v>
      </c>
      <c r="M105" s="32">
        <v>15506.8</v>
      </c>
    </row>
    <row r="106" spans="1:13" s="123" customFormat="1" ht="37.5" customHeight="1" x14ac:dyDescent="0.35">
      <c r="A106" s="17"/>
      <c r="B106" s="35" t="s">
        <v>120</v>
      </c>
      <c r="C106" s="31" t="s">
        <v>1</v>
      </c>
      <c r="D106" s="16" t="s">
        <v>58</v>
      </c>
      <c r="E106" s="16" t="s">
        <v>83</v>
      </c>
      <c r="F106" s="583" t="s">
        <v>76</v>
      </c>
      <c r="G106" s="584" t="s">
        <v>84</v>
      </c>
      <c r="H106" s="584" t="s">
        <v>38</v>
      </c>
      <c r="I106" s="585" t="s">
        <v>39</v>
      </c>
      <c r="J106" s="16"/>
      <c r="K106" s="32">
        <f>K112+K107</f>
        <v>2151.5</v>
      </c>
      <c r="L106" s="32">
        <v>0</v>
      </c>
      <c r="M106" s="32">
        <v>2151.5</v>
      </c>
    </row>
    <row r="107" spans="1:13" s="123" customFormat="1" ht="44.25" customHeight="1" x14ac:dyDescent="0.35">
      <c r="A107" s="17"/>
      <c r="B107" s="35" t="s">
        <v>259</v>
      </c>
      <c r="C107" s="31" t="s">
        <v>1</v>
      </c>
      <c r="D107" s="16" t="s">
        <v>58</v>
      </c>
      <c r="E107" s="16" t="s">
        <v>83</v>
      </c>
      <c r="F107" s="583" t="s">
        <v>76</v>
      </c>
      <c r="G107" s="584" t="s">
        <v>84</v>
      </c>
      <c r="H107" s="584" t="s">
        <v>32</v>
      </c>
      <c r="I107" s="585" t="s">
        <v>39</v>
      </c>
      <c r="J107" s="16"/>
      <c r="K107" s="32">
        <f>K110+K108</f>
        <v>1707.8999999999999</v>
      </c>
      <c r="L107" s="32">
        <v>0</v>
      </c>
      <c r="M107" s="32">
        <v>1707.8999999999999</v>
      </c>
    </row>
    <row r="108" spans="1:13" s="123" customFormat="1" ht="37.5" customHeight="1" x14ac:dyDescent="0.35">
      <c r="A108" s="17"/>
      <c r="B108" s="33" t="s">
        <v>122</v>
      </c>
      <c r="C108" s="31" t="s">
        <v>1</v>
      </c>
      <c r="D108" s="16" t="s">
        <v>58</v>
      </c>
      <c r="E108" s="16" t="s">
        <v>83</v>
      </c>
      <c r="F108" s="583" t="s">
        <v>76</v>
      </c>
      <c r="G108" s="584" t="s">
        <v>84</v>
      </c>
      <c r="H108" s="584" t="s">
        <v>32</v>
      </c>
      <c r="I108" s="585" t="s">
        <v>85</v>
      </c>
      <c r="J108" s="16"/>
      <c r="K108" s="32">
        <f>K109</f>
        <v>1585.8</v>
      </c>
      <c r="L108" s="32">
        <v>0</v>
      </c>
      <c r="M108" s="32">
        <v>1585.8</v>
      </c>
    </row>
    <row r="109" spans="1:13" s="123" customFormat="1" ht="56.25" customHeight="1" x14ac:dyDescent="0.35">
      <c r="A109" s="17"/>
      <c r="B109" s="30" t="s">
        <v>50</v>
      </c>
      <c r="C109" s="31" t="s">
        <v>1</v>
      </c>
      <c r="D109" s="16" t="s">
        <v>58</v>
      </c>
      <c r="E109" s="16" t="s">
        <v>83</v>
      </c>
      <c r="F109" s="583" t="s">
        <v>76</v>
      </c>
      <c r="G109" s="584" t="s">
        <v>84</v>
      </c>
      <c r="H109" s="584" t="s">
        <v>32</v>
      </c>
      <c r="I109" s="585" t="s">
        <v>85</v>
      </c>
      <c r="J109" s="16" t="s">
        <v>51</v>
      </c>
      <c r="K109" s="32">
        <f>1370.8+215</f>
        <v>1585.8</v>
      </c>
      <c r="L109" s="32">
        <v>0</v>
      </c>
      <c r="M109" s="32">
        <v>1585.8</v>
      </c>
    </row>
    <row r="110" spans="1:13" s="123" customFormat="1" ht="107.4" customHeight="1" x14ac:dyDescent="0.35">
      <c r="A110" s="17"/>
      <c r="B110" s="35" t="s">
        <v>330</v>
      </c>
      <c r="C110" s="31" t="s">
        <v>1</v>
      </c>
      <c r="D110" s="16" t="s">
        <v>58</v>
      </c>
      <c r="E110" s="16" t="s">
        <v>83</v>
      </c>
      <c r="F110" s="583" t="s">
        <v>76</v>
      </c>
      <c r="G110" s="584" t="s">
        <v>84</v>
      </c>
      <c r="H110" s="584" t="s">
        <v>32</v>
      </c>
      <c r="I110" s="585" t="s">
        <v>319</v>
      </c>
      <c r="J110" s="16"/>
      <c r="K110" s="32">
        <f>K111</f>
        <v>122.1</v>
      </c>
      <c r="L110" s="32">
        <v>0</v>
      </c>
      <c r="M110" s="32">
        <v>122.1</v>
      </c>
    </row>
    <row r="111" spans="1:13" s="123" customFormat="1" ht="18.75" customHeight="1" x14ac:dyDescent="0.35">
      <c r="A111" s="17"/>
      <c r="B111" s="35" t="s">
        <v>118</v>
      </c>
      <c r="C111" s="31" t="s">
        <v>1</v>
      </c>
      <c r="D111" s="16" t="s">
        <v>58</v>
      </c>
      <c r="E111" s="16" t="s">
        <v>83</v>
      </c>
      <c r="F111" s="583" t="s">
        <v>76</v>
      </c>
      <c r="G111" s="584" t="s">
        <v>84</v>
      </c>
      <c r="H111" s="584" t="s">
        <v>32</v>
      </c>
      <c r="I111" s="585" t="s">
        <v>319</v>
      </c>
      <c r="J111" s="16" t="s">
        <v>119</v>
      </c>
      <c r="K111" s="32">
        <v>122.1</v>
      </c>
      <c r="L111" s="32">
        <v>0</v>
      </c>
      <c r="M111" s="32">
        <v>122.1</v>
      </c>
    </row>
    <row r="112" spans="1:13" s="123" customFormat="1" ht="56.25" customHeight="1" x14ac:dyDescent="0.35">
      <c r="A112" s="17"/>
      <c r="B112" s="33" t="s">
        <v>121</v>
      </c>
      <c r="C112" s="31" t="s">
        <v>1</v>
      </c>
      <c r="D112" s="16" t="s">
        <v>58</v>
      </c>
      <c r="E112" s="16" t="s">
        <v>83</v>
      </c>
      <c r="F112" s="583" t="s">
        <v>76</v>
      </c>
      <c r="G112" s="584" t="s">
        <v>84</v>
      </c>
      <c r="H112" s="584" t="s">
        <v>34</v>
      </c>
      <c r="I112" s="585" t="s">
        <v>39</v>
      </c>
      <c r="J112" s="16"/>
      <c r="K112" s="32">
        <f t="shared" ref="K112:M113" si="14">K113</f>
        <v>443.6</v>
      </c>
      <c r="L112" s="32">
        <v>0</v>
      </c>
      <c r="M112" s="32">
        <v>443.6</v>
      </c>
    </row>
    <row r="113" spans="1:13" s="123" customFormat="1" ht="37.5" customHeight="1" x14ac:dyDescent="0.35">
      <c r="A113" s="17"/>
      <c r="B113" s="33" t="s">
        <v>122</v>
      </c>
      <c r="C113" s="31" t="s">
        <v>1</v>
      </c>
      <c r="D113" s="16" t="s">
        <v>58</v>
      </c>
      <c r="E113" s="16" t="s">
        <v>83</v>
      </c>
      <c r="F113" s="583" t="s">
        <v>76</v>
      </c>
      <c r="G113" s="584" t="s">
        <v>84</v>
      </c>
      <c r="H113" s="584" t="s">
        <v>34</v>
      </c>
      <c r="I113" s="585" t="s">
        <v>85</v>
      </c>
      <c r="J113" s="16"/>
      <c r="K113" s="32">
        <f t="shared" si="14"/>
        <v>443.6</v>
      </c>
      <c r="L113" s="32">
        <v>0</v>
      </c>
      <c r="M113" s="32">
        <v>443.6</v>
      </c>
    </row>
    <row r="114" spans="1:13" s="123" customFormat="1" ht="56.25" customHeight="1" x14ac:dyDescent="0.35">
      <c r="A114" s="17"/>
      <c r="B114" s="30" t="s">
        <v>50</v>
      </c>
      <c r="C114" s="31" t="s">
        <v>1</v>
      </c>
      <c r="D114" s="16" t="s">
        <v>58</v>
      </c>
      <c r="E114" s="16" t="s">
        <v>83</v>
      </c>
      <c r="F114" s="583" t="s">
        <v>76</v>
      </c>
      <c r="G114" s="584" t="s">
        <v>84</v>
      </c>
      <c r="H114" s="584" t="s">
        <v>34</v>
      </c>
      <c r="I114" s="585" t="s">
        <v>85</v>
      </c>
      <c r="J114" s="16" t="s">
        <v>51</v>
      </c>
      <c r="K114" s="32">
        <v>443.6</v>
      </c>
      <c r="L114" s="32">
        <v>0</v>
      </c>
      <c r="M114" s="32">
        <v>443.6</v>
      </c>
    </row>
    <row r="115" spans="1:13" s="123" customFormat="1" ht="75" customHeight="1" x14ac:dyDescent="0.35">
      <c r="A115" s="17"/>
      <c r="B115" s="35" t="s">
        <v>357</v>
      </c>
      <c r="C115" s="31" t="s">
        <v>1</v>
      </c>
      <c r="D115" s="16" t="s">
        <v>58</v>
      </c>
      <c r="E115" s="16" t="s">
        <v>83</v>
      </c>
      <c r="F115" s="583" t="s">
        <v>76</v>
      </c>
      <c r="G115" s="584" t="s">
        <v>25</v>
      </c>
      <c r="H115" s="584" t="s">
        <v>38</v>
      </c>
      <c r="I115" s="585" t="s">
        <v>39</v>
      </c>
      <c r="J115" s="16"/>
      <c r="K115" s="32">
        <f t="shared" ref="K115:M116" si="15">K116</f>
        <v>13333.5</v>
      </c>
      <c r="L115" s="32">
        <v>0</v>
      </c>
      <c r="M115" s="32">
        <v>13333.5</v>
      </c>
    </row>
    <row r="116" spans="1:13" s="123" customFormat="1" ht="75.599999999999994" customHeight="1" x14ac:dyDescent="0.35">
      <c r="A116" s="17"/>
      <c r="B116" s="33" t="s">
        <v>310</v>
      </c>
      <c r="C116" s="31" t="s">
        <v>1</v>
      </c>
      <c r="D116" s="16" t="s">
        <v>58</v>
      </c>
      <c r="E116" s="16" t="s">
        <v>83</v>
      </c>
      <c r="F116" s="583" t="s">
        <v>76</v>
      </c>
      <c r="G116" s="584" t="s">
        <v>25</v>
      </c>
      <c r="H116" s="584" t="s">
        <v>32</v>
      </c>
      <c r="I116" s="585" t="s">
        <v>39</v>
      </c>
      <c r="J116" s="16"/>
      <c r="K116" s="32">
        <f t="shared" si="15"/>
        <v>13333.5</v>
      </c>
      <c r="L116" s="32">
        <v>0</v>
      </c>
      <c r="M116" s="32">
        <v>13333.5</v>
      </c>
    </row>
    <row r="117" spans="1:13" s="123" customFormat="1" ht="45.75" customHeight="1" x14ac:dyDescent="0.35">
      <c r="A117" s="17"/>
      <c r="B117" s="33" t="s">
        <v>437</v>
      </c>
      <c r="C117" s="31" t="s">
        <v>1</v>
      </c>
      <c r="D117" s="16" t="s">
        <v>58</v>
      </c>
      <c r="E117" s="16" t="s">
        <v>83</v>
      </c>
      <c r="F117" s="583" t="s">
        <v>76</v>
      </c>
      <c r="G117" s="584" t="s">
        <v>25</v>
      </c>
      <c r="H117" s="584" t="s">
        <v>32</v>
      </c>
      <c r="I117" s="585" t="s">
        <v>86</v>
      </c>
      <c r="J117" s="16"/>
      <c r="K117" s="32">
        <f>K118+K119+K120</f>
        <v>13333.5</v>
      </c>
      <c r="L117" s="32">
        <v>0</v>
      </c>
      <c r="M117" s="32">
        <v>13333.5</v>
      </c>
    </row>
    <row r="118" spans="1:13" s="123" customFormat="1" ht="112.5" customHeight="1" x14ac:dyDescent="0.35">
      <c r="A118" s="17"/>
      <c r="B118" s="30" t="s">
        <v>44</v>
      </c>
      <c r="C118" s="31" t="s">
        <v>1</v>
      </c>
      <c r="D118" s="16" t="s">
        <v>58</v>
      </c>
      <c r="E118" s="16" t="s">
        <v>83</v>
      </c>
      <c r="F118" s="583" t="s">
        <v>76</v>
      </c>
      <c r="G118" s="584" t="s">
        <v>25</v>
      </c>
      <c r="H118" s="584" t="s">
        <v>32</v>
      </c>
      <c r="I118" s="585" t="s">
        <v>86</v>
      </c>
      <c r="J118" s="16" t="s">
        <v>45</v>
      </c>
      <c r="K118" s="32">
        <f>10298.6+40.2+413+542.5</f>
        <v>11294.300000000001</v>
      </c>
      <c r="L118" s="32">
        <v>0</v>
      </c>
      <c r="M118" s="32">
        <v>11294.300000000001</v>
      </c>
    </row>
    <row r="119" spans="1:13" s="123" customFormat="1" ht="56.25" customHeight="1" x14ac:dyDescent="0.35">
      <c r="A119" s="17"/>
      <c r="B119" s="30" t="s">
        <v>50</v>
      </c>
      <c r="C119" s="31" t="s">
        <v>1</v>
      </c>
      <c r="D119" s="16" t="s">
        <v>58</v>
      </c>
      <c r="E119" s="16" t="s">
        <v>83</v>
      </c>
      <c r="F119" s="583" t="s">
        <v>76</v>
      </c>
      <c r="G119" s="584" t="s">
        <v>25</v>
      </c>
      <c r="H119" s="584" t="s">
        <v>32</v>
      </c>
      <c r="I119" s="585" t="s">
        <v>86</v>
      </c>
      <c r="J119" s="16" t="s">
        <v>51</v>
      </c>
      <c r="K119" s="32">
        <v>2032.9</v>
      </c>
      <c r="L119" s="32">
        <v>0</v>
      </c>
      <c r="M119" s="32">
        <v>2032.9</v>
      </c>
    </row>
    <row r="120" spans="1:13" s="123" customFormat="1" ht="18.75" customHeight="1" x14ac:dyDescent="0.35">
      <c r="A120" s="17"/>
      <c r="B120" s="30" t="s">
        <v>52</v>
      </c>
      <c r="C120" s="31" t="s">
        <v>1</v>
      </c>
      <c r="D120" s="16" t="s">
        <v>58</v>
      </c>
      <c r="E120" s="16" t="s">
        <v>83</v>
      </c>
      <c r="F120" s="583" t="s">
        <v>76</v>
      </c>
      <c r="G120" s="584" t="s">
        <v>25</v>
      </c>
      <c r="H120" s="584" t="s">
        <v>32</v>
      </c>
      <c r="I120" s="585" t="s">
        <v>86</v>
      </c>
      <c r="J120" s="16" t="s">
        <v>53</v>
      </c>
      <c r="K120" s="32">
        <v>6.3</v>
      </c>
      <c r="L120" s="32">
        <v>0</v>
      </c>
      <c r="M120" s="32">
        <v>6.3</v>
      </c>
    </row>
    <row r="121" spans="1:13" s="123" customFormat="1" ht="53.25" customHeight="1" x14ac:dyDescent="0.35">
      <c r="A121" s="17"/>
      <c r="B121" s="268" t="s">
        <v>465</v>
      </c>
      <c r="C121" s="31" t="s">
        <v>1</v>
      </c>
      <c r="D121" s="16" t="s">
        <v>58</v>
      </c>
      <c r="E121" s="16" t="s">
        <v>83</v>
      </c>
      <c r="F121" s="583" t="s">
        <v>76</v>
      </c>
      <c r="G121" s="584" t="s">
        <v>26</v>
      </c>
      <c r="H121" s="584" t="s">
        <v>38</v>
      </c>
      <c r="I121" s="585" t="s">
        <v>39</v>
      </c>
      <c r="J121" s="16"/>
      <c r="K121" s="32">
        <f t="shared" ref="K121:M123" si="16">K122</f>
        <v>21.8</v>
      </c>
      <c r="L121" s="32">
        <v>0</v>
      </c>
      <c r="M121" s="32">
        <v>21.8</v>
      </c>
    </row>
    <row r="122" spans="1:13" s="123" customFormat="1" ht="72" customHeight="1" x14ac:dyDescent="0.35">
      <c r="A122" s="17"/>
      <c r="B122" s="269" t="s">
        <v>466</v>
      </c>
      <c r="C122" s="31" t="s">
        <v>1</v>
      </c>
      <c r="D122" s="16" t="s">
        <v>58</v>
      </c>
      <c r="E122" s="16" t="s">
        <v>83</v>
      </c>
      <c r="F122" s="583" t="s">
        <v>76</v>
      </c>
      <c r="G122" s="584" t="s">
        <v>26</v>
      </c>
      <c r="H122" s="584" t="s">
        <v>32</v>
      </c>
      <c r="I122" s="585" t="s">
        <v>39</v>
      </c>
      <c r="J122" s="16"/>
      <c r="K122" s="32">
        <f t="shared" si="16"/>
        <v>21.8</v>
      </c>
      <c r="L122" s="32">
        <v>0</v>
      </c>
      <c r="M122" s="32">
        <v>21.8</v>
      </c>
    </row>
    <row r="123" spans="1:13" s="123" customFormat="1" ht="53.25" customHeight="1" x14ac:dyDescent="0.35">
      <c r="A123" s="17"/>
      <c r="B123" s="266" t="s">
        <v>80</v>
      </c>
      <c r="C123" s="31" t="s">
        <v>1</v>
      </c>
      <c r="D123" s="16" t="s">
        <v>58</v>
      </c>
      <c r="E123" s="16" t="s">
        <v>83</v>
      </c>
      <c r="F123" s="583" t="s">
        <v>76</v>
      </c>
      <c r="G123" s="584" t="s">
        <v>26</v>
      </c>
      <c r="H123" s="584" t="s">
        <v>32</v>
      </c>
      <c r="I123" s="585" t="s">
        <v>81</v>
      </c>
      <c r="J123" s="16"/>
      <c r="K123" s="32">
        <f t="shared" si="16"/>
        <v>21.8</v>
      </c>
      <c r="L123" s="32">
        <v>0</v>
      </c>
      <c r="M123" s="32">
        <v>21.8</v>
      </c>
    </row>
    <row r="124" spans="1:13" s="123" customFormat="1" ht="53.25" customHeight="1" x14ac:dyDescent="0.35">
      <c r="A124" s="17"/>
      <c r="B124" s="267" t="s">
        <v>50</v>
      </c>
      <c r="C124" s="31" t="s">
        <v>1</v>
      </c>
      <c r="D124" s="16" t="s">
        <v>58</v>
      </c>
      <c r="E124" s="16" t="s">
        <v>83</v>
      </c>
      <c r="F124" s="583" t="s">
        <v>76</v>
      </c>
      <c r="G124" s="584" t="s">
        <v>26</v>
      </c>
      <c r="H124" s="584" t="s">
        <v>32</v>
      </c>
      <c r="I124" s="585" t="s">
        <v>81</v>
      </c>
      <c r="J124" s="16" t="s">
        <v>51</v>
      </c>
      <c r="K124" s="32">
        <v>21.8</v>
      </c>
      <c r="L124" s="32">
        <v>0</v>
      </c>
      <c r="M124" s="32">
        <v>21.8</v>
      </c>
    </row>
    <row r="125" spans="1:13" s="123" customFormat="1" ht="18.75" customHeight="1" x14ac:dyDescent="0.35">
      <c r="A125" s="17"/>
      <c r="B125" s="30" t="s">
        <v>87</v>
      </c>
      <c r="C125" s="31" t="s">
        <v>1</v>
      </c>
      <c r="D125" s="16" t="s">
        <v>47</v>
      </c>
      <c r="E125" s="16"/>
      <c r="F125" s="583"/>
      <c r="G125" s="584"/>
      <c r="H125" s="584"/>
      <c r="I125" s="585"/>
      <c r="J125" s="16"/>
      <c r="K125" s="32">
        <f>K126+K135+K141</f>
        <v>51381.200000000004</v>
      </c>
      <c r="L125" s="32">
        <v>-1027.6000000000004</v>
      </c>
      <c r="M125" s="32">
        <v>50353.599999999999</v>
      </c>
    </row>
    <row r="126" spans="1:13" s="13" customFormat="1" ht="18.75" customHeight="1" x14ac:dyDescent="0.35">
      <c r="A126" s="17"/>
      <c r="B126" s="30" t="s">
        <v>88</v>
      </c>
      <c r="C126" s="31" t="s">
        <v>1</v>
      </c>
      <c r="D126" s="16" t="s">
        <v>47</v>
      </c>
      <c r="E126" s="16" t="s">
        <v>60</v>
      </c>
      <c r="F126" s="583"/>
      <c r="G126" s="584"/>
      <c r="H126" s="584"/>
      <c r="I126" s="585"/>
      <c r="J126" s="16"/>
      <c r="K126" s="32">
        <f t="shared" ref="K126:M127" si="17">K127</f>
        <v>12646.2</v>
      </c>
      <c r="L126" s="32">
        <v>0</v>
      </c>
      <c r="M126" s="32">
        <v>12646.2</v>
      </c>
    </row>
    <row r="127" spans="1:13" s="123" customFormat="1" ht="60" customHeight="1" x14ac:dyDescent="0.35">
      <c r="A127" s="17"/>
      <c r="B127" s="30" t="s">
        <v>89</v>
      </c>
      <c r="C127" s="31" t="s">
        <v>1</v>
      </c>
      <c r="D127" s="16" t="s">
        <v>47</v>
      </c>
      <c r="E127" s="16" t="s">
        <v>60</v>
      </c>
      <c r="F127" s="583" t="s">
        <v>62</v>
      </c>
      <c r="G127" s="584" t="s">
        <v>37</v>
      </c>
      <c r="H127" s="584" t="s">
        <v>38</v>
      </c>
      <c r="I127" s="585" t="s">
        <v>39</v>
      </c>
      <c r="J127" s="16"/>
      <c r="K127" s="32">
        <f t="shared" si="17"/>
        <v>12646.2</v>
      </c>
      <c r="L127" s="32">
        <v>0</v>
      </c>
      <c r="M127" s="32">
        <v>12646.2</v>
      </c>
    </row>
    <row r="128" spans="1:13" s="13" customFormat="1" ht="37.5" customHeight="1" x14ac:dyDescent="0.35">
      <c r="A128" s="17"/>
      <c r="B128" s="30" t="s">
        <v>328</v>
      </c>
      <c r="C128" s="31" t="s">
        <v>1</v>
      </c>
      <c r="D128" s="16" t="s">
        <v>47</v>
      </c>
      <c r="E128" s="16" t="s">
        <v>60</v>
      </c>
      <c r="F128" s="583" t="s">
        <v>62</v>
      </c>
      <c r="G128" s="584" t="s">
        <v>40</v>
      </c>
      <c r="H128" s="584" t="s">
        <v>38</v>
      </c>
      <c r="I128" s="585" t="s">
        <v>39</v>
      </c>
      <c r="J128" s="16"/>
      <c r="K128" s="32">
        <f>K129+K132</f>
        <v>12646.2</v>
      </c>
      <c r="L128" s="32">
        <v>0</v>
      </c>
      <c r="M128" s="32">
        <v>12646.2</v>
      </c>
    </row>
    <row r="129" spans="1:13" s="13" customFormat="1" ht="56.25" customHeight="1" x14ac:dyDescent="0.35">
      <c r="A129" s="17"/>
      <c r="B129" s="30" t="s">
        <v>90</v>
      </c>
      <c r="C129" s="31" t="s">
        <v>1</v>
      </c>
      <c r="D129" s="16" t="s">
        <v>47</v>
      </c>
      <c r="E129" s="16" t="s">
        <v>60</v>
      </c>
      <c r="F129" s="583" t="s">
        <v>62</v>
      </c>
      <c r="G129" s="584" t="s">
        <v>40</v>
      </c>
      <c r="H129" s="584" t="s">
        <v>32</v>
      </c>
      <c r="I129" s="585" t="s">
        <v>39</v>
      </c>
      <c r="J129" s="16"/>
      <c r="K129" s="32">
        <f t="shared" ref="K129:M129" si="18">K130</f>
        <v>11095.300000000001</v>
      </c>
      <c r="L129" s="32">
        <v>0</v>
      </c>
      <c r="M129" s="32">
        <v>11095.300000000001</v>
      </c>
    </row>
    <row r="130" spans="1:13" s="13" customFormat="1" ht="71.400000000000006" customHeight="1" x14ac:dyDescent="0.35">
      <c r="A130" s="17"/>
      <c r="B130" s="50" t="s">
        <v>397</v>
      </c>
      <c r="C130" s="31" t="s">
        <v>1</v>
      </c>
      <c r="D130" s="16" t="s">
        <v>47</v>
      </c>
      <c r="E130" s="16" t="s">
        <v>60</v>
      </c>
      <c r="F130" s="583" t="s">
        <v>62</v>
      </c>
      <c r="G130" s="584" t="s">
        <v>40</v>
      </c>
      <c r="H130" s="584" t="s">
        <v>32</v>
      </c>
      <c r="I130" s="585" t="s">
        <v>56</v>
      </c>
      <c r="J130" s="16"/>
      <c r="K130" s="32">
        <f>K131</f>
        <v>11095.300000000001</v>
      </c>
      <c r="L130" s="32">
        <v>0</v>
      </c>
      <c r="M130" s="32">
        <v>11095.300000000001</v>
      </c>
    </row>
    <row r="131" spans="1:13" s="123" customFormat="1" ht="18.75" customHeight="1" x14ac:dyDescent="0.35">
      <c r="A131" s="17"/>
      <c r="B131" s="30" t="s">
        <v>52</v>
      </c>
      <c r="C131" s="31" t="s">
        <v>1</v>
      </c>
      <c r="D131" s="16" t="s">
        <v>47</v>
      </c>
      <c r="E131" s="16" t="s">
        <v>60</v>
      </c>
      <c r="F131" s="583" t="s">
        <v>62</v>
      </c>
      <c r="G131" s="584" t="s">
        <v>40</v>
      </c>
      <c r="H131" s="584" t="s">
        <v>32</v>
      </c>
      <c r="I131" s="585" t="s">
        <v>56</v>
      </c>
      <c r="J131" s="16" t="s">
        <v>53</v>
      </c>
      <c r="K131" s="32">
        <f>11070.6+24.7</f>
        <v>11095.300000000001</v>
      </c>
      <c r="L131" s="32">
        <v>0</v>
      </c>
      <c r="M131" s="32">
        <v>11095.300000000001</v>
      </c>
    </row>
    <row r="132" spans="1:13" s="13" customFormat="1" ht="63.75" customHeight="1" x14ac:dyDescent="0.35">
      <c r="A132" s="17"/>
      <c r="B132" s="30" t="s">
        <v>91</v>
      </c>
      <c r="C132" s="31" t="s">
        <v>1</v>
      </c>
      <c r="D132" s="16" t="s">
        <v>47</v>
      </c>
      <c r="E132" s="16" t="s">
        <v>60</v>
      </c>
      <c r="F132" s="583" t="s">
        <v>62</v>
      </c>
      <c r="G132" s="584" t="s">
        <v>40</v>
      </c>
      <c r="H132" s="584" t="s">
        <v>34</v>
      </c>
      <c r="I132" s="585" t="s">
        <v>39</v>
      </c>
      <c r="J132" s="16"/>
      <c r="K132" s="32">
        <f>K133</f>
        <v>1550.9</v>
      </c>
      <c r="L132" s="32">
        <v>0</v>
      </c>
      <c r="M132" s="32">
        <v>1550.9</v>
      </c>
    </row>
    <row r="133" spans="1:13" s="13" customFormat="1" ht="180" x14ac:dyDescent="0.35">
      <c r="A133" s="17"/>
      <c r="B133" s="30" t="s">
        <v>514</v>
      </c>
      <c r="C133" s="31" t="s">
        <v>1</v>
      </c>
      <c r="D133" s="16" t="s">
        <v>47</v>
      </c>
      <c r="E133" s="16" t="s">
        <v>60</v>
      </c>
      <c r="F133" s="583" t="s">
        <v>62</v>
      </c>
      <c r="G133" s="584" t="s">
        <v>40</v>
      </c>
      <c r="H133" s="584" t="s">
        <v>34</v>
      </c>
      <c r="I133" s="585" t="s">
        <v>92</v>
      </c>
      <c r="J133" s="16"/>
      <c r="K133" s="32">
        <f t="shared" ref="K133:M133" si="19">K134</f>
        <v>1550.9</v>
      </c>
      <c r="L133" s="32">
        <v>0</v>
      </c>
      <c r="M133" s="32">
        <v>1550.9</v>
      </c>
    </row>
    <row r="134" spans="1:13" s="123" customFormat="1" ht="56.25" customHeight="1" x14ac:dyDescent="0.35">
      <c r="A134" s="17"/>
      <c r="B134" s="30" t="s">
        <v>50</v>
      </c>
      <c r="C134" s="31" t="s">
        <v>1</v>
      </c>
      <c r="D134" s="16" t="s">
        <v>47</v>
      </c>
      <c r="E134" s="16" t="s">
        <v>60</v>
      </c>
      <c r="F134" s="583" t="s">
        <v>62</v>
      </c>
      <c r="G134" s="584" t="s">
        <v>40</v>
      </c>
      <c r="H134" s="584" t="s">
        <v>34</v>
      </c>
      <c r="I134" s="585" t="s">
        <v>92</v>
      </c>
      <c r="J134" s="16" t="s">
        <v>51</v>
      </c>
      <c r="K134" s="32">
        <v>1550.9</v>
      </c>
      <c r="L134" s="32">
        <v>0</v>
      </c>
      <c r="M134" s="32">
        <v>1550.9</v>
      </c>
    </row>
    <row r="135" spans="1:13" s="13" customFormat="1" ht="18.75" customHeight="1" x14ac:dyDescent="0.35">
      <c r="A135" s="17"/>
      <c r="B135" s="35" t="s">
        <v>93</v>
      </c>
      <c r="C135" s="31" t="s">
        <v>1</v>
      </c>
      <c r="D135" s="16" t="s">
        <v>47</v>
      </c>
      <c r="E135" s="16" t="s">
        <v>74</v>
      </c>
      <c r="F135" s="583"/>
      <c r="G135" s="584"/>
      <c r="H135" s="584"/>
      <c r="I135" s="585"/>
      <c r="J135" s="16"/>
      <c r="K135" s="32">
        <f t="shared" ref="K135:M139" si="20">K136</f>
        <v>6255.7</v>
      </c>
      <c r="L135" s="32">
        <v>0</v>
      </c>
      <c r="M135" s="32">
        <v>6255.7</v>
      </c>
    </row>
    <row r="136" spans="1:13" s="123" customFormat="1" ht="56.25" customHeight="1" x14ac:dyDescent="0.35">
      <c r="A136" s="17"/>
      <c r="B136" s="30" t="s">
        <v>94</v>
      </c>
      <c r="C136" s="31" t="s">
        <v>1</v>
      </c>
      <c r="D136" s="16" t="s">
        <v>47</v>
      </c>
      <c r="E136" s="16" t="s">
        <v>74</v>
      </c>
      <c r="F136" s="583" t="s">
        <v>95</v>
      </c>
      <c r="G136" s="584" t="s">
        <v>37</v>
      </c>
      <c r="H136" s="584" t="s">
        <v>38</v>
      </c>
      <c r="I136" s="585" t="s">
        <v>39</v>
      </c>
      <c r="J136" s="16"/>
      <c r="K136" s="32">
        <f t="shared" si="20"/>
        <v>6255.7</v>
      </c>
      <c r="L136" s="32">
        <v>0</v>
      </c>
      <c r="M136" s="32">
        <v>6255.7</v>
      </c>
    </row>
    <row r="137" spans="1:13" s="13" customFormat="1" ht="37.5" customHeight="1" x14ac:dyDescent="0.35">
      <c r="A137" s="17"/>
      <c r="B137" s="30" t="s">
        <v>328</v>
      </c>
      <c r="C137" s="31" t="s">
        <v>1</v>
      </c>
      <c r="D137" s="16" t="s">
        <v>47</v>
      </c>
      <c r="E137" s="16" t="s">
        <v>74</v>
      </c>
      <c r="F137" s="583" t="s">
        <v>95</v>
      </c>
      <c r="G137" s="584" t="s">
        <v>40</v>
      </c>
      <c r="H137" s="584" t="s">
        <v>38</v>
      </c>
      <c r="I137" s="585" t="s">
        <v>39</v>
      </c>
      <c r="J137" s="16"/>
      <c r="K137" s="32">
        <f t="shared" si="20"/>
        <v>6255.7</v>
      </c>
      <c r="L137" s="32">
        <v>0</v>
      </c>
      <c r="M137" s="32">
        <v>6255.7</v>
      </c>
    </row>
    <row r="138" spans="1:13" s="13" customFormat="1" ht="93.75" customHeight="1" x14ac:dyDescent="0.35">
      <c r="A138" s="17"/>
      <c r="B138" s="30" t="s">
        <v>96</v>
      </c>
      <c r="C138" s="31" t="s">
        <v>1</v>
      </c>
      <c r="D138" s="16" t="s">
        <v>47</v>
      </c>
      <c r="E138" s="16" t="s">
        <v>74</v>
      </c>
      <c r="F138" s="583" t="s">
        <v>95</v>
      </c>
      <c r="G138" s="584" t="s">
        <v>40</v>
      </c>
      <c r="H138" s="584" t="s">
        <v>32</v>
      </c>
      <c r="I138" s="585" t="s">
        <v>39</v>
      </c>
      <c r="J138" s="16"/>
      <c r="K138" s="32">
        <f t="shared" si="20"/>
        <v>6255.7</v>
      </c>
      <c r="L138" s="32">
        <v>0</v>
      </c>
      <c r="M138" s="32">
        <v>6255.7</v>
      </c>
    </row>
    <row r="139" spans="1:13" s="13" customFormat="1" ht="75.75" customHeight="1" x14ac:dyDescent="0.35">
      <c r="A139" s="17"/>
      <c r="B139" s="36" t="s">
        <v>97</v>
      </c>
      <c r="C139" s="31" t="s">
        <v>1</v>
      </c>
      <c r="D139" s="16" t="s">
        <v>47</v>
      </c>
      <c r="E139" s="16" t="s">
        <v>74</v>
      </c>
      <c r="F139" s="583" t="s">
        <v>95</v>
      </c>
      <c r="G139" s="584" t="s">
        <v>40</v>
      </c>
      <c r="H139" s="584" t="s">
        <v>32</v>
      </c>
      <c r="I139" s="585" t="s">
        <v>98</v>
      </c>
      <c r="J139" s="16"/>
      <c r="K139" s="32">
        <f t="shared" si="20"/>
        <v>6255.7</v>
      </c>
      <c r="L139" s="32">
        <v>0</v>
      </c>
      <c r="M139" s="32">
        <v>6255.7</v>
      </c>
    </row>
    <row r="140" spans="1:13" s="123" customFormat="1" ht="56.25" customHeight="1" x14ac:dyDescent="0.35">
      <c r="A140" s="17"/>
      <c r="B140" s="30" t="s">
        <v>50</v>
      </c>
      <c r="C140" s="31" t="s">
        <v>1</v>
      </c>
      <c r="D140" s="16" t="s">
        <v>47</v>
      </c>
      <c r="E140" s="16" t="s">
        <v>74</v>
      </c>
      <c r="F140" s="583" t="s">
        <v>95</v>
      </c>
      <c r="G140" s="584" t="s">
        <v>40</v>
      </c>
      <c r="H140" s="584" t="s">
        <v>32</v>
      </c>
      <c r="I140" s="585" t="s">
        <v>98</v>
      </c>
      <c r="J140" s="16" t="s">
        <v>51</v>
      </c>
      <c r="K140" s="32">
        <v>6255.7</v>
      </c>
      <c r="L140" s="32">
        <v>0</v>
      </c>
      <c r="M140" s="32">
        <v>6255.7</v>
      </c>
    </row>
    <row r="141" spans="1:13" s="13" customFormat="1" ht="37.5" customHeight="1" x14ac:dyDescent="0.35">
      <c r="A141" s="17"/>
      <c r="B141" s="35" t="s">
        <v>101</v>
      </c>
      <c r="C141" s="31" t="s">
        <v>1</v>
      </c>
      <c r="D141" s="16" t="s">
        <v>47</v>
      </c>
      <c r="E141" s="16" t="s">
        <v>95</v>
      </c>
      <c r="F141" s="583"/>
      <c r="G141" s="584"/>
      <c r="H141" s="584"/>
      <c r="I141" s="585"/>
      <c r="J141" s="16"/>
      <c r="K141" s="32">
        <f>K142+K151+K158</f>
        <v>32479.300000000003</v>
      </c>
      <c r="L141" s="32">
        <v>-1027.6000000000004</v>
      </c>
      <c r="M141" s="32">
        <v>31451.699999999997</v>
      </c>
    </row>
    <row r="142" spans="1:13" s="123" customFormat="1" ht="75" customHeight="1" x14ac:dyDescent="0.35">
      <c r="A142" s="17"/>
      <c r="B142" s="30" t="s">
        <v>102</v>
      </c>
      <c r="C142" s="31" t="s">
        <v>1</v>
      </c>
      <c r="D142" s="16" t="s">
        <v>47</v>
      </c>
      <c r="E142" s="16" t="s">
        <v>95</v>
      </c>
      <c r="F142" s="583" t="s">
        <v>66</v>
      </c>
      <c r="G142" s="584" t="s">
        <v>37</v>
      </c>
      <c r="H142" s="584" t="s">
        <v>38</v>
      </c>
      <c r="I142" s="585" t="s">
        <v>39</v>
      </c>
      <c r="J142" s="16"/>
      <c r="K142" s="32">
        <f>K143+K147</f>
        <v>1025.0999999999999</v>
      </c>
      <c r="L142" s="32">
        <v>0</v>
      </c>
      <c r="M142" s="32">
        <v>1025.0999999999999</v>
      </c>
    </row>
    <row r="143" spans="1:13" s="123" customFormat="1" ht="56.25" customHeight="1" x14ac:dyDescent="0.35">
      <c r="A143" s="17"/>
      <c r="B143" s="35" t="s">
        <v>103</v>
      </c>
      <c r="C143" s="31" t="s">
        <v>1</v>
      </c>
      <c r="D143" s="16" t="s">
        <v>47</v>
      </c>
      <c r="E143" s="16" t="s">
        <v>95</v>
      </c>
      <c r="F143" s="583" t="s">
        <v>66</v>
      </c>
      <c r="G143" s="584" t="s">
        <v>40</v>
      </c>
      <c r="H143" s="584" t="s">
        <v>38</v>
      </c>
      <c r="I143" s="585" t="s">
        <v>39</v>
      </c>
      <c r="J143" s="16"/>
      <c r="K143" s="32">
        <f t="shared" ref="K143:M144" si="21">K144</f>
        <v>310</v>
      </c>
      <c r="L143" s="32">
        <v>0</v>
      </c>
      <c r="M143" s="32">
        <v>310</v>
      </c>
    </row>
    <row r="144" spans="1:13" s="13" customFormat="1" ht="37.5" customHeight="1" x14ac:dyDescent="0.35">
      <c r="A144" s="17"/>
      <c r="B144" s="30" t="s">
        <v>104</v>
      </c>
      <c r="C144" s="31" t="s">
        <v>1</v>
      </c>
      <c r="D144" s="16" t="s">
        <v>47</v>
      </c>
      <c r="E144" s="16" t="s">
        <v>95</v>
      </c>
      <c r="F144" s="583" t="s">
        <v>66</v>
      </c>
      <c r="G144" s="584" t="s">
        <v>40</v>
      </c>
      <c r="H144" s="584" t="s">
        <v>32</v>
      </c>
      <c r="I144" s="585" t="s">
        <v>39</v>
      </c>
      <c r="J144" s="16"/>
      <c r="K144" s="32">
        <f t="shared" si="21"/>
        <v>310</v>
      </c>
      <c r="L144" s="32">
        <v>0</v>
      </c>
      <c r="M144" s="32">
        <v>310</v>
      </c>
    </row>
    <row r="145" spans="1:13" s="123" customFormat="1" ht="37.5" customHeight="1" x14ac:dyDescent="0.35">
      <c r="A145" s="17"/>
      <c r="B145" s="35" t="s">
        <v>105</v>
      </c>
      <c r="C145" s="31" t="s">
        <v>1</v>
      </c>
      <c r="D145" s="16" t="s">
        <v>47</v>
      </c>
      <c r="E145" s="16" t="s">
        <v>95</v>
      </c>
      <c r="F145" s="583" t="s">
        <v>66</v>
      </c>
      <c r="G145" s="584" t="s">
        <v>40</v>
      </c>
      <c r="H145" s="584" t="s">
        <v>32</v>
      </c>
      <c r="I145" s="585" t="s">
        <v>106</v>
      </c>
      <c r="J145" s="16"/>
      <c r="K145" s="32">
        <f>K146</f>
        <v>310</v>
      </c>
      <c r="L145" s="32">
        <v>0</v>
      </c>
      <c r="M145" s="32">
        <v>310</v>
      </c>
    </row>
    <row r="146" spans="1:13" s="13" customFormat="1" ht="56.25" customHeight="1" x14ac:dyDescent="0.35">
      <c r="A146" s="17"/>
      <c r="B146" s="30" t="s">
        <v>50</v>
      </c>
      <c r="C146" s="31" t="s">
        <v>1</v>
      </c>
      <c r="D146" s="16" t="s">
        <v>47</v>
      </c>
      <c r="E146" s="16" t="s">
        <v>95</v>
      </c>
      <c r="F146" s="583" t="s">
        <v>66</v>
      </c>
      <c r="G146" s="584" t="s">
        <v>40</v>
      </c>
      <c r="H146" s="584" t="s">
        <v>32</v>
      </c>
      <c r="I146" s="585" t="s">
        <v>106</v>
      </c>
      <c r="J146" s="16" t="s">
        <v>51</v>
      </c>
      <c r="K146" s="32">
        <v>310</v>
      </c>
      <c r="L146" s="32">
        <v>0</v>
      </c>
      <c r="M146" s="32">
        <v>310</v>
      </c>
    </row>
    <row r="147" spans="1:13" s="123" customFormat="1" ht="37.5" customHeight="1" x14ac:dyDescent="0.35">
      <c r="A147" s="17"/>
      <c r="B147" s="35" t="s">
        <v>107</v>
      </c>
      <c r="C147" s="31" t="s">
        <v>1</v>
      </c>
      <c r="D147" s="16" t="s">
        <v>47</v>
      </c>
      <c r="E147" s="16" t="s">
        <v>95</v>
      </c>
      <c r="F147" s="583" t="s">
        <v>66</v>
      </c>
      <c r="G147" s="584" t="s">
        <v>84</v>
      </c>
      <c r="H147" s="584" t="s">
        <v>38</v>
      </c>
      <c r="I147" s="585" t="s">
        <v>39</v>
      </c>
      <c r="J147" s="16"/>
      <c r="K147" s="32">
        <f t="shared" ref="K147:M149" si="22">K148</f>
        <v>715.1</v>
      </c>
      <c r="L147" s="32">
        <v>0</v>
      </c>
      <c r="M147" s="32">
        <v>715.1</v>
      </c>
    </row>
    <row r="148" spans="1:13" s="13" customFormat="1" ht="56.25" customHeight="1" x14ac:dyDescent="0.35">
      <c r="A148" s="17"/>
      <c r="B148" s="35" t="s">
        <v>108</v>
      </c>
      <c r="C148" s="31" t="s">
        <v>1</v>
      </c>
      <c r="D148" s="16" t="s">
        <v>47</v>
      </c>
      <c r="E148" s="16" t="s">
        <v>95</v>
      </c>
      <c r="F148" s="583" t="s">
        <v>66</v>
      </c>
      <c r="G148" s="584" t="s">
        <v>84</v>
      </c>
      <c r="H148" s="584" t="s">
        <v>32</v>
      </c>
      <c r="I148" s="585" t="s">
        <v>39</v>
      </c>
      <c r="J148" s="16"/>
      <c r="K148" s="32">
        <f t="shared" si="22"/>
        <v>715.1</v>
      </c>
      <c r="L148" s="32">
        <v>0</v>
      </c>
      <c r="M148" s="32">
        <v>715.1</v>
      </c>
    </row>
    <row r="149" spans="1:13" s="123" customFormat="1" ht="79.5" customHeight="1" x14ac:dyDescent="0.35">
      <c r="A149" s="17"/>
      <c r="B149" s="35" t="s">
        <v>109</v>
      </c>
      <c r="C149" s="31" t="s">
        <v>1</v>
      </c>
      <c r="D149" s="16" t="s">
        <v>47</v>
      </c>
      <c r="E149" s="16" t="s">
        <v>95</v>
      </c>
      <c r="F149" s="583" t="s">
        <v>66</v>
      </c>
      <c r="G149" s="584" t="s">
        <v>84</v>
      </c>
      <c r="H149" s="584" t="s">
        <v>32</v>
      </c>
      <c r="I149" s="585" t="s">
        <v>110</v>
      </c>
      <c r="J149" s="16"/>
      <c r="K149" s="32">
        <f t="shared" si="22"/>
        <v>715.1</v>
      </c>
      <c r="L149" s="32">
        <v>0</v>
      </c>
      <c r="M149" s="32">
        <v>715.1</v>
      </c>
    </row>
    <row r="150" spans="1:13" s="13" customFormat="1" ht="56.25" customHeight="1" x14ac:dyDescent="0.35">
      <c r="A150" s="17"/>
      <c r="B150" s="30" t="s">
        <v>50</v>
      </c>
      <c r="C150" s="31" t="s">
        <v>1</v>
      </c>
      <c r="D150" s="16" t="s">
        <v>47</v>
      </c>
      <c r="E150" s="16" t="s">
        <v>95</v>
      </c>
      <c r="F150" s="583" t="s">
        <v>66</v>
      </c>
      <c r="G150" s="584" t="s">
        <v>84</v>
      </c>
      <c r="H150" s="584" t="s">
        <v>32</v>
      </c>
      <c r="I150" s="585" t="s">
        <v>110</v>
      </c>
      <c r="J150" s="16" t="s">
        <v>51</v>
      </c>
      <c r="K150" s="32">
        <v>715.1</v>
      </c>
      <c r="L150" s="32">
        <v>0</v>
      </c>
      <c r="M150" s="32">
        <v>715.1</v>
      </c>
    </row>
    <row r="151" spans="1:13" s="123" customFormat="1" ht="75" customHeight="1" x14ac:dyDescent="0.35">
      <c r="A151" s="17"/>
      <c r="B151" s="30" t="s">
        <v>111</v>
      </c>
      <c r="C151" s="31" t="s">
        <v>1</v>
      </c>
      <c r="D151" s="16" t="s">
        <v>47</v>
      </c>
      <c r="E151" s="16" t="s">
        <v>95</v>
      </c>
      <c r="F151" s="583" t="s">
        <v>83</v>
      </c>
      <c r="G151" s="584" t="s">
        <v>37</v>
      </c>
      <c r="H151" s="584" t="s">
        <v>38</v>
      </c>
      <c r="I151" s="585" t="s">
        <v>39</v>
      </c>
      <c r="J151" s="16"/>
      <c r="K151" s="32">
        <f t="shared" ref="K151:M154" si="23">K152</f>
        <v>5731.2000000000007</v>
      </c>
      <c r="L151" s="32">
        <v>0</v>
      </c>
      <c r="M151" s="32">
        <v>5731.2000000000007</v>
      </c>
    </row>
    <row r="152" spans="1:13" s="123" customFormat="1" ht="37.5" customHeight="1" x14ac:dyDescent="0.35">
      <c r="A152" s="17"/>
      <c r="B152" s="30" t="s">
        <v>328</v>
      </c>
      <c r="C152" s="31" t="s">
        <v>1</v>
      </c>
      <c r="D152" s="16" t="s">
        <v>47</v>
      </c>
      <c r="E152" s="16" t="s">
        <v>95</v>
      </c>
      <c r="F152" s="583" t="s">
        <v>83</v>
      </c>
      <c r="G152" s="584" t="s">
        <v>40</v>
      </c>
      <c r="H152" s="584" t="s">
        <v>38</v>
      </c>
      <c r="I152" s="585" t="s">
        <v>39</v>
      </c>
      <c r="J152" s="16"/>
      <c r="K152" s="32">
        <f t="shared" si="23"/>
        <v>5731.2000000000007</v>
      </c>
      <c r="L152" s="32">
        <v>0</v>
      </c>
      <c r="M152" s="32">
        <v>5731.2000000000007</v>
      </c>
    </row>
    <row r="153" spans="1:13" s="13" customFormat="1" ht="75" customHeight="1" x14ac:dyDescent="0.35">
      <c r="A153" s="17"/>
      <c r="B153" s="35" t="s">
        <v>295</v>
      </c>
      <c r="C153" s="31" t="s">
        <v>1</v>
      </c>
      <c r="D153" s="16" t="s">
        <v>47</v>
      </c>
      <c r="E153" s="16" t="s">
        <v>95</v>
      </c>
      <c r="F153" s="583" t="s">
        <v>83</v>
      </c>
      <c r="G153" s="584" t="s">
        <v>40</v>
      </c>
      <c r="H153" s="584" t="s">
        <v>32</v>
      </c>
      <c r="I153" s="585" t="s">
        <v>39</v>
      </c>
      <c r="J153" s="16"/>
      <c r="K153" s="32">
        <f>K154+K156</f>
        <v>5731.2000000000007</v>
      </c>
      <c r="L153" s="32">
        <v>0</v>
      </c>
      <c r="M153" s="32">
        <v>5731.2000000000007</v>
      </c>
    </row>
    <row r="154" spans="1:13" s="123" customFormat="1" ht="56.25" customHeight="1" x14ac:dyDescent="0.35">
      <c r="A154" s="17"/>
      <c r="B154" s="35" t="s">
        <v>112</v>
      </c>
      <c r="C154" s="31" t="s">
        <v>1</v>
      </c>
      <c r="D154" s="16" t="s">
        <v>47</v>
      </c>
      <c r="E154" s="16" t="s">
        <v>95</v>
      </c>
      <c r="F154" s="583" t="s">
        <v>83</v>
      </c>
      <c r="G154" s="584" t="s">
        <v>40</v>
      </c>
      <c r="H154" s="584" t="s">
        <v>32</v>
      </c>
      <c r="I154" s="585" t="s">
        <v>113</v>
      </c>
      <c r="J154" s="16"/>
      <c r="K154" s="32">
        <f t="shared" si="23"/>
        <v>4952.2000000000007</v>
      </c>
      <c r="L154" s="32">
        <v>0</v>
      </c>
      <c r="M154" s="32">
        <v>4952.2000000000007</v>
      </c>
    </row>
    <row r="155" spans="1:13" s="13" customFormat="1" ht="56.25" customHeight="1" x14ac:dyDescent="0.35">
      <c r="A155" s="17"/>
      <c r="B155" s="30" t="s">
        <v>50</v>
      </c>
      <c r="C155" s="31" t="s">
        <v>1</v>
      </c>
      <c r="D155" s="16" t="s">
        <v>47</v>
      </c>
      <c r="E155" s="16" t="s">
        <v>95</v>
      </c>
      <c r="F155" s="583" t="s">
        <v>83</v>
      </c>
      <c r="G155" s="584" t="s">
        <v>40</v>
      </c>
      <c r="H155" s="584" t="s">
        <v>32</v>
      </c>
      <c r="I155" s="585" t="s">
        <v>113</v>
      </c>
      <c r="J155" s="16" t="s">
        <v>51</v>
      </c>
      <c r="K155" s="32">
        <f>4927.6+24.6</f>
        <v>4952.2000000000007</v>
      </c>
      <c r="L155" s="32">
        <v>0</v>
      </c>
      <c r="M155" s="32">
        <v>4952.2000000000007</v>
      </c>
    </row>
    <row r="156" spans="1:13" s="13" customFormat="1" ht="90" x14ac:dyDescent="0.35">
      <c r="A156" s="17"/>
      <c r="B156" s="30" t="s">
        <v>515</v>
      </c>
      <c r="C156" s="31" t="s">
        <v>1</v>
      </c>
      <c r="D156" s="16" t="s">
        <v>47</v>
      </c>
      <c r="E156" s="16" t="s">
        <v>95</v>
      </c>
      <c r="F156" s="583" t="s">
        <v>83</v>
      </c>
      <c r="G156" s="584" t="s">
        <v>40</v>
      </c>
      <c r="H156" s="584" t="s">
        <v>32</v>
      </c>
      <c r="I156" s="585" t="s">
        <v>513</v>
      </c>
      <c r="J156" s="16"/>
      <c r="K156" s="32">
        <f t="shared" ref="K156:M156" si="24">K157</f>
        <v>779</v>
      </c>
      <c r="L156" s="32">
        <v>0</v>
      </c>
      <c r="M156" s="32">
        <v>779</v>
      </c>
    </row>
    <row r="157" spans="1:13" s="13" customFormat="1" ht="56.25" customHeight="1" x14ac:dyDescent="0.35">
      <c r="A157" s="17"/>
      <c r="B157" s="30" t="s">
        <v>50</v>
      </c>
      <c r="C157" s="31" t="s">
        <v>1</v>
      </c>
      <c r="D157" s="16" t="s">
        <v>47</v>
      </c>
      <c r="E157" s="16" t="s">
        <v>95</v>
      </c>
      <c r="F157" s="583" t="s">
        <v>83</v>
      </c>
      <c r="G157" s="584" t="s">
        <v>40</v>
      </c>
      <c r="H157" s="584" t="s">
        <v>32</v>
      </c>
      <c r="I157" s="585" t="s">
        <v>513</v>
      </c>
      <c r="J157" s="16" t="s">
        <v>51</v>
      </c>
      <c r="K157" s="32">
        <v>779</v>
      </c>
      <c r="L157" s="32">
        <v>0</v>
      </c>
      <c r="M157" s="32">
        <v>779</v>
      </c>
    </row>
    <row r="158" spans="1:13" s="13" customFormat="1" ht="57.75" customHeight="1" x14ac:dyDescent="0.35">
      <c r="A158" s="17"/>
      <c r="B158" s="30" t="s">
        <v>35</v>
      </c>
      <c r="C158" s="31" t="s">
        <v>1</v>
      </c>
      <c r="D158" s="16" t="s">
        <v>47</v>
      </c>
      <c r="E158" s="16" t="s">
        <v>95</v>
      </c>
      <c r="F158" s="583" t="s">
        <v>36</v>
      </c>
      <c r="G158" s="584" t="s">
        <v>37</v>
      </c>
      <c r="H158" s="584" t="s">
        <v>38</v>
      </c>
      <c r="I158" s="585" t="s">
        <v>39</v>
      </c>
      <c r="J158" s="16"/>
      <c r="K158" s="32">
        <f t="shared" ref="K158:M159" si="25">K159</f>
        <v>25723</v>
      </c>
      <c r="L158" s="32">
        <v>-1027.6000000000004</v>
      </c>
      <c r="M158" s="32">
        <v>24695.399999999998</v>
      </c>
    </row>
    <row r="159" spans="1:13" s="13" customFormat="1" ht="37.5" customHeight="1" x14ac:dyDescent="0.35">
      <c r="A159" s="17"/>
      <c r="B159" s="30" t="s">
        <v>328</v>
      </c>
      <c r="C159" s="31" t="s">
        <v>1</v>
      </c>
      <c r="D159" s="16" t="s">
        <v>47</v>
      </c>
      <c r="E159" s="16" t="s">
        <v>95</v>
      </c>
      <c r="F159" s="583" t="s">
        <v>36</v>
      </c>
      <c r="G159" s="584" t="s">
        <v>40</v>
      </c>
      <c r="H159" s="584" t="s">
        <v>38</v>
      </c>
      <c r="I159" s="585" t="s">
        <v>39</v>
      </c>
      <c r="J159" s="16"/>
      <c r="K159" s="32">
        <f t="shared" si="25"/>
        <v>25723</v>
      </c>
      <c r="L159" s="32">
        <v>-1027.6000000000004</v>
      </c>
      <c r="M159" s="32">
        <v>24695.399999999998</v>
      </c>
    </row>
    <row r="160" spans="1:13" s="13" customFormat="1" ht="56.25" customHeight="1" x14ac:dyDescent="0.35">
      <c r="A160" s="17"/>
      <c r="B160" s="30" t="s">
        <v>320</v>
      </c>
      <c r="C160" s="31" t="s">
        <v>1</v>
      </c>
      <c r="D160" s="16" t="s">
        <v>47</v>
      </c>
      <c r="E160" s="16" t="s">
        <v>95</v>
      </c>
      <c r="F160" s="583" t="s">
        <v>36</v>
      </c>
      <c r="G160" s="584" t="s">
        <v>40</v>
      </c>
      <c r="H160" s="584" t="s">
        <v>83</v>
      </c>
      <c r="I160" s="585" t="s">
        <v>39</v>
      </c>
      <c r="J160" s="16"/>
      <c r="K160" s="32">
        <f>K161+K166+K164</f>
        <v>25723</v>
      </c>
      <c r="L160" s="32">
        <v>-1027.6000000000004</v>
      </c>
      <c r="M160" s="32">
        <v>24695.399999999998</v>
      </c>
    </row>
    <row r="161" spans="1:13" s="13" customFormat="1" ht="36.75" customHeight="1" x14ac:dyDescent="0.35">
      <c r="A161" s="17"/>
      <c r="B161" s="33" t="s">
        <v>437</v>
      </c>
      <c r="C161" s="31" t="s">
        <v>1</v>
      </c>
      <c r="D161" s="16" t="s">
        <v>47</v>
      </c>
      <c r="E161" s="16" t="s">
        <v>95</v>
      </c>
      <c r="F161" s="583" t="s">
        <v>36</v>
      </c>
      <c r="G161" s="584" t="s">
        <v>40</v>
      </c>
      <c r="H161" s="584" t="s">
        <v>83</v>
      </c>
      <c r="I161" s="585" t="s">
        <v>86</v>
      </c>
      <c r="J161" s="16"/>
      <c r="K161" s="32">
        <f>K162+K163</f>
        <v>5759.7</v>
      </c>
      <c r="L161" s="32">
        <v>-1027.6000000000004</v>
      </c>
      <c r="M161" s="32">
        <v>4732.0999999999995</v>
      </c>
    </row>
    <row r="162" spans="1:13" s="13" customFormat="1" ht="112.5" customHeight="1" x14ac:dyDescent="0.35">
      <c r="A162" s="17"/>
      <c r="B162" s="30" t="s">
        <v>44</v>
      </c>
      <c r="C162" s="31" t="s">
        <v>1</v>
      </c>
      <c r="D162" s="16" t="s">
        <v>47</v>
      </c>
      <c r="E162" s="16" t="s">
        <v>95</v>
      </c>
      <c r="F162" s="583" t="s">
        <v>36</v>
      </c>
      <c r="G162" s="584" t="s">
        <v>40</v>
      </c>
      <c r="H162" s="584" t="s">
        <v>83</v>
      </c>
      <c r="I162" s="585" t="s">
        <v>86</v>
      </c>
      <c r="J162" s="16" t="s">
        <v>45</v>
      </c>
      <c r="K162" s="32">
        <f>5398+216.4</f>
        <v>5614.4</v>
      </c>
      <c r="L162" s="32">
        <v>-1027.6000000000004</v>
      </c>
      <c r="M162" s="575">
        <v>4586.7999999999993</v>
      </c>
    </row>
    <row r="163" spans="1:13" s="13" customFormat="1" ht="56.25" customHeight="1" x14ac:dyDescent="0.35">
      <c r="A163" s="17"/>
      <c r="B163" s="30" t="s">
        <v>50</v>
      </c>
      <c r="C163" s="31" t="s">
        <v>1</v>
      </c>
      <c r="D163" s="16" t="s">
        <v>47</v>
      </c>
      <c r="E163" s="16" t="s">
        <v>95</v>
      </c>
      <c r="F163" s="583" t="s">
        <v>36</v>
      </c>
      <c r="G163" s="584" t="s">
        <v>40</v>
      </c>
      <c r="H163" s="584" t="s">
        <v>83</v>
      </c>
      <c r="I163" s="585" t="s">
        <v>86</v>
      </c>
      <c r="J163" s="16" t="s">
        <v>51</v>
      </c>
      <c r="K163" s="32">
        <v>145.30000000000001</v>
      </c>
      <c r="L163" s="32">
        <v>0</v>
      </c>
      <c r="M163" s="32">
        <v>145.30000000000001</v>
      </c>
    </row>
    <row r="164" spans="1:13" s="13" customFormat="1" ht="54" x14ac:dyDescent="0.35">
      <c r="A164" s="17"/>
      <c r="B164" s="30" t="s">
        <v>556</v>
      </c>
      <c r="C164" s="31" t="s">
        <v>1</v>
      </c>
      <c r="D164" s="16" t="s">
        <v>47</v>
      </c>
      <c r="E164" s="16" t="s">
        <v>95</v>
      </c>
      <c r="F164" s="583" t="s">
        <v>36</v>
      </c>
      <c r="G164" s="584" t="s">
        <v>40</v>
      </c>
      <c r="H164" s="584" t="s">
        <v>83</v>
      </c>
      <c r="I164" s="585" t="s">
        <v>557</v>
      </c>
      <c r="J164" s="16"/>
      <c r="K164" s="32">
        <f>K165</f>
        <v>6607.3</v>
      </c>
      <c r="L164" s="32">
        <v>0</v>
      </c>
      <c r="M164" s="32">
        <v>6607.3</v>
      </c>
    </row>
    <row r="165" spans="1:13" s="13" customFormat="1" ht="54" x14ac:dyDescent="0.35">
      <c r="A165" s="17"/>
      <c r="B165" s="30" t="s">
        <v>50</v>
      </c>
      <c r="C165" s="31" t="s">
        <v>1</v>
      </c>
      <c r="D165" s="16" t="s">
        <v>47</v>
      </c>
      <c r="E165" s="16" t="s">
        <v>95</v>
      </c>
      <c r="F165" s="583" t="s">
        <v>36</v>
      </c>
      <c r="G165" s="584" t="s">
        <v>40</v>
      </c>
      <c r="H165" s="584" t="s">
        <v>83</v>
      </c>
      <c r="I165" s="585" t="s">
        <v>557</v>
      </c>
      <c r="J165" s="16" t="s">
        <v>51</v>
      </c>
      <c r="K165" s="32">
        <v>6607.3</v>
      </c>
      <c r="L165" s="32">
        <v>0</v>
      </c>
      <c r="M165" s="32">
        <v>6607.3</v>
      </c>
    </row>
    <row r="166" spans="1:13" s="13" customFormat="1" ht="56.25" customHeight="1" x14ac:dyDescent="0.35">
      <c r="A166" s="17"/>
      <c r="B166" s="30" t="s">
        <v>529</v>
      </c>
      <c r="C166" s="31" t="s">
        <v>1</v>
      </c>
      <c r="D166" s="16" t="s">
        <v>47</v>
      </c>
      <c r="E166" s="16" t="s">
        <v>95</v>
      </c>
      <c r="F166" s="583" t="s">
        <v>36</v>
      </c>
      <c r="G166" s="584" t="s">
        <v>40</v>
      </c>
      <c r="H166" s="584" t="s">
        <v>83</v>
      </c>
      <c r="I166" s="585" t="s">
        <v>528</v>
      </c>
      <c r="J166" s="16"/>
      <c r="K166" s="32">
        <f>K167</f>
        <v>13356</v>
      </c>
      <c r="L166" s="32">
        <v>0</v>
      </c>
      <c r="M166" s="32">
        <v>13356</v>
      </c>
    </row>
    <row r="167" spans="1:13" s="13" customFormat="1" ht="56.25" customHeight="1" x14ac:dyDescent="0.35">
      <c r="A167" s="17"/>
      <c r="B167" s="30" t="s">
        <v>50</v>
      </c>
      <c r="C167" s="31" t="s">
        <v>1</v>
      </c>
      <c r="D167" s="16" t="s">
        <v>47</v>
      </c>
      <c r="E167" s="16" t="s">
        <v>95</v>
      </c>
      <c r="F167" s="583" t="s">
        <v>36</v>
      </c>
      <c r="G167" s="584" t="s">
        <v>40</v>
      </c>
      <c r="H167" s="584" t="s">
        <v>83</v>
      </c>
      <c r="I167" s="585" t="s">
        <v>528</v>
      </c>
      <c r="J167" s="16" t="s">
        <v>51</v>
      </c>
      <c r="K167" s="32">
        <f>400.7+12955.3</f>
        <v>13356</v>
      </c>
      <c r="L167" s="32">
        <v>0</v>
      </c>
      <c r="M167" s="32">
        <v>13356</v>
      </c>
    </row>
    <row r="168" spans="1:13" s="13" customFormat="1" ht="18.75" customHeight="1" x14ac:dyDescent="0.35">
      <c r="A168" s="17"/>
      <c r="B168" s="30" t="s">
        <v>172</v>
      </c>
      <c r="C168" s="31" t="s">
        <v>1</v>
      </c>
      <c r="D168" s="16" t="s">
        <v>60</v>
      </c>
      <c r="E168" s="16"/>
      <c r="F168" s="583"/>
      <c r="G168" s="584"/>
      <c r="H168" s="584"/>
      <c r="I168" s="585"/>
      <c r="J168" s="16"/>
      <c r="K168" s="294">
        <f>K169+K179</f>
        <v>46753.399999999994</v>
      </c>
      <c r="L168" s="294">
        <v>0</v>
      </c>
      <c r="M168" s="294">
        <v>46753.399999999994</v>
      </c>
    </row>
    <row r="169" spans="1:13" s="13" customFormat="1" ht="18" x14ac:dyDescent="0.35">
      <c r="A169" s="17"/>
      <c r="B169" s="30" t="s">
        <v>453</v>
      </c>
      <c r="C169" s="31" t="s">
        <v>1</v>
      </c>
      <c r="D169" s="16" t="s">
        <v>60</v>
      </c>
      <c r="E169" s="16" t="s">
        <v>32</v>
      </c>
      <c r="F169" s="583"/>
      <c r="G169" s="584"/>
      <c r="H169" s="584"/>
      <c r="I169" s="585"/>
      <c r="J169" s="16"/>
      <c r="K169" s="294">
        <f>K170</f>
        <v>43419.7</v>
      </c>
      <c r="L169" s="294">
        <v>0</v>
      </c>
      <c r="M169" s="294">
        <v>43419.7</v>
      </c>
    </row>
    <row r="170" spans="1:13" s="13" customFormat="1" ht="72" x14ac:dyDescent="0.35">
      <c r="A170" s="17"/>
      <c r="B170" s="392" t="s">
        <v>321</v>
      </c>
      <c r="C170" s="31" t="s">
        <v>1</v>
      </c>
      <c r="D170" s="16" t="s">
        <v>60</v>
      </c>
      <c r="E170" s="16" t="s">
        <v>32</v>
      </c>
      <c r="F170" s="583" t="s">
        <v>99</v>
      </c>
      <c r="G170" s="584" t="s">
        <v>37</v>
      </c>
      <c r="H170" s="584" t="s">
        <v>38</v>
      </c>
      <c r="I170" s="585" t="s">
        <v>39</v>
      </c>
      <c r="J170" s="16"/>
      <c r="K170" s="32">
        <f>K172</f>
        <v>43419.7</v>
      </c>
      <c r="L170" s="32">
        <v>0</v>
      </c>
      <c r="M170" s="32">
        <v>43419.7</v>
      </c>
    </row>
    <row r="171" spans="1:13" s="13" customFormat="1" ht="36" x14ac:dyDescent="0.35">
      <c r="A171" s="17"/>
      <c r="B171" s="391" t="s">
        <v>459</v>
      </c>
      <c r="C171" s="31" t="s">
        <v>1</v>
      </c>
      <c r="D171" s="16" t="s">
        <v>60</v>
      </c>
      <c r="E171" s="16" t="s">
        <v>32</v>
      </c>
      <c r="F171" s="583" t="s">
        <v>99</v>
      </c>
      <c r="G171" s="584" t="s">
        <v>460</v>
      </c>
      <c r="H171" s="584" t="s">
        <v>38</v>
      </c>
      <c r="I171" s="585" t="s">
        <v>39</v>
      </c>
      <c r="J171" s="16"/>
      <c r="K171" s="32">
        <f>K172</f>
        <v>43419.7</v>
      </c>
      <c r="L171" s="32">
        <v>0</v>
      </c>
      <c r="M171" s="32">
        <v>43419.7</v>
      </c>
    </row>
    <row r="172" spans="1:13" s="13" customFormat="1" ht="54" x14ac:dyDescent="0.35">
      <c r="A172" s="17"/>
      <c r="B172" s="30" t="s">
        <v>451</v>
      </c>
      <c r="C172" s="31" t="s">
        <v>1</v>
      </c>
      <c r="D172" s="16" t="s">
        <v>60</v>
      </c>
      <c r="E172" s="16" t="s">
        <v>32</v>
      </c>
      <c r="F172" s="583" t="s">
        <v>99</v>
      </c>
      <c r="G172" s="584" t="s">
        <v>460</v>
      </c>
      <c r="H172" s="584" t="s">
        <v>448</v>
      </c>
      <c r="I172" s="585" t="s">
        <v>39</v>
      </c>
      <c r="J172" s="16"/>
      <c r="K172" s="32">
        <f>K173+K175+K177</f>
        <v>43419.7</v>
      </c>
      <c r="L172" s="32">
        <v>0</v>
      </c>
      <c r="M172" s="32">
        <v>43419.7</v>
      </c>
    </row>
    <row r="173" spans="1:13" s="13" customFormat="1" ht="108" x14ac:dyDescent="0.35">
      <c r="A173" s="17"/>
      <c r="B173" s="30" t="s">
        <v>452</v>
      </c>
      <c r="C173" s="31" t="s">
        <v>1</v>
      </c>
      <c r="D173" s="16" t="s">
        <v>60</v>
      </c>
      <c r="E173" s="16" t="s">
        <v>32</v>
      </c>
      <c r="F173" s="583" t="s">
        <v>99</v>
      </c>
      <c r="G173" s="584" t="s">
        <v>460</v>
      </c>
      <c r="H173" s="584" t="s">
        <v>448</v>
      </c>
      <c r="I173" s="585" t="s">
        <v>449</v>
      </c>
      <c r="J173" s="16"/>
      <c r="K173" s="32">
        <f>K174</f>
        <v>21532.7</v>
      </c>
      <c r="L173" s="32">
        <v>0</v>
      </c>
      <c r="M173" s="32">
        <v>21532.7</v>
      </c>
    </row>
    <row r="174" spans="1:13" s="13" customFormat="1" ht="54" x14ac:dyDescent="0.35">
      <c r="A174" s="17"/>
      <c r="B174" s="30" t="s">
        <v>198</v>
      </c>
      <c r="C174" s="31" t="s">
        <v>1</v>
      </c>
      <c r="D174" s="16" t="s">
        <v>60</v>
      </c>
      <c r="E174" s="16" t="s">
        <v>32</v>
      </c>
      <c r="F174" s="583" t="s">
        <v>99</v>
      </c>
      <c r="G174" s="584" t="s">
        <v>460</v>
      </c>
      <c r="H174" s="584" t="s">
        <v>448</v>
      </c>
      <c r="I174" s="585" t="s">
        <v>449</v>
      </c>
      <c r="J174" s="16" t="s">
        <v>199</v>
      </c>
      <c r="K174" s="32">
        <v>21532.7</v>
      </c>
      <c r="L174" s="32">
        <v>0</v>
      </c>
      <c r="M174" s="32">
        <v>21532.7</v>
      </c>
    </row>
    <row r="175" spans="1:13" s="13" customFormat="1" ht="108" x14ac:dyDescent="0.35">
      <c r="A175" s="17"/>
      <c r="B175" s="30" t="s">
        <v>452</v>
      </c>
      <c r="C175" s="31" t="s">
        <v>1</v>
      </c>
      <c r="D175" s="16" t="s">
        <v>60</v>
      </c>
      <c r="E175" s="16" t="s">
        <v>32</v>
      </c>
      <c r="F175" s="583" t="s">
        <v>99</v>
      </c>
      <c r="G175" s="584" t="s">
        <v>460</v>
      </c>
      <c r="H175" s="584" t="s">
        <v>448</v>
      </c>
      <c r="I175" s="585" t="s">
        <v>450</v>
      </c>
      <c r="J175" s="16"/>
      <c r="K175" s="32">
        <f>K176</f>
        <v>15225.8</v>
      </c>
      <c r="L175" s="32">
        <v>0</v>
      </c>
      <c r="M175" s="32">
        <v>15225.8</v>
      </c>
    </row>
    <row r="176" spans="1:13" s="13" customFormat="1" ht="54" x14ac:dyDescent="0.35">
      <c r="A176" s="17"/>
      <c r="B176" s="237" t="s">
        <v>198</v>
      </c>
      <c r="C176" s="31" t="s">
        <v>1</v>
      </c>
      <c r="D176" s="16" t="s">
        <v>60</v>
      </c>
      <c r="E176" s="16" t="s">
        <v>32</v>
      </c>
      <c r="F176" s="583" t="s">
        <v>99</v>
      </c>
      <c r="G176" s="584" t="s">
        <v>460</v>
      </c>
      <c r="H176" s="584" t="s">
        <v>448</v>
      </c>
      <c r="I176" s="585" t="s">
        <v>450</v>
      </c>
      <c r="J176" s="16" t="s">
        <v>199</v>
      </c>
      <c r="K176" s="32">
        <v>15225.8</v>
      </c>
      <c r="L176" s="32">
        <v>0</v>
      </c>
      <c r="M176" s="32">
        <v>15225.8</v>
      </c>
    </row>
    <row r="177" spans="1:13" s="13" customFormat="1" ht="108" x14ac:dyDescent="0.35">
      <c r="A177" s="17"/>
      <c r="B177" s="30" t="s">
        <v>452</v>
      </c>
      <c r="C177" s="31" t="s">
        <v>1</v>
      </c>
      <c r="D177" s="16" t="s">
        <v>60</v>
      </c>
      <c r="E177" s="16" t="s">
        <v>32</v>
      </c>
      <c r="F177" s="583" t="s">
        <v>99</v>
      </c>
      <c r="G177" s="584" t="s">
        <v>460</v>
      </c>
      <c r="H177" s="584" t="s">
        <v>448</v>
      </c>
      <c r="I177" s="585" t="s">
        <v>506</v>
      </c>
      <c r="J177" s="16"/>
      <c r="K177" s="32">
        <f>K178</f>
        <v>6661.2000000000007</v>
      </c>
      <c r="L177" s="32">
        <v>0</v>
      </c>
      <c r="M177" s="32">
        <v>6661.2000000000007</v>
      </c>
    </row>
    <row r="178" spans="1:13" s="13" customFormat="1" ht="54" x14ac:dyDescent="0.35">
      <c r="A178" s="17"/>
      <c r="B178" s="30" t="s">
        <v>198</v>
      </c>
      <c r="C178" s="31" t="s">
        <v>1</v>
      </c>
      <c r="D178" s="16" t="s">
        <v>60</v>
      </c>
      <c r="E178" s="16" t="s">
        <v>32</v>
      </c>
      <c r="F178" s="583" t="s">
        <v>99</v>
      </c>
      <c r="G178" s="584" t="s">
        <v>460</v>
      </c>
      <c r="H178" s="584" t="s">
        <v>448</v>
      </c>
      <c r="I178" s="585" t="s">
        <v>506</v>
      </c>
      <c r="J178" s="16" t="s">
        <v>199</v>
      </c>
      <c r="K178" s="32">
        <f>1213.9+5447.3</f>
        <v>6661.2000000000007</v>
      </c>
      <c r="L178" s="32">
        <v>0</v>
      </c>
      <c r="M178" s="32">
        <v>6661.2000000000007</v>
      </c>
    </row>
    <row r="179" spans="1:13" s="13" customFormat="1" ht="18.75" customHeight="1" x14ac:dyDescent="0.35">
      <c r="A179" s="17"/>
      <c r="B179" s="30" t="s">
        <v>475</v>
      </c>
      <c r="C179" s="31" t="s">
        <v>1</v>
      </c>
      <c r="D179" s="16" t="s">
        <v>60</v>
      </c>
      <c r="E179" s="16" t="s">
        <v>58</v>
      </c>
      <c r="F179" s="583"/>
      <c r="G179" s="584"/>
      <c r="H179" s="584"/>
      <c r="I179" s="585"/>
      <c r="J179" s="16"/>
      <c r="K179" s="294">
        <f>K180</f>
        <v>3333.7</v>
      </c>
      <c r="L179" s="294">
        <v>0</v>
      </c>
      <c r="M179" s="294">
        <v>3333.7</v>
      </c>
    </row>
    <row r="180" spans="1:13" s="13" customFormat="1" ht="75" customHeight="1" x14ac:dyDescent="0.35">
      <c r="A180" s="17"/>
      <c r="B180" s="30" t="s">
        <v>476</v>
      </c>
      <c r="C180" s="31" t="s">
        <v>1</v>
      </c>
      <c r="D180" s="16" t="s">
        <v>60</v>
      </c>
      <c r="E180" s="16" t="s">
        <v>58</v>
      </c>
      <c r="F180" s="583" t="s">
        <v>99</v>
      </c>
      <c r="G180" s="584" t="s">
        <v>37</v>
      </c>
      <c r="H180" s="584" t="s">
        <v>38</v>
      </c>
      <c r="I180" s="585" t="s">
        <v>39</v>
      </c>
      <c r="J180" s="16"/>
      <c r="K180" s="294">
        <f>K181+K185</f>
        <v>3333.7</v>
      </c>
      <c r="L180" s="294">
        <v>0</v>
      </c>
      <c r="M180" s="294">
        <v>3333.7</v>
      </c>
    </row>
    <row r="181" spans="1:13" s="13" customFormat="1" ht="36" x14ac:dyDescent="0.35">
      <c r="A181" s="17"/>
      <c r="B181" s="390" t="s">
        <v>328</v>
      </c>
      <c r="C181" s="31" t="s">
        <v>1</v>
      </c>
      <c r="D181" s="16" t="s">
        <v>60</v>
      </c>
      <c r="E181" s="16" t="s">
        <v>58</v>
      </c>
      <c r="F181" s="583" t="s">
        <v>99</v>
      </c>
      <c r="G181" s="584" t="s">
        <v>25</v>
      </c>
      <c r="H181" s="584" t="s">
        <v>38</v>
      </c>
      <c r="I181" s="585" t="s">
        <v>39</v>
      </c>
      <c r="J181" s="16"/>
      <c r="K181" s="32">
        <f>K182</f>
        <v>2109.1999999999998</v>
      </c>
      <c r="L181" s="32">
        <v>0</v>
      </c>
      <c r="M181" s="32">
        <v>2109.1999999999998</v>
      </c>
    </row>
    <row r="182" spans="1:13" s="13" customFormat="1" ht="36" x14ac:dyDescent="0.35">
      <c r="A182" s="17"/>
      <c r="B182" s="319" t="s">
        <v>486</v>
      </c>
      <c r="C182" s="31" t="s">
        <v>1</v>
      </c>
      <c r="D182" s="16" t="s">
        <v>60</v>
      </c>
      <c r="E182" s="16" t="s">
        <v>58</v>
      </c>
      <c r="F182" s="583" t="s">
        <v>99</v>
      </c>
      <c r="G182" s="584" t="s">
        <v>25</v>
      </c>
      <c r="H182" s="584" t="s">
        <v>221</v>
      </c>
      <c r="I182" s="585" t="s">
        <v>39</v>
      </c>
      <c r="J182" s="16"/>
      <c r="K182" s="32">
        <f t="shared" ref="K182:M183" si="26">K183</f>
        <v>2109.1999999999998</v>
      </c>
      <c r="L182" s="32">
        <v>0</v>
      </c>
      <c r="M182" s="32">
        <v>2109.1999999999998</v>
      </c>
    </row>
    <row r="183" spans="1:13" s="13" customFormat="1" ht="18" x14ac:dyDescent="0.35">
      <c r="A183" s="17"/>
      <c r="B183" s="319" t="s">
        <v>487</v>
      </c>
      <c r="C183" s="31" t="s">
        <v>1</v>
      </c>
      <c r="D183" s="16" t="s">
        <v>60</v>
      </c>
      <c r="E183" s="16" t="s">
        <v>58</v>
      </c>
      <c r="F183" s="583" t="s">
        <v>99</v>
      </c>
      <c r="G183" s="584" t="s">
        <v>25</v>
      </c>
      <c r="H183" s="584" t="s">
        <v>221</v>
      </c>
      <c r="I183" s="585" t="s">
        <v>485</v>
      </c>
      <c r="J183" s="16"/>
      <c r="K183" s="32">
        <f t="shared" si="26"/>
        <v>2109.1999999999998</v>
      </c>
      <c r="L183" s="32">
        <v>0</v>
      </c>
      <c r="M183" s="32">
        <v>2109.1999999999998</v>
      </c>
    </row>
    <row r="184" spans="1:13" s="13" customFormat="1" ht="54" x14ac:dyDescent="0.35">
      <c r="A184" s="17"/>
      <c r="B184" s="319" t="s">
        <v>50</v>
      </c>
      <c r="C184" s="31" t="s">
        <v>1</v>
      </c>
      <c r="D184" s="16" t="s">
        <v>60</v>
      </c>
      <c r="E184" s="16" t="s">
        <v>58</v>
      </c>
      <c r="F184" s="583" t="s">
        <v>99</v>
      </c>
      <c r="G184" s="584" t="s">
        <v>25</v>
      </c>
      <c r="H184" s="584" t="s">
        <v>221</v>
      </c>
      <c r="I184" s="585" t="s">
        <v>485</v>
      </c>
      <c r="J184" s="16" t="s">
        <v>51</v>
      </c>
      <c r="K184" s="32">
        <v>2109.1999999999998</v>
      </c>
      <c r="L184" s="32">
        <v>0</v>
      </c>
      <c r="M184" s="32">
        <v>2109.1999999999998</v>
      </c>
    </row>
    <row r="185" spans="1:13" s="13" customFormat="1" ht="56.25" customHeight="1" x14ac:dyDescent="0.35">
      <c r="A185" s="17"/>
      <c r="B185" s="30" t="s">
        <v>477</v>
      </c>
      <c r="C185" s="31" t="s">
        <v>1</v>
      </c>
      <c r="D185" s="16" t="s">
        <v>60</v>
      </c>
      <c r="E185" s="16" t="s">
        <v>58</v>
      </c>
      <c r="F185" s="583" t="s">
        <v>99</v>
      </c>
      <c r="G185" s="584" t="s">
        <v>29</v>
      </c>
      <c r="H185" s="584" t="s">
        <v>38</v>
      </c>
      <c r="I185" s="585" t="s">
        <v>39</v>
      </c>
      <c r="J185" s="16"/>
      <c r="K185" s="294">
        <f t="shared" ref="K185:M187" si="27">K186</f>
        <v>1224.5</v>
      </c>
      <c r="L185" s="294">
        <v>0</v>
      </c>
      <c r="M185" s="294">
        <v>1224.5</v>
      </c>
    </row>
    <row r="186" spans="1:13" s="13" customFormat="1" ht="56.25" customHeight="1" x14ac:dyDescent="0.35">
      <c r="A186" s="17"/>
      <c r="B186" s="30" t="s">
        <v>478</v>
      </c>
      <c r="C186" s="31" t="s">
        <v>1</v>
      </c>
      <c r="D186" s="16" t="s">
        <v>60</v>
      </c>
      <c r="E186" s="16" t="s">
        <v>58</v>
      </c>
      <c r="F186" s="583" t="s">
        <v>99</v>
      </c>
      <c r="G186" s="584" t="s">
        <v>29</v>
      </c>
      <c r="H186" s="584" t="s">
        <v>32</v>
      </c>
      <c r="I186" s="585" t="s">
        <v>39</v>
      </c>
      <c r="J186" s="16"/>
      <c r="K186" s="294">
        <f t="shared" si="27"/>
        <v>1224.5</v>
      </c>
      <c r="L186" s="294">
        <v>0</v>
      </c>
      <c r="M186" s="294">
        <v>1224.5</v>
      </c>
    </row>
    <row r="187" spans="1:13" s="13" customFormat="1" ht="36" x14ac:dyDescent="0.35">
      <c r="A187" s="17"/>
      <c r="B187" s="30" t="s">
        <v>479</v>
      </c>
      <c r="C187" s="31" t="s">
        <v>1</v>
      </c>
      <c r="D187" s="16" t="s">
        <v>60</v>
      </c>
      <c r="E187" s="16" t="s">
        <v>58</v>
      </c>
      <c r="F187" s="583" t="s">
        <v>99</v>
      </c>
      <c r="G187" s="584" t="s">
        <v>29</v>
      </c>
      <c r="H187" s="584" t="s">
        <v>32</v>
      </c>
      <c r="I187" s="585" t="s">
        <v>480</v>
      </c>
      <c r="J187" s="16"/>
      <c r="K187" s="294">
        <f t="shared" si="27"/>
        <v>1224.5</v>
      </c>
      <c r="L187" s="294">
        <v>0</v>
      </c>
      <c r="M187" s="294">
        <v>1224.5</v>
      </c>
    </row>
    <row r="188" spans="1:13" s="13" customFormat="1" ht="56.25" customHeight="1" x14ac:dyDescent="0.35">
      <c r="A188" s="17"/>
      <c r="B188" s="30" t="s">
        <v>50</v>
      </c>
      <c r="C188" s="31" t="s">
        <v>1</v>
      </c>
      <c r="D188" s="16" t="s">
        <v>60</v>
      </c>
      <c r="E188" s="16" t="s">
        <v>58</v>
      </c>
      <c r="F188" s="583" t="s">
        <v>99</v>
      </c>
      <c r="G188" s="584" t="s">
        <v>29</v>
      </c>
      <c r="H188" s="584" t="s">
        <v>32</v>
      </c>
      <c r="I188" s="585" t="s">
        <v>480</v>
      </c>
      <c r="J188" s="16" t="s">
        <v>51</v>
      </c>
      <c r="K188" s="32">
        <v>1224.5</v>
      </c>
      <c r="L188" s="32">
        <v>0</v>
      </c>
      <c r="M188" s="32">
        <v>1224.5</v>
      </c>
    </row>
    <row r="189" spans="1:13" s="13" customFormat="1" ht="18" x14ac:dyDescent="0.35">
      <c r="A189" s="17"/>
      <c r="B189" s="30" t="s">
        <v>174</v>
      </c>
      <c r="C189" s="31" t="s">
        <v>1</v>
      </c>
      <c r="D189" s="16" t="s">
        <v>219</v>
      </c>
      <c r="E189" s="16"/>
      <c r="F189" s="583"/>
      <c r="G189" s="584"/>
      <c r="H189" s="584"/>
      <c r="I189" s="585"/>
      <c r="J189" s="16"/>
      <c r="K189" s="32">
        <f>K190</f>
        <v>112.4</v>
      </c>
      <c r="L189" s="32">
        <v>0</v>
      </c>
      <c r="M189" s="32">
        <v>112.4</v>
      </c>
    </row>
    <row r="190" spans="1:13" s="13" customFormat="1" ht="36" x14ac:dyDescent="0.35">
      <c r="A190" s="17"/>
      <c r="B190" s="30" t="s">
        <v>523</v>
      </c>
      <c r="C190" s="31" t="s">
        <v>1</v>
      </c>
      <c r="D190" s="16" t="s">
        <v>219</v>
      </c>
      <c r="E190" s="16" t="s">
        <v>60</v>
      </c>
      <c r="F190" s="583"/>
      <c r="G190" s="584"/>
      <c r="H190" s="584"/>
      <c r="I190" s="585"/>
      <c r="J190" s="16"/>
      <c r="K190" s="32">
        <f t="shared" ref="K190:M194" si="28">K191</f>
        <v>112.4</v>
      </c>
      <c r="L190" s="32">
        <v>0</v>
      </c>
      <c r="M190" s="32">
        <v>112.4</v>
      </c>
    </row>
    <row r="191" spans="1:13" s="13" customFormat="1" ht="56.25" customHeight="1" x14ac:dyDescent="0.35">
      <c r="A191" s="17"/>
      <c r="B191" s="30" t="s">
        <v>35</v>
      </c>
      <c r="C191" s="31" t="s">
        <v>1</v>
      </c>
      <c r="D191" s="16" t="s">
        <v>219</v>
      </c>
      <c r="E191" s="16" t="s">
        <v>60</v>
      </c>
      <c r="F191" s="583" t="s">
        <v>36</v>
      </c>
      <c r="G191" s="584" t="s">
        <v>37</v>
      </c>
      <c r="H191" s="584" t="s">
        <v>38</v>
      </c>
      <c r="I191" s="585" t="s">
        <v>39</v>
      </c>
      <c r="J191" s="16"/>
      <c r="K191" s="32">
        <f t="shared" si="28"/>
        <v>112.4</v>
      </c>
      <c r="L191" s="32">
        <v>0</v>
      </c>
      <c r="M191" s="32">
        <v>112.4</v>
      </c>
    </row>
    <row r="192" spans="1:13" s="13" customFormat="1" ht="36" customHeight="1" x14ac:dyDescent="0.35">
      <c r="A192" s="17"/>
      <c r="B192" s="30" t="s">
        <v>328</v>
      </c>
      <c r="C192" s="31" t="s">
        <v>1</v>
      </c>
      <c r="D192" s="16" t="s">
        <v>219</v>
      </c>
      <c r="E192" s="16" t="s">
        <v>60</v>
      </c>
      <c r="F192" s="583" t="s">
        <v>36</v>
      </c>
      <c r="G192" s="584" t="s">
        <v>40</v>
      </c>
      <c r="H192" s="584" t="s">
        <v>38</v>
      </c>
      <c r="I192" s="585" t="s">
        <v>39</v>
      </c>
      <c r="J192" s="16"/>
      <c r="K192" s="32">
        <f t="shared" si="28"/>
        <v>112.4</v>
      </c>
      <c r="L192" s="32">
        <v>0</v>
      </c>
      <c r="M192" s="32">
        <v>112.4</v>
      </c>
    </row>
    <row r="193" spans="1:13" s="13" customFormat="1" ht="18" x14ac:dyDescent="0.35">
      <c r="A193" s="17"/>
      <c r="B193" s="30" t="s">
        <v>57</v>
      </c>
      <c r="C193" s="31" t="s">
        <v>1</v>
      </c>
      <c r="D193" s="16" t="s">
        <v>219</v>
      </c>
      <c r="E193" s="16" t="s">
        <v>60</v>
      </c>
      <c r="F193" s="583" t="s">
        <v>36</v>
      </c>
      <c r="G193" s="584" t="s">
        <v>40</v>
      </c>
      <c r="H193" s="584" t="s">
        <v>58</v>
      </c>
      <c r="I193" s="585" t="s">
        <v>39</v>
      </c>
      <c r="J193" s="16"/>
      <c r="K193" s="32">
        <f t="shared" si="28"/>
        <v>112.4</v>
      </c>
      <c r="L193" s="32">
        <v>0</v>
      </c>
      <c r="M193" s="32">
        <v>112.4</v>
      </c>
    </row>
    <row r="194" spans="1:13" s="13" customFormat="1" ht="36" x14ac:dyDescent="0.35">
      <c r="A194" s="17"/>
      <c r="B194" s="30" t="s">
        <v>525</v>
      </c>
      <c r="C194" s="31" t="s">
        <v>1</v>
      </c>
      <c r="D194" s="16" t="s">
        <v>219</v>
      </c>
      <c r="E194" s="16" t="s">
        <v>60</v>
      </c>
      <c r="F194" s="583" t="s">
        <v>36</v>
      </c>
      <c r="G194" s="584" t="s">
        <v>40</v>
      </c>
      <c r="H194" s="584" t="s">
        <v>58</v>
      </c>
      <c r="I194" s="585" t="s">
        <v>524</v>
      </c>
      <c r="J194" s="16"/>
      <c r="K194" s="32">
        <f t="shared" si="28"/>
        <v>112.4</v>
      </c>
      <c r="L194" s="32">
        <v>0</v>
      </c>
      <c r="M194" s="32">
        <v>112.4</v>
      </c>
    </row>
    <row r="195" spans="1:13" s="13" customFormat="1" ht="56.25" customHeight="1" x14ac:dyDescent="0.35">
      <c r="A195" s="17"/>
      <c r="B195" s="30" t="s">
        <v>50</v>
      </c>
      <c r="C195" s="31" t="s">
        <v>1</v>
      </c>
      <c r="D195" s="16" t="s">
        <v>219</v>
      </c>
      <c r="E195" s="16" t="s">
        <v>60</v>
      </c>
      <c r="F195" s="583" t="s">
        <v>36</v>
      </c>
      <c r="G195" s="584" t="s">
        <v>40</v>
      </c>
      <c r="H195" s="584" t="s">
        <v>58</v>
      </c>
      <c r="I195" s="585" t="s">
        <v>524</v>
      </c>
      <c r="J195" s="16" t="s">
        <v>51</v>
      </c>
      <c r="K195" s="32">
        <v>112.4</v>
      </c>
      <c r="L195" s="32">
        <v>0</v>
      </c>
      <c r="M195" s="32">
        <v>112.4</v>
      </c>
    </row>
    <row r="196" spans="1:13" s="123" customFormat="1" ht="18.75" customHeight="1" x14ac:dyDescent="0.35">
      <c r="A196" s="17"/>
      <c r="B196" s="30" t="s">
        <v>114</v>
      </c>
      <c r="C196" s="31" t="s">
        <v>1</v>
      </c>
      <c r="D196" s="16" t="s">
        <v>99</v>
      </c>
      <c r="E196" s="16"/>
      <c r="F196" s="583"/>
      <c r="G196" s="584"/>
      <c r="H196" s="584"/>
      <c r="I196" s="585"/>
      <c r="J196" s="16"/>
      <c r="K196" s="32">
        <f>K197+K203</f>
        <v>2227.6999999999998</v>
      </c>
      <c r="L196" s="32">
        <v>0</v>
      </c>
      <c r="M196" s="32">
        <v>2227.6999999999998</v>
      </c>
    </row>
    <row r="197" spans="1:13" s="123" customFormat="1" ht="18.75" customHeight="1" x14ac:dyDescent="0.35">
      <c r="A197" s="17"/>
      <c r="B197" s="30" t="s">
        <v>344</v>
      </c>
      <c r="C197" s="31" t="s">
        <v>1</v>
      </c>
      <c r="D197" s="16" t="s">
        <v>99</v>
      </c>
      <c r="E197" s="16" t="s">
        <v>32</v>
      </c>
      <c r="F197" s="583"/>
      <c r="G197" s="584"/>
      <c r="H197" s="584"/>
      <c r="I197" s="585"/>
      <c r="J197" s="16"/>
      <c r="K197" s="32">
        <f t="shared" ref="K197:M201" si="29">K198</f>
        <v>1200</v>
      </c>
      <c r="L197" s="32">
        <v>0</v>
      </c>
      <c r="M197" s="32">
        <v>1200</v>
      </c>
    </row>
    <row r="198" spans="1:13" s="123" customFormat="1" ht="56.25" customHeight="1" x14ac:dyDescent="0.35">
      <c r="A198" s="17"/>
      <c r="B198" s="37" t="s">
        <v>284</v>
      </c>
      <c r="C198" s="31" t="s">
        <v>1</v>
      </c>
      <c r="D198" s="16" t="s">
        <v>99</v>
      </c>
      <c r="E198" s="16" t="s">
        <v>32</v>
      </c>
      <c r="F198" s="583" t="s">
        <v>74</v>
      </c>
      <c r="G198" s="584" t="s">
        <v>37</v>
      </c>
      <c r="H198" s="584" t="s">
        <v>38</v>
      </c>
      <c r="I198" s="585" t="s">
        <v>39</v>
      </c>
      <c r="J198" s="16"/>
      <c r="K198" s="32">
        <f t="shared" si="29"/>
        <v>1200</v>
      </c>
      <c r="L198" s="32">
        <v>0</v>
      </c>
      <c r="M198" s="32">
        <v>1200</v>
      </c>
    </row>
    <row r="199" spans="1:13" s="123" customFormat="1" ht="37.5" customHeight="1" x14ac:dyDescent="0.35">
      <c r="A199" s="17"/>
      <c r="B199" s="30" t="s">
        <v>328</v>
      </c>
      <c r="C199" s="31" t="s">
        <v>1</v>
      </c>
      <c r="D199" s="16" t="s">
        <v>99</v>
      </c>
      <c r="E199" s="16" t="s">
        <v>32</v>
      </c>
      <c r="F199" s="583" t="s">
        <v>74</v>
      </c>
      <c r="G199" s="584" t="s">
        <v>40</v>
      </c>
      <c r="H199" s="584" t="s">
        <v>38</v>
      </c>
      <c r="I199" s="585" t="s">
        <v>39</v>
      </c>
      <c r="J199" s="16"/>
      <c r="K199" s="32">
        <f t="shared" si="29"/>
        <v>1200</v>
      </c>
      <c r="L199" s="32">
        <v>0</v>
      </c>
      <c r="M199" s="32">
        <v>1200</v>
      </c>
    </row>
    <row r="200" spans="1:13" s="123" customFormat="1" ht="93.75" customHeight="1" x14ac:dyDescent="0.35">
      <c r="A200" s="17"/>
      <c r="B200" s="33" t="s">
        <v>425</v>
      </c>
      <c r="C200" s="31" t="s">
        <v>1</v>
      </c>
      <c r="D200" s="16" t="s">
        <v>99</v>
      </c>
      <c r="E200" s="16" t="s">
        <v>32</v>
      </c>
      <c r="F200" s="583" t="s">
        <v>74</v>
      </c>
      <c r="G200" s="584" t="s">
        <v>40</v>
      </c>
      <c r="H200" s="584" t="s">
        <v>47</v>
      </c>
      <c r="I200" s="585" t="s">
        <v>39</v>
      </c>
      <c r="J200" s="16"/>
      <c r="K200" s="32">
        <f t="shared" si="29"/>
        <v>1200</v>
      </c>
      <c r="L200" s="32">
        <v>0</v>
      </c>
      <c r="M200" s="32">
        <v>1200</v>
      </c>
    </row>
    <row r="201" spans="1:13" s="123" customFormat="1" ht="72" x14ac:dyDescent="0.35">
      <c r="A201" s="17"/>
      <c r="B201" s="33" t="s">
        <v>420</v>
      </c>
      <c r="C201" s="31" t="s">
        <v>1</v>
      </c>
      <c r="D201" s="16" t="s">
        <v>99</v>
      </c>
      <c r="E201" s="16" t="s">
        <v>32</v>
      </c>
      <c r="F201" s="583" t="s">
        <v>74</v>
      </c>
      <c r="G201" s="584" t="s">
        <v>40</v>
      </c>
      <c r="H201" s="584" t="s">
        <v>47</v>
      </c>
      <c r="I201" s="585" t="s">
        <v>345</v>
      </c>
      <c r="J201" s="16"/>
      <c r="K201" s="32">
        <f t="shared" si="29"/>
        <v>1200</v>
      </c>
      <c r="L201" s="32">
        <v>0</v>
      </c>
      <c r="M201" s="32">
        <v>1200</v>
      </c>
    </row>
    <row r="202" spans="1:13" s="123" customFormat="1" ht="37.5" customHeight="1" x14ac:dyDescent="0.35">
      <c r="A202" s="17"/>
      <c r="B202" s="34" t="s">
        <v>115</v>
      </c>
      <c r="C202" s="31" t="s">
        <v>1</v>
      </c>
      <c r="D202" s="16" t="s">
        <v>99</v>
      </c>
      <c r="E202" s="16" t="s">
        <v>32</v>
      </c>
      <c r="F202" s="583" t="s">
        <v>74</v>
      </c>
      <c r="G202" s="584" t="s">
        <v>40</v>
      </c>
      <c r="H202" s="584" t="s">
        <v>47</v>
      </c>
      <c r="I202" s="585" t="s">
        <v>345</v>
      </c>
      <c r="J202" s="16" t="s">
        <v>116</v>
      </c>
      <c r="K202" s="32">
        <f>504+696</f>
        <v>1200</v>
      </c>
      <c r="L202" s="32">
        <v>0</v>
      </c>
      <c r="M202" s="32">
        <v>1200</v>
      </c>
    </row>
    <row r="203" spans="1:13" s="123" customFormat="1" ht="37.5" customHeight="1" x14ac:dyDescent="0.35">
      <c r="A203" s="17"/>
      <c r="B203" s="30" t="s">
        <v>117</v>
      </c>
      <c r="C203" s="31" t="s">
        <v>1</v>
      </c>
      <c r="D203" s="16" t="s">
        <v>99</v>
      </c>
      <c r="E203" s="16" t="s">
        <v>76</v>
      </c>
      <c r="F203" s="583"/>
      <c r="G203" s="584"/>
      <c r="H203" s="584"/>
      <c r="I203" s="585"/>
      <c r="J203" s="16"/>
      <c r="K203" s="32">
        <f>K204</f>
        <v>1027.7</v>
      </c>
      <c r="L203" s="32">
        <v>0</v>
      </c>
      <c r="M203" s="32">
        <v>1027.7</v>
      </c>
    </row>
    <row r="204" spans="1:13" s="123" customFormat="1" ht="78" customHeight="1" x14ac:dyDescent="0.35">
      <c r="A204" s="17"/>
      <c r="B204" s="30" t="s">
        <v>67</v>
      </c>
      <c r="C204" s="31" t="s">
        <v>1</v>
      </c>
      <c r="D204" s="16" t="s">
        <v>99</v>
      </c>
      <c r="E204" s="16" t="s">
        <v>76</v>
      </c>
      <c r="F204" s="583" t="s">
        <v>68</v>
      </c>
      <c r="G204" s="584" t="s">
        <v>37</v>
      </c>
      <c r="H204" s="584" t="s">
        <v>38</v>
      </c>
      <c r="I204" s="585" t="s">
        <v>39</v>
      </c>
      <c r="J204" s="16"/>
      <c r="K204" s="32">
        <f t="shared" ref="K204:M207" si="30">K205</f>
        <v>1027.7</v>
      </c>
      <c r="L204" s="32">
        <v>0</v>
      </c>
      <c r="M204" s="32">
        <v>1027.7</v>
      </c>
    </row>
    <row r="205" spans="1:13" s="123" customFormat="1" ht="37.5" customHeight="1" x14ac:dyDescent="0.35">
      <c r="A205" s="17"/>
      <c r="B205" s="30" t="s">
        <v>328</v>
      </c>
      <c r="C205" s="31" t="s">
        <v>1</v>
      </c>
      <c r="D205" s="16" t="s">
        <v>99</v>
      </c>
      <c r="E205" s="16" t="s">
        <v>76</v>
      </c>
      <c r="F205" s="583" t="s">
        <v>68</v>
      </c>
      <c r="G205" s="584" t="s">
        <v>40</v>
      </c>
      <c r="H205" s="584" t="s">
        <v>38</v>
      </c>
      <c r="I205" s="585" t="s">
        <v>39</v>
      </c>
      <c r="J205" s="16"/>
      <c r="K205" s="32">
        <f t="shared" si="30"/>
        <v>1027.7</v>
      </c>
      <c r="L205" s="32">
        <v>0</v>
      </c>
      <c r="M205" s="32">
        <v>1027.7</v>
      </c>
    </row>
    <row r="206" spans="1:13" s="123" customFormat="1" ht="56.25" customHeight="1" x14ac:dyDescent="0.35">
      <c r="A206" s="17"/>
      <c r="B206" s="33" t="s">
        <v>254</v>
      </c>
      <c r="C206" s="31" t="s">
        <v>1</v>
      </c>
      <c r="D206" s="16" t="s">
        <v>99</v>
      </c>
      <c r="E206" s="16" t="s">
        <v>76</v>
      </c>
      <c r="F206" s="583" t="s">
        <v>68</v>
      </c>
      <c r="G206" s="584" t="s">
        <v>40</v>
      </c>
      <c r="H206" s="584" t="s">
        <v>32</v>
      </c>
      <c r="I206" s="585" t="s">
        <v>39</v>
      </c>
      <c r="J206" s="16"/>
      <c r="K206" s="32">
        <f t="shared" si="30"/>
        <v>1027.7</v>
      </c>
      <c r="L206" s="32">
        <v>0</v>
      </c>
      <c r="M206" s="32">
        <v>1027.7</v>
      </c>
    </row>
    <row r="207" spans="1:13" s="123" customFormat="1" ht="53.4" customHeight="1" x14ac:dyDescent="0.35">
      <c r="A207" s="17"/>
      <c r="B207" s="33" t="s">
        <v>69</v>
      </c>
      <c r="C207" s="31" t="s">
        <v>1</v>
      </c>
      <c r="D207" s="16" t="s">
        <v>99</v>
      </c>
      <c r="E207" s="16" t="s">
        <v>76</v>
      </c>
      <c r="F207" s="583" t="s">
        <v>68</v>
      </c>
      <c r="G207" s="584" t="s">
        <v>40</v>
      </c>
      <c r="H207" s="584" t="s">
        <v>32</v>
      </c>
      <c r="I207" s="585" t="s">
        <v>70</v>
      </c>
      <c r="J207" s="16"/>
      <c r="K207" s="32">
        <f t="shared" si="30"/>
        <v>1027.7</v>
      </c>
      <c r="L207" s="32">
        <v>0</v>
      </c>
      <c r="M207" s="32">
        <v>1027.7</v>
      </c>
    </row>
    <row r="208" spans="1:13" s="123" customFormat="1" ht="56.25" customHeight="1" x14ac:dyDescent="0.35">
      <c r="A208" s="17"/>
      <c r="B208" s="34" t="s">
        <v>71</v>
      </c>
      <c r="C208" s="31" t="s">
        <v>1</v>
      </c>
      <c r="D208" s="16" t="s">
        <v>99</v>
      </c>
      <c r="E208" s="16" t="s">
        <v>76</v>
      </c>
      <c r="F208" s="583" t="s">
        <v>68</v>
      </c>
      <c r="G208" s="584" t="s">
        <v>40</v>
      </c>
      <c r="H208" s="584" t="s">
        <v>32</v>
      </c>
      <c r="I208" s="585" t="s">
        <v>70</v>
      </c>
      <c r="J208" s="16" t="s">
        <v>72</v>
      </c>
      <c r="K208" s="32">
        <v>1027.7</v>
      </c>
      <c r="L208" s="32">
        <v>0</v>
      </c>
      <c r="M208" s="32">
        <v>1027.7</v>
      </c>
    </row>
    <row r="209" spans="1:13" s="123" customFormat="1" ht="37.5" customHeight="1" x14ac:dyDescent="0.35">
      <c r="A209" s="17"/>
      <c r="B209" s="270" t="s">
        <v>372</v>
      </c>
      <c r="C209" s="31" t="s">
        <v>1</v>
      </c>
      <c r="D209" s="16" t="s">
        <v>66</v>
      </c>
      <c r="E209" s="16"/>
      <c r="F209" s="583"/>
      <c r="G209" s="584"/>
      <c r="H209" s="584"/>
      <c r="I209" s="585"/>
      <c r="J209" s="16"/>
      <c r="K209" s="32">
        <f t="shared" ref="K209:M214" si="31">K210</f>
        <v>9.4</v>
      </c>
      <c r="L209" s="32">
        <v>0</v>
      </c>
      <c r="M209" s="32">
        <v>9.4</v>
      </c>
    </row>
    <row r="210" spans="1:13" s="123" customFormat="1" ht="37.5" customHeight="1" x14ac:dyDescent="0.35">
      <c r="A210" s="17"/>
      <c r="B210" s="259" t="s">
        <v>432</v>
      </c>
      <c r="C210" s="31" t="s">
        <v>1</v>
      </c>
      <c r="D210" s="16" t="s">
        <v>66</v>
      </c>
      <c r="E210" s="16" t="s">
        <v>32</v>
      </c>
      <c r="F210" s="583"/>
      <c r="G210" s="584"/>
      <c r="H210" s="584"/>
      <c r="I210" s="585"/>
      <c r="J210" s="16"/>
      <c r="K210" s="32">
        <f t="shared" si="31"/>
        <v>9.4</v>
      </c>
      <c r="L210" s="32">
        <v>0</v>
      </c>
      <c r="M210" s="32">
        <v>9.4</v>
      </c>
    </row>
    <row r="211" spans="1:13" s="123" customFormat="1" ht="61.5" customHeight="1" x14ac:dyDescent="0.35">
      <c r="A211" s="17"/>
      <c r="B211" s="30" t="s">
        <v>35</v>
      </c>
      <c r="C211" s="31" t="s">
        <v>1</v>
      </c>
      <c r="D211" s="16" t="s">
        <v>66</v>
      </c>
      <c r="E211" s="16" t="s">
        <v>32</v>
      </c>
      <c r="F211" s="583" t="s">
        <v>36</v>
      </c>
      <c r="G211" s="584" t="s">
        <v>37</v>
      </c>
      <c r="H211" s="584" t="s">
        <v>38</v>
      </c>
      <c r="I211" s="585" t="s">
        <v>39</v>
      </c>
      <c r="J211" s="16"/>
      <c r="K211" s="32">
        <f t="shared" si="31"/>
        <v>9.4</v>
      </c>
      <c r="L211" s="32">
        <v>0</v>
      </c>
      <c r="M211" s="32">
        <v>9.4</v>
      </c>
    </row>
    <row r="212" spans="1:13" s="123" customFormat="1" ht="37.5" customHeight="1" x14ac:dyDescent="0.35">
      <c r="A212" s="17"/>
      <c r="B212" s="30" t="s">
        <v>328</v>
      </c>
      <c r="C212" s="31" t="s">
        <v>1</v>
      </c>
      <c r="D212" s="16" t="s">
        <v>66</v>
      </c>
      <c r="E212" s="16" t="s">
        <v>32</v>
      </c>
      <c r="F212" s="583" t="s">
        <v>36</v>
      </c>
      <c r="G212" s="584" t="s">
        <v>40</v>
      </c>
      <c r="H212" s="584" t="s">
        <v>38</v>
      </c>
      <c r="I212" s="585" t="s">
        <v>39</v>
      </c>
      <c r="J212" s="16"/>
      <c r="K212" s="32">
        <f t="shared" si="31"/>
        <v>9.4</v>
      </c>
      <c r="L212" s="32">
        <v>0</v>
      </c>
      <c r="M212" s="32">
        <v>9.4</v>
      </c>
    </row>
    <row r="213" spans="1:13" s="123" customFormat="1" ht="56.25" customHeight="1" x14ac:dyDescent="0.35">
      <c r="A213" s="17"/>
      <c r="B213" s="34" t="s">
        <v>369</v>
      </c>
      <c r="C213" s="31" t="s">
        <v>1</v>
      </c>
      <c r="D213" s="16" t="s">
        <v>66</v>
      </c>
      <c r="E213" s="16" t="s">
        <v>32</v>
      </c>
      <c r="F213" s="583" t="s">
        <v>36</v>
      </c>
      <c r="G213" s="584" t="s">
        <v>40</v>
      </c>
      <c r="H213" s="584" t="s">
        <v>74</v>
      </c>
      <c r="I213" s="585" t="s">
        <v>39</v>
      </c>
      <c r="J213" s="16"/>
      <c r="K213" s="32">
        <f t="shared" si="31"/>
        <v>9.4</v>
      </c>
      <c r="L213" s="32">
        <v>0</v>
      </c>
      <c r="M213" s="32">
        <v>9.4</v>
      </c>
    </row>
    <row r="214" spans="1:13" s="123" customFormat="1" ht="37.5" customHeight="1" x14ac:dyDescent="0.35">
      <c r="A214" s="17"/>
      <c r="B214" s="34" t="s">
        <v>370</v>
      </c>
      <c r="C214" s="31" t="s">
        <v>1</v>
      </c>
      <c r="D214" s="16" t="s">
        <v>66</v>
      </c>
      <c r="E214" s="16" t="s">
        <v>32</v>
      </c>
      <c r="F214" s="583" t="s">
        <v>36</v>
      </c>
      <c r="G214" s="584" t="s">
        <v>40</v>
      </c>
      <c r="H214" s="584" t="s">
        <v>74</v>
      </c>
      <c r="I214" s="585" t="s">
        <v>371</v>
      </c>
      <c r="J214" s="16"/>
      <c r="K214" s="32">
        <f t="shared" si="31"/>
        <v>9.4</v>
      </c>
      <c r="L214" s="32">
        <v>0</v>
      </c>
      <c r="M214" s="32">
        <v>9.4</v>
      </c>
    </row>
    <row r="215" spans="1:13" s="123" customFormat="1" ht="37.5" customHeight="1" x14ac:dyDescent="0.35">
      <c r="A215" s="17"/>
      <c r="B215" s="34" t="s">
        <v>372</v>
      </c>
      <c r="C215" s="31" t="s">
        <v>1</v>
      </c>
      <c r="D215" s="16" t="s">
        <v>66</v>
      </c>
      <c r="E215" s="16" t="s">
        <v>32</v>
      </c>
      <c r="F215" s="583" t="s">
        <v>36</v>
      </c>
      <c r="G215" s="584" t="s">
        <v>40</v>
      </c>
      <c r="H215" s="584" t="s">
        <v>74</v>
      </c>
      <c r="I215" s="585" t="s">
        <v>371</v>
      </c>
      <c r="J215" s="16" t="s">
        <v>373</v>
      </c>
      <c r="K215" s="32">
        <v>9.4</v>
      </c>
      <c r="L215" s="32">
        <v>0</v>
      </c>
      <c r="M215" s="32">
        <v>9.4</v>
      </c>
    </row>
    <row r="216" spans="1:13" ht="18.75" customHeight="1" x14ac:dyDescent="0.35">
      <c r="A216" s="17"/>
      <c r="B216" s="30"/>
      <c r="C216" s="31"/>
      <c r="D216" s="16"/>
      <c r="E216" s="16"/>
      <c r="F216" s="583"/>
      <c r="G216" s="584"/>
      <c r="H216" s="584"/>
      <c r="I216" s="585"/>
      <c r="J216" s="309"/>
      <c r="K216" s="32"/>
      <c r="L216" s="32"/>
      <c r="M216" s="32"/>
    </row>
    <row r="217" spans="1:13" ht="56.25" customHeight="1" x14ac:dyDescent="0.3">
      <c r="A217" s="122">
        <v>2</v>
      </c>
      <c r="B217" s="18" t="s">
        <v>2</v>
      </c>
      <c r="C217" s="25" t="s">
        <v>291</v>
      </c>
      <c r="D217" s="26"/>
      <c r="E217" s="26"/>
      <c r="F217" s="27"/>
      <c r="G217" s="28"/>
      <c r="H217" s="28"/>
      <c r="I217" s="29"/>
      <c r="J217" s="26"/>
      <c r="K217" s="46">
        <f>K218+K246+K239</f>
        <v>39625.4</v>
      </c>
      <c r="L217" s="46">
        <v>0</v>
      </c>
      <c r="M217" s="46">
        <v>39625.4</v>
      </c>
    </row>
    <row r="218" spans="1:13" s="127" customFormat="1" ht="18.75" customHeight="1" x14ac:dyDescent="0.35">
      <c r="A218" s="17"/>
      <c r="B218" s="30" t="s">
        <v>31</v>
      </c>
      <c r="C218" s="31" t="s">
        <v>291</v>
      </c>
      <c r="D218" s="16" t="s">
        <v>32</v>
      </c>
      <c r="E218" s="16"/>
      <c r="F218" s="583"/>
      <c r="G218" s="584"/>
      <c r="H218" s="584"/>
      <c r="I218" s="585"/>
      <c r="J218" s="16"/>
      <c r="K218" s="32">
        <f>K219+K230</f>
        <v>32526.6</v>
      </c>
      <c r="L218" s="32">
        <v>0</v>
      </c>
      <c r="M218" s="32">
        <v>32526.6</v>
      </c>
    </row>
    <row r="219" spans="1:13" s="128" customFormat="1" ht="70.2" customHeight="1" x14ac:dyDescent="0.35">
      <c r="A219" s="17"/>
      <c r="B219" s="30" t="s">
        <v>124</v>
      </c>
      <c r="C219" s="31" t="s">
        <v>291</v>
      </c>
      <c r="D219" s="16" t="s">
        <v>32</v>
      </c>
      <c r="E219" s="16" t="s">
        <v>76</v>
      </c>
      <c r="F219" s="583"/>
      <c r="G219" s="584"/>
      <c r="H219" s="584"/>
      <c r="I219" s="585"/>
      <c r="J219" s="16"/>
      <c r="K219" s="32">
        <f t="shared" ref="K219:M222" si="32">K220</f>
        <v>29218.5</v>
      </c>
      <c r="L219" s="32">
        <v>0</v>
      </c>
      <c r="M219" s="32">
        <v>29218.5</v>
      </c>
    </row>
    <row r="220" spans="1:13" s="123" customFormat="1" ht="59.25" customHeight="1" x14ac:dyDescent="0.35">
      <c r="A220" s="17"/>
      <c r="B220" s="30" t="s">
        <v>218</v>
      </c>
      <c r="C220" s="31" t="s">
        <v>291</v>
      </c>
      <c r="D220" s="16" t="s">
        <v>32</v>
      </c>
      <c r="E220" s="16" t="s">
        <v>76</v>
      </c>
      <c r="F220" s="583" t="s">
        <v>219</v>
      </c>
      <c r="G220" s="584" t="s">
        <v>37</v>
      </c>
      <c r="H220" s="584" t="s">
        <v>38</v>
      </c>
      <c r="I220" s="585" t="s">
        <v>39</v>
      </c>
      <c r="J220" s="16"/>
      <c r="K220" s="32">
        <f t="shared" si="32"/>
        <v>29218.5</v>
      </c>
      <c r="L220" s="32">
        <v>0</v>
      </c>
      <c r="M220" s="32">
        <v>29218.5</v>
      </c>
    </row>
    <row r="221" spans="1:13" s="123" customFormat="1" ht="37.5" customHeight="1" x14ac:dyDescent="0.35">
      <c r="A221" s="17"/>
      <c r="B221" s="30" t="s">
        <v>328</v>
      </c>
      <c r="C221" s="31" t="s">
        <v>291</v>
      </c>
      <c r="D221" s="16" t="s">
        <v>32</v>
      </c>
      <c r="E221" s="16" t="s">
        <v>76</v>
      </c>
      <c r="F221" s="38" t="s">
        <v>219</v>
      </c>
      <c r="G221" s="39" t="s">
        <v>40</v>
      </c>
      <c r="H221" s="584" t="s">
        <v>38</v>
      </c>
      <c r="I221" s="585" t="s">
        <v>39</v>
      </c>
      <c r="J221" s="16"/>
      <c r="K221" s="32">
        <f t="shared" ref="K221:M221" si="33">K222+K227</f>
        <v>29218.5</v>
      </c>
      <c r="L221" s="32">
        <v>0</v>
      </c>
      <c r="M221" s="32">
        <v>29218.5</v>
      </c>
    </row>
    <row r="222" spans="1:13" s="123" customFormat="1" ht="56.25" customHeight="1" x14ac:dyDescent="0.35">
      <c r="A222" s="17"/>
      <c r="B222" s="30" t="s">
        <v>292</v>
      </c>
      <c r="C222" s="31" t="s">
        <v>291</v>
      </c>
      <c r="D222" s="16" t="s">
        <v>32</v>
      </c>
      <c r="E222" s="16" t="s">
        <v>76</v>
      </c>
      <c r="F222" s="38" t="s">
        <v>219</v>
      </c>
      <c r="G222" s="39" t="s">
        <v>40</v>
      </c>
      <c r="H222" s="584" t="s">
        <v>32</v>
      </c>
      <c r="I222" s="585" t="s">
        <v>39</v>
      </c>
      <c r="J222" s="16"/>
      <c r="K222" s="32">
        <f t="shared" si="32"/>
        <v>28483</v>
      </c>
      <c r="L222" s="32">
        <v>0</v>
      </c>
      <c r="M222" s="32">
        <v>28483</v>
      </c>
    </row>
    <row r="223" spans="1:13" s="123" customFormat="1" ht="37.5" customHeight="1" x14ac:dyDescent="0.35">
      <c r="A223" s="17"/>
      <c r="B223" s="30" t="s">
        <v>42</v>
      </c>
      <c r="C223" s="31" t="s">
        <v>291</v>
      </c>
      <c r="D223" s="16" t="s">
        <v>32</v>
      </c>
      <c r="E223" s="16" t="s">
        <v>76</v>
      </c>
      <c r="F223" s="38" t="s">
        <v>219</v>
      </c>
      <c r="G223" s="39" t="s">
        <v>40</v>
      </c>
      <c r="H223" s="584" t="s">
        <v>32</v>
      </c>
      <c r="I223" s="585" t="s">
        <v>43</v>
      </c>
      <c r="J223" s="16"/>
      <c r="K223" s="32">
        <f>SUM(K224:K226)</f>
        <v>28483</v>
      </c>
      <c r="L223" s="32">
        <v>0</v>
      </c>
      <c r="M223" s="32">
        <v>28483</v>
      </c>
    </row>
    <row r="224" spans="1:13" s="123" customFormat="1" ht="112.5" customHeight="1" x14ac:dyDescent="0.35">
      <c r="A224" s="17"/>
      <c r="B224" s="30" t="s">
        <v>44</v>
      </c>
      <c r="C224" s="31" t="s">
        <v>291</v>
      </c>
      <c r="D224" s="16" t="s">
        <v>32</v>
      </c>
      <c r="E224" s="16" t="s">
        <v>76</v>
      </c>
      <c r="F224" s="38" t="s">
        <v>219</v>
      </c>
      <c r="G224" s="39" t="s">
        <v>40</v>
      </c>
      <c r="H224" s="584" t="s">
        <v>32</v>
      </c>
      <c r="I224" s="585" t="s">
        <v>43</v>
      </c>
      <c r="J224" s="16" t="s">
        <v>45</v>
      </c>
      <c r="K224" s="32">
        <f>23639.5+4127.8</f>
        <v>27767.3</v>
      </c>
      <c r="L224" s="32">
        <v>0</v>
      </c>
      <c r="M224" s="32">
        <v>27767.3</v>
      </c>
    </row>
    <row r="225" spans="1:13" s="123" customFormat="1" ht="56.25" customHeight="1" x14ac:dyDescent="0.35">
      <c r="A225" s="17"/>
      <c r="B225" s="30" t="s">
        <v>50</v>
      </c>
      <c r="C225" s="31" t="s">
        <v>291</v>
      </c>
      <c r="D225" s="16" t="s">
        <v>32</v>
      </c>
      <c r="E225" s="16" t="s">
        <v>76</v>
      </c>
      <c r="F225" s="38" t="s">
        <v>219</v>
      </c>
      <c r="G225" s="39" t="s">
        <v>40</v>
      </c>
      <c r="H225" s="584" t="s">
        <v>32</v>
      </c>
      <c r="I225" s="585" t="s">
        <v>43</v>
      </c>
      <c r="J225" s="16" t="s">
        <v>51</v>
      </c>
      <c r="K225" s="32">
        <f>809.7-98.8</f>
        <v>710.90000000000009</v>
      </c>
      <c r="L225" s="32">
        <v>0</v>
      </c>
      <c r="M225" s="32">
        <v>710.90000000000009</v>
      </c>
    </row>
    <row r="226" spans="1:13" s="128" customFormat="1" ht="18.75" customHeight="1" x14ac:dyDescent="0.35">
      <c r="A226" s="17"/>
      <c r="B226" s="30" t="s">
        <v>52</v>
      </c>
      <c r="C226" s="31" t="s">
        <v>291</v>
      </c>
      <c r="D226" s="16" t="s">
        <v>32</v>
      </c>
      <c r="E226" s="16" t="s">
        <v>76</v>
      </c>
      <c r="F226" s="38" t="s">
        <v>219</v>
      </c>
      <c r="G226" s="39" t="s">
        <v>40</v>
      </c>
      <c r="H226" s="584" t="s">
        <v>32</v>
      </c>
      <c r="I226" s="585" t="s">
        <v>43</v>
      </c>
      <c r="J226" s="16" t="s">
        <v>53</v>
      </c>
      <c r="K226" s="32">
        <v>4.8</v>
      </c>
      <c r="L226" s="32">
        <v>0</v>
      </c>
      <c r="M226" s="32">
        <v>4.8</v>
      </c>
    </row>
    <row r="227" spans="1:13" s="128" customFormat="1" ht="58.5" customHeight="1" x14ac:dyDescent="0.35">
      <c r="A227" s="17"/>
      <c r="B227" s="30" t="s">
        <v>311</v>
      </c>
      <c r="C227" s="31" t="s">
        <v>291</v>
      </c>
      <c r="D227" s="16" t="s">
        <v>32</v>
      </c>
      <c r="E227" s="16" t="s">
        <v>76</v>
      </c>
      <c r="F227" s="38" t="s">
        <v>219</v>
      </c>
      <c r="G227" s="39" t="s">
        <v>40</v>
      </c>
      <c r="H227" s="584" t="s">
        <v>47</v>
      </c>
      <c r="I227" s="585" t="s">
        <v>39</v>
      </c>
      <c r="J227" s="16"/>
      <c r="K227" s="32">
        <f t="shared" ref="K227:M228" si="34">K228</f>
        <v>735.5</v>
      </c>
      <c r="L227" s="32">
        <v>0</v>
      </c>
      <c r="M227" s="32">
        <v>735.5</v>
      </c>
    </row>
    <row r="228" spans="1:13" s="13" customFormat="1" ht="37.5" customHeight="1" x14ac:dyDescent="0.35">
      <c r="A228" s="17"/>
      <c r="B228" s="30" t="s">
        <v>362</v>
      </c>
      <c r="C228" s="31" t="s">
        <v>291</v>
      </c>
      <c r="D228" s="16" t="s">
        <v>32</v>
      </c>
      <c r="E228" s="16" t="s">
        <v>76</v>
      </c>
      <c r="F228" s="38" t="s">
        <v>219</v>
      </c>
      <c r="G228" s="39" t="s">
        <v>40</v>
      </c>
      <c r="H228" s="584" t="s">
        <v>47</v>
      </c>
      <c r="I228" s="585" t="s">
        <v>361</v>
      </c>
      <c r="J228" s="16"/>
      <c r="K228" s="32">
        <f t="shared" si="34"/>
        <v>735.5</v>
      </c>
      <c r="L228" s="32">
        <v>0</v>
      </c>
      <c r="M228" s="32">
        <v>735.5</v>
      </c>
    </row>
    <row r="229" spans="1:13" s="13" customFormat="1" ht="113.25" customHeight="1" x14ac:dyDescent="0.35">
      <c r="A229" s="17"/>
      <c r="B229" s="30" t="s">
        <v>44</v>
      </c>
      <c r="C229" s="31" t="s">
        <v>291</v>
      </c>
      <c r="D229" s="16" t="s">
        <v>32</v>
      </c>
      <c r="E229" s="16" t="s">
        <v>76</v>
      </c>
      <c r="F229" s="38" t="s">
        <v>219</v>
      </c>
      <c r="G229" s="39" t="s">
        <v>40</v>
      </c>
      <c r="H229" s="584" t="s">
        <v>47</v>
      </c>
      <c r="I229" s="585" t="s">
        <v>361</v>
      </c>
      <c r="J229" s="16" t="s">
        <v>45</v>
      </c>
      <c r="K229" s="32">
        <v>735.5</v>
      </c>
      <c r="L229" s="32">
        <v>0</v>
      </c>
      <c r="M229" s="32">
        <v>735.5</v>
      </c>
    </row>
    <row r="230" spans="1:13" s="123" customFormat="1" ht="18.75" customHeight="1" x14ac:dyDescent="0.35">
      <c r="A230" s="17"/>
      <c r="B230" s="30" t="s">
        <v>65</v>
      </c>
      <c r="C230" s="31" t="s">
        <v>291</v>
      </c>
      <c r="D230" s="16" t="s">
        <v>32</v>
      </c>
      <c r="E230" s="16" t="s">
        <v>66</v>
      </c>
      <c r="F230" s="38"/>
      <c r="G230" s="39"/>
      <c r="H230" s="584"/>
      <c r="I230" s="585"/>
      <c r="J230" s="16"/>
      <c r="K230" s="32">
        <f t="shared" ref="K230:M234" si="35">K231</f>
        <v>3308.1</v>
      </c>
      <c r="L230" s="32">
        <v>0</v>
      </c>
      <c r="M230" s="32">
        <v>3308.1</v>
      </c>
    </row>
    <row r="231" spans="1:13" s="123" customFormat="1" ht="60.75" customHeight="1" x14ac:dyDescent="0.35">
      <c r="A231" s="17"/>
      <c r="B231" s="30" t="s">
        <v>218</v>
      </c>
      <c r="C231" s="31" t="s">
        <v>291</v>
      </c>
      <c r="D231" s="16" t="s">
        <v>32</v>
      </c>
      <c r="E231" s="16" t="s">
        <v>66</v>
      </c>
      <c r="F231" s="38" t="s">
        <v>219</v>
      </c>
      <c r="G231" s="39" t="s">
        <v>37</v>
      </c>
      <c r="H231" s="584" t="s">
        <v>38</v>
      </c>
      <c r="I231" s="585" t="s">
        <v>39</v>
      </c>
      <c r="J231" s="16"/>
      <c r="K231" s="32">
        <f t="shared" si="35"/>
        <v>3308.1</v>
      </c>
      <c r="L231" s="32">
        <v>0</v>
      </c>
      <c r="M231" s="32">
        <v>3308.1</v>
      </c>
    </row>
    <row r="232" spans="1:13" s="13" customFormat="1" ht="37.5" customHeight="1" x14ac:dyDescent="0.35">
      <c r="A232" s="17"/>
      <c r="B232" s="30" t="s">
        <v>328</v>
      </c>
      <c r="C232" s="31" t="s">
        <v>291</v>
      </c>
      <c r="D232" s="16" t="s">
        <v>32</v>
      </c>
      <c r="E232" s="16" t="s">
        <v>66</v>
      </c>
      <c r="F232" s="38" t="s">
        <v>219</v>
      </c>
      <c r="G232" s="39" t="s">
        <v>40</v>
      </c>
      <c r="H232" s="584" t="s">
        <v>38</v>
      </c>
      <c r="I232" s="585" t="s">
        <v>39</v>
      </c>
      <c r="J232" s="16"/>
      <c r="K232" s="32">
        <f>K233+K236</f>
        <v>3308.1</v>
      </c>
      <c r="L232" s="32">
        <v>0</v>
      </c>
      <c r="M232" s="32">
        <v>3308.1</v>
      </c>
    </row>
    <row r="233" spans="1:13" s="123" customFormat="1" ht="37.5" customHeight="1" x14ac:dyDescent="0.35">
      <c r="A233" s="17"/>
      <c r="B233" s="30" t="s">
        <v>340</v>
      </c>
      <c r="C233" s="31" t="s">
        <v>291</v>
      </c>
      <c r="D233" s="16" t="s">
        <v>32</v>
      </c>
      <c r="E233" s="16" t="s">
        <v>66</v>
      </c>
      <c r="F233" s="38" t="s">
        <v>219</v>
      </c>
      <c r="G233" s="39" t="s">
        <v>40</v>
      </c>
      <c r="H233" s="584" t="s">
        <v>58</v>
      </c>
      <c r="I233" s="585" t="s">
        <v>39</v>
      </c>
      <c r="J233" s="16"/>
      <c r="K233" s="32">
        <f>K234</f>
        <v>3290.9</v>
      </c>
      <c r="L233" s="32">
        <v>0</v>
      </c>
      <c r="M233" s="32">
        <v>3290.9</v>
      </c>
    </row>
    <row r="234" spans="1:13" s="128" customFormat="1" ht="60" customHeight="1" x14ac:dyDescent="0.35">
      <c r="A234" s="17"/>
      <c r="B234" s="30" t="s">
        <v>341</v>
      </c>
      <c r="C234" s="31" t="s">
        <v>291</v>
      </c>
      <c r="D234" s="16" t="s">
        <v>32</v>
      </c>
      <c r="E234" s="16" t="s">
        <v>66</v>
      </c>
      <c r="F234" s="38" t="s">
        <v>219</v>
      </c>
      <c r="G234" s="39" t="s">
        <v>40</v>
      </c>
      <c r="H234" s="584" t="s">
        <v>58</v>
      </c>
      <c r="I234" s="585" t="s">
        <v>100</v>
      </c>
      <c r="J234" s="16"/>
      <c r="K234" s="32">
        <f t="shared" si="35"/>
        <v>3290.9</v>
      </c>
      <c r="L234" s="32">
        <v>0</v>
      </c>
      <c r="M234" s="32">
        <v>3290.9</v>
      </c>
    </row>
    <row r="235" spans="1:13" s="128" customFormat="1" ht="56.25" customHeight="1" x14ac:dyDescent="0.35">
      <c r="A235" s="17"/>
      <c r="B235" s="30" t="s">
        <v>50</v>
      </c>
      <c r="C235" s="31" t="s">
        <v>291</v>
      </c>
      <c r="D235" s="16" t="s">
        <v>32</v>
      </c>
      <c r="E235" s="16" t="s">
        <v>66</v>
      </c>
      <c r="F235" s="38" t="s">
        <v>219</v>
      </c>
      <c r="G235" s="39" t="s">
        <v>40</v>
      </c>
      <c r="H235" s="584" t="s">
        <v>58</v>
      </c>
      <c r="I235" s="585" t="s">
        <v>100</v>
      </c>
      <c r="J235" s="16" t="s">
        <v>51</v>
      </c>
      <c r="K235" s="32">
        <v>3290.9</v>
      </c>
      <c r="L235" s="32">
        <v>0</v>
      </c>
      <c r="M235" s="32">
        <v>3290.9</v>
      </c>
    </row>
    <row r="236" spans="1:13" s="128" customFormat="1" ht="33.75" customHeight="1" x14ac:dyDescent="0.35">
      <c r="A236" s="17"/>
      <c r="B236" s="30" t="s">
        <v>441</v>
      </c>
      <c r="C236" s="31" t="s">
        <v>291</v>
      </c>
      <c r="D236" s="16" t="s">
        <v>32</v>
      </c>
      <c r="E236" s="16" t="s">
        <v>66</v>
      </c>
      <c r="F236" s="38" t="s">
        <v>219</v>
      </c>
      <c r="G236" s="39" t="s">
        <v>40</v>
      </c>
      <c r="H236" s="584" t="s">
        <v>60</v>
      </c>
      <c r="I236" s="585" t="s">
        <v>39</v>
      </c>
      <c r="J236" s="16"/>
      <c r="K236" s="32">
        <f t="shared" ref="K236:M237" si="36">K237</f>
        <v>17.2</v>
      </c>
      <c r="L236" s="32">
        <v>0</v>
      </c>
      <c r="M236" s="32">
        <v>17.2</v>
      </c>
    </row>
    <row r="237" spans="1:13" s="128" customFormat="1" ht="23.4" customHeight="1" x14ac:dyDescent="0.35">
      <c r="A237" s="17"/>
      <c r="B237" s="30" t="s">
        <v>439</v>
      </c>
      <c r="C237" s="31" t="s">
        <v>291</v>
      </c>
      <c r="D237" s="16" t="s">
        <v>32</v>
      </c>
      <c r="E237" s="16" t="s">
        <v>66</v>
      </c>
      <c r="F237" s="38" t="s">
        <v>219</v>
      </c>
      <c r="G237" s="39" t="s">
        <v>40</v>
      </c>
      <c r="H237" s="584" t="s">
        <v>60</v>
      </c>
      <c r="I237" s="585" t="s">
        <v>440</v>
      </c>
      <c r="J237" s="16"/>
      <c r="K237" s="32">
        <f t="shared" si="36"/>
        <v>17.2</v>
      </c>
      <c r="L237" s="32">
        <v>0</v>
      </c>
      <c r="M237" s="32">
        <v>17.2</v>
      </c>
    </row>
    <row r="238" spans="1:13" s="128" customFormat="1" ht="56.25" customHeight="1" x14ac:dyDescent="0.35">
      <c r="A238" s="17"/>
      <c r="B238" s="30" t="s">
        <v>50</v>
      </c>
      <c r="C238" s="31" t="s">
        <v>291</v>
      </c>
      <c r="D238" s="16" t="s">
        <v>32</v>
      </c>
      <c r="E238" s="16" t="s">
        <v>66</v>
      </c>
      <c r="F238" s="38" t="s">
        <v>219</v>
      </c>
      <c r="G238" s="39" t="s">
        <v>40</v>
      </c>
      <c r="H238" s="584" t="s">
        <v>60</v>
      </c>
      <c r="I238" s="585" t="s">
        <v>440</v>
      </c>
      <c r="J238" s="16" t="s">
        <v>51</v>
      </c>
      <c r="K238" s="32">
        <v>17.2</v>
      </c>
      <c r="L238" s="32">
        <v>0</v>
      </c>
      <c r="M238" s="32">
        <v>17.2</v>
      </c>
    </row>
    <row r="239" spans="1:13" s="128" customFormat="1" ht="18" x14ac:dyDescent="0.35">
      <c r="A239" s="17"/>
      <c r="B239" s="30" t="s">
        <v>174</v>
      </c>
      <c r="C239" s="31" t="s">
        <v>291</v>
      </c>
      <c r="D239" s="16" t="s">
        <v>219</v>
      </c>
      <c r="E239" s="16"/>
      <c r="F239" s="38"/>
      <c r="G239" s="39"/>
      <c r="H239" s="584"/>
      <c r="I239" s="585"/>
      <c r="J239" s="16"/>
      <c r="K239" s="32">
        <f t="shared" ref="K239:M244" si="37">K240</f>
        <v>98.8</v>
      </c>
      <c r="L239" s="32">
        <v>0</v>
      </c>
      <c r="M239" s="32">
        <v>98.8</v>
      </c>
    </row>
    <row r="240" spans="1:13" s="128" customFormat="1" ht="36" x14ac:dyDescent="0.35">
      <c r="A240" s="17"/>
      <c r="B240" s="30" t="s">
        <v>523</v>
      </c>
      <c r="C240" s="31" t="s">
        <v>291</v>
      </c>
      <c r="D240" s="16" t="s">
        <v>219</v>
      </c>
      <c r="E240" s="16" t="s">
        <v>60</v>
      </c>
      <c r="F240" s="38"/>
      <c r="G240" s="39"/>
      <c r="H240" s="584"/>
      <c r="I240" s="585"/>
      <c r="J240" s="16"/>
      <c r="K240" s="32">
        <f t="shared" si="37"/>
        <v>98.8</v>
      </c>
      <c r="L240" s="32">
        <v>0</v>
      </c>
      <c r="M240" s="32">
        <v>98.8</v>
      </c>
    </row>
    <row r="241" spans="1:13" s="128" customFormat="1" ht="56.25" customHeight="1" x14ac:dyDescent="0.35">
      <c r="A241" s="17"/>
      <c r="B241" s="30" t="s">
        <v>218</v>
      </c>
      <c r="C241" s="31" t="s">
        <v>291</v>
      </c>
      <c r="D241" s="16" t="s">
        <v>219</v>
      </c>
      <c r="E241" s="16" t="s">
        <v>60</v>
      </c>
      <c r="F241" s="38" t="s">
        <v>219</v>
      </c>
      <c r="G241" s="39" t="s">
        <v>37</v>
      </c>
      <c r="H241" s="584" t="s">
        <v>38</v>
      </c>
      <c r="I241" s="585" t="s">
        <v>39</v>
      </c>
      <c r="J241" s="16"/>
      <c r="K241" s="32">
        <f t="shared" si="37"/>
        <v>98.8</v>
      </c>
      <c r="L241" s="32">
        <v>0</v>
      </c>
      <c r="M241" s="32">
        <v>98.8</v>
      </c>
    </row>
    <row r="242" spans="1:13" s="128" customFormat="1" ht="36" x14ac:dyDescent="0.35">
      <c r="A242" s="17"/>
      <c r="B242" s="30" t="s">
        <v>328</v>
      </c>
      <c r="C242" s="31" t="s">
        <v>291</v>
      </c>
      <c r="D242" s="16" t="s">
        <v>219</v>
      </c>
      <c r="E242" s="16" t="s">
        <v>60</v>
      </c>
      <c r="F242" s="38" t="s">
        <v>219</v>
      </c>
      <c r="G242" s="39" t="s">
        <v>40</v>
      </c>
      <c r="H242" s="584" t="s">
        <v>38</v>
      </c>
      <c r="I242" s="585" t="s">
        <v>39</v>
      </c>
      <c r="J242" s="16"/>
      <c r="K242" s="32">
        <f t="shared" si="37"/>
        <v>98.8</v>
      </c>
      <c r="L242" s="32">
        <v>0</v>
      </c>
      <c r="M242" s="32">
        <v>98.8</v>
      </c>
    </row>
    <row r="243" spans="1:13" s="128" customFormat="1" ht="56.25" customHeight="1" x14ac:dyDescent="0.35">
      <c r="A243" s="17"/>
      <c r="B243" s="30" t="s">
        <v>292</v>
      </c>
      <c r="C243" s="31" t="s">
        <v>291</v>
      </c>
      <c r="D243" s="16" t="s">
        <v>219</v>
      </c>
      <c r="E243" s="16" t="s">
        <v>60</v>
      </c>
      <c r="F243" s="38" t="s">
        <v>219</v>
      </c>
      <c r="G243" s="39" t="s">
        <v>40</v>
      </c>
      <c r="H243" s="584" t="s">
        <v>32</v>
      </c>
      <c r="I243" s="585" t="s">
        <v>39</v>
      </c>
      <c r="J243" s="16"/>
      <c r="K243" s="32">
        <f t="shared" si="37"/>
        <v>98.8</v>
      </c>
      <c r="L243" s="32">
        <v>0</v>
      </c>
      <c r="M243" s="32">
        <v>98.8</v>
      </c>
    </row>
    <row r="244" spans="1:13" s="128" customFormat="1" ht="36" x14ac:dyDescent="0.35">
      <c r="A244" s="17"/>
      <c r="B244" s="30" t="s">
        <v>525</v>
      </c>
      <c r="C244" s="31" t="s">
        <v>291</v>
      </c>
      <c r="D244" s="16" t="s">
        <v>219</v>
      </c>
      <c r="E244" s="16" t="s">
        <v>60</v>
      </c>
      <c r="F244" s="38" t="s">
        <v>219</v>
      </c>
      <c r="G244" s="39" t="s">
        <v>40</v>
      </c>
      <c r="H244" s="584" t="s">
        <v>32</v>
      </c>
      <c r="I244" s="585" t="s">
        <v>524</v>
      </c>
      <c r="J244" s="16"/>
      <c r="K244" s="32">
        <f t="shared" si="37"/>
        <v>98.8</v>
      </c>
      <c r="L244" s="32">
        <v>0</v>
      </c>
      <c r="M244" s="32">
        <v>98.8</v>
      </c>
    </row>
    <row r="245" spans="1:13" s="128" customFormat="1" ht="56.25" customHeight="1" x14ac:dyDescent="0.35">
      <c r="A245" s="17"/>
      <c r="B245" s="30" t="s">
        <v>50</v>
      </c>
      <c r="C245" s="31" t="s">
        <v>291</v>
      </c>
      <c r="D245" s="16" t="s">
        <v>219</v>
      </c>
      <c r="E245" s="16" t="s">
        <v>60</v>
      </c>
      <c r="F245" s="38" t="s">
        <v>219</v>
      </c>
      <c r="G245" s="39" t="s">
        <v>40</v>
      </c>
      <c r="H245" s="584" t="s">
        <v>32</v>
      </c>
      <c r="I245" s="585" t="s">
        <v>524</v>
      </c>
      <c r="J245" s="16" t="s">
        <v>51</v>
      </c>
      <c r="K245" s="32">
        <v>98.8</v>
      </c>
      <c r="L245" s="32">
        <v>0</v>
      </c>
      <c r="M245" s="32">
        <v>98.8</v>
      </c>
    </row>
    <row r="246" spans="1:13" s="128" customFormat="1" ht="56.25" customHeight="1" x14ac:dyDescent="0.35">
      <c r="A246" s="17"/>
      <c r="B246" s="30" t="s">
        <v>195</v>
      </c>
      <c r="C246" s="31" t="s">
        <v>291</v>
      </c>
      <c r="D246" s="16" t="s">
        <v>83</v>
      </c>
      <c r="E246" s="16"/>
      <c r="F246" s="38"/>
      <c r="G246" s="39"/>
      <c r="H246" s="584"/>
      <c r="I246" s="585"/>
      <c r="J246" s="16"/>
      <c r="K246" s="32">
        <f>K247</f>
        <v>7000</v>
      </c>
      <c r="L246" s="32">
        <v>0</v>
      </c>
      <c r="M246" s="32">
        <v>7000</v>
      </c>
    </row>
    <row r="247" spans="1:13" s="128" customFormat="1" ht="56.25" customHeight="1" x14ac:dyDescent="0.35">
      <c r="A247" s="17"/>
      <c r="B247" s="36" t="s">
        <v>196</v>
      </c>
      <c r="C247" s="31" t="s">
        <v>291</v>
      </c>
      <c r="D247" s="16" t="s">
        <v>83</v>
      </c>
      <c r="E247" s="16" t="s">
        <v>32</v>
      </c>
      <c r="F247" s="38"/>
      <c r="G247" s="39"/>
      <c r="H247" s="584"/>
      <c r="I247" s="585"/>
      <c r="J247" s="16"/>
      <c r="K247" s="32">
        <f t="shared" ref="K247:M249" si="38">K248</f>
        <v>7000</v>
      </c>
      <c r="L247" s="32">
        <v>0</v>
      </c>
      <c r="M247" s="32">
        <v>7000</v>
      </c>
    </row>
    <row r="248" spans="1:13" s="128" customFormat="1" ht="55.2" customHeight="1" x14ac:dyDescent="0.35">
      <c r="A248" s="17"/>
      <c r="B248" s="30" t="s">
        <v>218</v>
      </c>
      <c r="C248" s="31" t="s">
        <v>291</v>
      </c>
      <c r="D248" s="16" t="s">
        <v>83</v>
      </c>
      <c r="E248" s="16" t="s">
        <v>32</v>
      </c>
      <c r="F248" s="38" t="s">
        <v>219</v>
      </c>
      <c r="G248" s="39" t="s">
        <v>37</v>
      </c>
      <c r="H248" s="584" t="s">
        <v>38</v>
      </c>
      <c r="I248" s="585" t="s">
        <v>39</v>
      </c>
      <c r="J248" s="16"/>
      <c r="K248" s="32">
        <f t="shared" si="38"/>
        <v>7000</v>
      </c>
      <c r="L248" s="32">
        <v>0</v>
      </c>
      <c r="M248" s="32">
        <v>7000</v>
      </c>
    </row>
    <row r="249" spans="1:13" s="128" customFormat="1" ht="37.5" customHeight="1" x14ac:dyDescent="0.35">
      <c r="A249" s="17"/>
      <c r="B249" s="30" t="s">
        <v>328</v>
      </c>
      <c r="C249" s="31" t="s">
        <v>291</v>
      </c>
      <c r="D249" s="16" t="s">
        <v>83</v>
      </c>
      <c r="E249" s="16" t="s">
        <v>32</v>
      </c>
      <c r="F249" s="38" t="s">
        <v>219</v>
      </c>
      <c r="G249" s="39" t="s">
        <v>40</v>
      </c>
      <c r="H249" s="584" t="s">
        <v>38</v>
      </c>
      <c r="I249" s="585" t="s">
        <v>39</v>
      </c>
      <c r="J249" s="16"/>
      <c r="K249" s="32">
        <f t="shared" si="38"/>
        <v>7000</v>
      </c>
      <c r="L249" s="32">
        <v>0</v>
      </c>
      <c r="M249" s="32">
        <v>7000</v>
      </c>
    </row>
    <row r="250" spans="1:13" s="128" customFormat="1" ht="37.5" customHeight="1" x14ac:dyDescent="0.35">
      <c r="A250" s="17"/>
      <c r="B250" s="30" t="s">
        <v>293</v>
      </c>
      <c r="C250" s="31" t="s">
        <v>291</v>
      </c>
      <c r="D250" s="16" t="s">
        <v>83</v>
      </c>
      <c r="E250" s="16" t="s">
        <v>32</v>
      </c>
      <c r="F250" s="38" t="s">
        <v>219</v>
      </c>
      <c r="G250" s="39" t="s">
        <v>40</v>
      </c>
      <c r="H250" s="584" t="s">
        <v>34</v>
      </c>
      <c r="I250" s="585" t="s">
        <v>39</v>
      </c>
      <c r="J250" s="16"/>
      <c r="K250" s="32">
        <f>K251</f>
        <v>7000</v>
      </c>
      <c r="L250" s="32">
        <v>0</v>
      </c>
      <c r="M250" s="32">
        <v>7000</v>
      </c>
    </row>
    <row r="251" spans="1:13" s="128" customFormat="1" ht="37.5" customHeight="1" x14ac:dyDescent="0.35">
      <c r="A251" s="17"/>
      <c r="B251" s="30" t="s">
        <v>252</v>
      </c>
      <c r="C251" s="31" t="s">
        <v>291</v>
      </c>
      <c r="D251" s="16" t="s">
        <v>83</v>
      </c>
      <c r="E251" s="16" t="s">
        <v>32</v>
      </c>
      <c r="F251" s="38" t="s">
        <v>219</v>
      </c>
      <c r="G251" s="39" t="s">
        <v>40</v>
      </c>
      <c r="H251" s="584" t="s">
        <v>34</v>
      </c>
      <c r="I251" s="585" t="s">
        <v>394</v>
      </c>
      <c r="J251" s="16"/>
      <c r="K251" s="32">
        <f t="shared" ref="K251:M251" si="39">K252</f>
        <v>7000</v>
      </c>
      <c r="L251" s="32">
        <v>0</v>
      </c>
      <c r="M251" s="32">
        <v>7000</v>
      </c>
    </row>
    <row r="252" spans="1:13" s="128" customFormat="1" ht="18.75" customHeight="1" x14ac:dyDescent="0.35">
      <c r="A252" s="17"/>
      <c r="B252" s="30" t="s">
        <v>118</v>
      </c>
      <c r="C252" s="31" t="s">
        <v>291</v>
      </c>
      <c r="D252" s="16" t="s">
        <v>83</v>
      </c>
      <c r="E252" s="16" t="s">
        <v>32</v>
      </c>
      <c r="F252" s="38" t="s">
        <v>219</v>
      </c>
      <c r="G252" s="39" t="s">
        <v>40</v>
      </c>
      <c r="H252" s="584" t="s">
        <v>34</v>
      </c>
      <c r="I252" s="585" t="s">
        <v>394</v>
      </c>
      <c r="J252" s="16" t="s">
        <v>119</v>
      </c>
      <c r="K252" s="32">
        <v>7000</v>
      </c>
      <c r="L252" s="32">
        <v>0</v>
      </c>
      <c r="M252" s="32">
        <v>7000</v>
      </c>
    </row>
    <row r="253" spans="1:13" s="128" customFormat="1" ht="18.75" customHeight="1" x14ac:dyDescent="0.35">
      <c r="A253" s="17"/>
      <c r="B253" s="30"/>
      <c r="C253" s="31"/>
      <c r="D253" s="16"/>
      <c r="E253" s="16"/>
      <c r="F253" s="38"/>
      <c r="G253" s="39"/>
      <c r="H253" s="584"/>
      <c r="I253" s="585"/>
      <c r="J253" s="16"/>
      <c r="K253" s="32"/>
      <c r="L253" s="32"/>
      <c r="M253" s="32"/>
    </row>
    <row r="254" spans="1:13" s="129" customFormat="1" ht="56.25" customHeight="1" x14ac:dyDescent="0.3">
      <c r="A254" s="122">
        <v>3</v>
      </c>
      <c r="B254" s="24" t="s">
        <v>30</v>
      </c>
      <c r="C254" s="25" t="s">
        <v>123</v>
      </c>
      <c r="D254" s="26"/>
      <c r="E254" s="26"/>
      <c r="F254" s="27"/>
      <c r="G254" s="28"/>
      <c r="H254" s="28"/>
      <c r="I254" s="29"/>
      <c r="J254" s="26"/>
      <c r="K254" s="46">
        <f t="shared" ref="K254:M257" si="40">K255</f>
        <v>6007</v>
      </c>
      <c r="L254" s="46">
        <v>0</v>
      </c>
      <c r="M254" s="46">
        <v>6007</v>
      </c>
    </row>
    <row r="255" spans="1:13" s="129" customFormat="1" ht="18.75" customHeight="1" x14ac:dyDescent="0.35">
      <c r="A255" s="17"/>
      <c r="B255" s="30" t="s">
        <v>31</v>
      </c>
      <c r="C255" s="31" t="s">
        <v>123</v>
      </c>
      <c r="D255" s="16" t="s">
        <v>32</v>
      </c>
      <c r="E255" s="16"/>
      <c r="F255" s="583"/>
      <c r="G255" s="584"/>
      <c r="H255" s="584"/>
      <c r="I255" s="585"/>
      <c r="J255" s="16"/>
      <c r="K255" s="32">
        <f t="shared" si="40"/>
        <v>6007</v>
      </c>
      <c r="L255" s="32">
        <v>0</v>
      </c>
      <c r="M255" s="32">
        <v>6007</v>
      </c>
    </row>
    <row r="256" spans="1:13" s="129" customFormat="1" ht="75" customHeight="1" x14ac:dyDescent="0.35">
      <c r="A256" s="17"/>
      <c r="B256" s="30" t="s">
        <v>124</v>
      </c>
      <c r="C256" s="31" t="s">
        <v>123</v>
      </c>
      <c r="D256" s="16" t="s">
        <v>32</v>
      </c>
      <c r="E256" s="16" t="s">
        <v>76</v>
      </c>
      <c r="F256" s="583"/>
      <c r="G256" s="584"/>
      <c r="H256" s="584"/>
      <c r="I256" s="585"/>
      <c r="J256" s="16"/>
      <c r="K256" s="32">
        <f t="shared" si="40"/>
        <v>6007</v>
      </c>
      <c r="L256" s="32">
        <v>0</v>
      </c>
      <c r="M256" s="32">
        <v>6007</v>
      </c>
    </row>
    <row r="257" spans="1:13" s="129" customFormat="1" ht="39" customHeight="1" x14ac:dyDescent="0.35">
      <c r="A257" s="17"/>
      <c r="B257" s="33" t="s">
        <v>125</v>
      </c>
      <c r="C257" s="31" t="s">
        <v>123</v>
      </c>
      <c r="D257" s="16" t="s">
        <v>32</v>
      </c>
      <c r="E257" s="16" t="s">
        <v>76</v>
      </c>
      <c r="F257" s="583" t="s">
        <v>126</v>
      </c>
      <c r="G257" s="584" t="s">
        <v>37</v>
      </c>
      <c r="H257" s="584" t="s">
        <v>38</v>
      </c>
      <c r="I257" s="585" t="s">
        <v>39</v>
      </c>
      <c r="J257" s="16"/>
      <c r="K257" s="32">
        <f t="shared" si="40"/>
        <v>6007</v>
      </c>
      <c r="L257" s="32">
        <v>0</v>
      </c>
      <c r="M257" s="32">
        <v>6007</v>
      </c>
    </row>
    <row r="258" spans="1:13" s="129" customFormat="1" ht="41.25" customHeight="1" x14ac:dyDescent="0.35">
      <c r="A258" s="17"/>
      <c r="B258" s="33" t="s">
        <v>127</v>
      </c>
      <c r="C258" s="31" t="s">
        <v>123</v>
      </c>
      <c r="D258" s="16" t="s">
        <v>32</v>
      </c>
      <c r="E258" s="16" t="s">
        <v>76</v>
      </c>
      <c r="F258" s="583" t="s">
        <v>126</v>
      </c>
      <c r="G258" s="584" t="s">
        <v>40</v>
      </c>
      <c r="H258" s="584" t="s">
        <v>38</v>
      </c>
      <c r="I258" s="585" t="s">
        <v>39</v>
      </c>
      <c r="J258" s="16"/>
      <c r="K258" s="32">
        <f>K259+K263</f>
        <v>6007</v>
      </c>
      <c r="L258" s="32">
        <v>0</v>
      </c>
      <c r="M258" s="32">
        <v>6007</v>
      </c>
    </row>
    <row r="259" spans="1:13" s="129" customFormat="1" ht="37.5" customHeight="1" x14ac:dyDescent="0.35">
      <c r="A259" s="17"/>
      <c r="B259" s="30" t="s">
        <v>42</v>
      </c>
      <c r="C259" s="31" t="s">
        <v>123</v>
      </c>
      <c r="D259" s="16" t="s">
        <v>32</v>
      </c>
      <c r="E259" s="16" t="s">
        <v>76</v>
      </c>
      <c r="F259" s="583" t="s">
        <v>126</v>
      </c>
      <c r="G259" s="584" t="s">
        <v>40</v>
      </c>
      <c r="H259" s="584" t="s">
        <v>38</v>
      </c>
      <c r="I259" s="585" t="s">
        <v>43</v>
      </c>
      <c r="J259" s="16"/>
      <c r="K259" s="32">
        <f>K260+K261+K262</f>
        <v>4928.1000000000004</v>
      </c>
      <c r="L259" s="32">
        <v>0</v>
      </c>
      <c r="M259" s="32">
        <v>4928.1000000000004</v>
      </c>
    </row>
    <row r="260" spans="1:13" s="129" customFormat="1" ht="112.5" customHeight="1" x14ac:dyDescent="0.35">
      <c r="A260" s="17"/>
      <c r="B260" s="33" t="s">
        <v>44</v>
      </c>
      <c r="C260" s="31" t="s">
        <v>123</v>
      </c>
      <c r="D260" s="16" t="s">
        <v>32</v>
      </c>
      <c r="E260" s="16" t="s">
        <v>76</v>
      </c>
      <c r="F260" s="583" t="s">
        <v>126</v>
      </c>
      <c r="G260" s="584" t="s">
        <v>40</v>
      </c>
      <c r="H260" s="584" t="s">
        <v>38</v>
      </c>
      <c r="I260" s="585" t="s">
        <v>43</v>
      </c>
      <c r="J260" s="16" t="s">
        <v>45</v>
      </c>
      <c r="K260" s="32">
        <f>3104.9+1566.4</f>
        <v>4671.3</v>
      </c>
      <c r="L260" s="32">
        <v>0</v>
      </c>
      <c r="M260" s="32">
        <v>4671.3</v>
      </c>
    </row>
    <row r="261" spans="1:13" s="129" customFormat="1" ht="56.25" customHeight="1" x14ac:dyDescent="0.35">
      <c r="A261" s="17"/>
      <c r="B261" s="30" t="s">
        <v>50</v>
      </c>
      <c r="C261" s="31" t="s">
        <v>123</v>
      </c>
      <c r="D261" s="16" t="s">
        <v>32</v>
      </c>
      <c r="E261" s="16" t="s">
        <v>76</v>
      </c>
      <c r="F261" s="583" t="s">
        <v>126</v>
      </c>
      <c r="G261" s="584" t="s">
        <v>40</v>
      </c>
      <c r="H261" s="584" t="s">
        <v>38</v>
      </c>
      <c r="I261" s="585" t="s">
        <v>43</v>
      </c>
      <c r="J261" s="16" t="s">
        <v>51</v>
      </c>
      <c r="K261" s="32">
        <v>246.8</v>
      </c>
      <c r="L261" s="32">
        <v>0</v>
      </c>
      <c r="M261" s="32">
        <v>246.8</v>
      </c>
    </row>
    <row r="262" spans="1:13" s="129" customFormat="1" ht="18.75" customHeight="1" x14ac:dyDescent="0.35">
      <c r="A262" s="17"/>
      <c r="B262" s="30" t="s">
        <v>52</v>
      </c>
      <c r="C262" s="31" t="s">
        <v>123</v>
      </c>
      <c r="D262" s="16" t="s">
        <v>32</v>
      </c>
      <c r="E262" s="16" t="s">
        <v>76</v>
      </c>
      <c r="F262" s="583" t="s">
        <v>126</v>
      </c>
      <c r="G262" s="584" t="s">
        <v>40</v>
      </c>
      <c r="H262" s="584" t="s">
        <v>38</v>
      </c>
      <c r="I262" s="585" t="s">
        <v>43</v>
      </c>
      <c r="J262" s="16" t="s">
        <v>53</v>
      </c>
      <c r="K262" s="32">
        <v>10</v>
      </c>
      <c r="L262" s="32">
        <v>0</v>
      </c>
      <c r="M262" s="32">
        <v>10</v>
      </c>
    </row>
    <row r="263" spans="1:13" s="129" customFormat="1" ht="37.5" customHeight="1" x14ac:dyDescent="0.35">
      <c r="A263" s="17"/>
      <c r="B263" s="30" t="s">
        <v>231</v>
      </c>
      <c r="C263" s="31" t="s">
        <v>123</v>
      </c>
      <c r="D263" s="16" t="s">
        <v>32</v>
      </c>
      <c r="E263" s="16" t="s">
        <v>76</v>
      </c>
      <c r="F263" s="583" t="s">
        <v>126</v>
      </c>
      <c r="G263" s="584" t="s">
        <v>40</v>
      </c>
      <c r="H263" s="584" t="s">
        <v>38</v>
      </c>
      <c r="I263" s="585" t="s">
        <v>128</v>
      </c>
      <c r="J263" s="16"/>
      <c r="K263" s="32">
        <f t="shared" ref="K263:M263" si="41">K264</f>
        <v>1078.9000000000001</v>
      </c>
      <c r="L263" s="32">
        <v>0</v>
      </c>
      <c r="M263" s="32">
        <v>1078.9000000000001</v>
      </c>
    </row>
    <row r="264" spans="1:13" s="129" customFormat="1" ht="112.5" customHeight="1" x14ac:dyDescent="0.35">
      <c r="A264" s="17"/>
      <c r="B264" s="30" t="s">
        <v>44</v>
      </c>
      <c r="C264" s="31" t="s">
        <v>123</v>
      </c>
      <c r="D264" s="16" t="s">
        <v>32</v>
      </c>
      <c r="E264" s="16" t="s">
        <v>76</v>
      </c>
      <c r="F264" s="583" t="s">
        <v>126</v>
      </c>
      <c r="G264" s="584" t="s">
        <v>40</v>
      </c>
      <c r="H264" s="584" t="s">
        <v>38</v>
      </c>
      <c r="I264" s="585" t="s">
        <v>128</v>
      </c>
      <c r="J264" s="16" t="s">
        <v>45</v>
      </c>
      <c r="K264" s="32">
        <v>1078.9000000000001</v>
      </c>
      <c r="L264" s="32">
        <v>0</v>
      </c>
      <c r="M264" s="32">
        <v>1078.9000000000001</v>
      </c>
    </row>
    <row r="265" spans="1:13" s="144" customFormat="1" ht="18.75" customHeight="1" x14ac:dyDescent="0.35">
      <c r="A265" s="310"/>
      <c r="B265" s="313"/>
      <c r="C265" s="314"/>
      <c r="D265" s="315"/>
      <c r="E265" s="315"/>
      <c r="F265" s="316"/>
      <c r="G265" s="317"/>
      <c r="H265" s="317"/>
      <c r="I265" s="318"/>
      <c r="J265" s="315"/>
      <c r="K265" s="302"/>
      <c r="L265" s="302"/>
      <c r="M265" s="302"/>
    </row>
    <row r="266" spans="1:13" s="138" customFormat="1" ht="56.25" customHeight="1" x14ac:dyDescent="0.3">
      <c r="A266" s="130">
        <v>4</v>
      </c>
      <c r="B266" s="131" t="s">
        <v>5</v>
      </c>
      <c r="C266" s="132" t="s">
        <v>403</v>
      </c>
      <c r="D266" s="133"/>
      <c r="E266" s="133"/>
      <c r="F266" s="134"/>
      <c r="G266" s="135"/>
      <c r="H266" s="135"/>
      <c r="I266" s="136"/>
      <c r="J266" s="133"/>
      <c r="K266" s="137">
        <f>K267+K315+K324+K308+K345+K354</f>
        <v>244451.79999999996</v>
      </c>
      <c r="L266" s="137">
        <v>737.59999999999968</v>
      </c>
      <c r="M266" s="137">
        <v>245189.39999999997</v>
      </c>
    </row>
    <row r="267" spans="1:13" s="144" customFormat="1" ht="18.75" customHeight="1" x14ac:dyDescent="0.35">
      <c r="A267" s="139"/>
      <c r="B267" s="113" t="s">
        <v>31</v>
      </c>
      <c r="C267" s="140" t="s">
        <v>403</v>
      </c>
      <c r="D267" s="141" t="s">
        <v>32</v>
      </c>
      <c r="E267" s="91"/>
      <c r="F267" s="142"/>
      <c r="G267" s="89"/>
      <c r="H267" s="89"/>
      <c r="I267" s="90"/>
      <c r="J267" s="91"/>
      <c r="K267" s="143">
        <f>K268</f>
        <v>48901.999999999993</v>
      </c>
      <c r="L267" s="143">
        <v>0</v>
      </c>
      <c r="M267" s="143">
        <v>48901.999999999993</v>
      </c>
    </row>
    <row r="268" spans="1:13" s="138" customFormat="1" ht="18.75" customHeight="1" x14ac:dyDescent="0.35">
      <c r="A268" s="139"/>
      <c r="B268" s="113" t="s">
        <v>65</v>
      </c>
      <c r="C268" s="140" t="s">
        <v>403</v>
      </c>
      <c r="D268" s="141" t="s">
        <v>32</v>
      </c>
      <c r="E268" s="141" t="s">
        <v>66</v>
      </c>
      <c r="F268" s="142"/>
      <c r="G268" s="89"/>
      <c r="H268" s="89"/>
      <c r="I268" s="90"/>
      <c r="J268" s="91"/>
      <c r="K268" s="143">
        <f>K269+K302</f>
        <v>48901.999999999993</v>
      </c>
      <c r="L268" s="143">
        <v>0</v>
      </c>
      <c r="M268" s="143">
        <v>48901.999999999993</v>
      </c>
    </row>
    <row r="269" spans="1:13" s="144" customFormat="1" ht="57" customHeight="1" x14ac:dyDescent="0.35">
      <c r="A269" s="139"/>
      <c r="B269" s="113" t="s">
        <v>220</v>
      </c>
      <c r="C269" s="140" t="s">
        <v>403</v>
      </c>
      <c r="D269" s="141" t="s">
        <v>32</v>
      </c>
      <c r="E269" s="141" t="s">
        <v>66</v>
      </c>
      <c r="F269" s="101" t="s">
        <v>221</v>
      </c>
      <c r="G269" s="89" t="s">
        <v>37</v>
      </c>
      <c r="H269" s="89" t="s">
        <v>38</v>
      </c>
      <c r="I269" s="90" t="s">
        <v>39</v>
      </c>
      <c r="J269" s="91"/>
      <c r="K269" s="143">
        <f>K270+K277+K295</f>
        <v>42936.999999999993</v>
      </c>
      <c r="L269" s="143">
        <v>0</v>
      </c>
      <c r="M269" s="143">
        <v>42936.999999999993</v>
      </c>
    </row>
    <row r="270" spans="1:13" s="144" customFormat="1" ht="37.950000000000003" customHeight="1" x14ac:dyDescent="0.35">
      <c r="A270" s="139"/>
      <c r="B270" s="113" t="s">
        <v>222</v>
      </c>
      <c r="C270" s="140" t="s">
        <v>403</v>
      </c>
      <c r="D270" s="141" t="s">
        <v>32</v>
      </c>
      <c r="E270" s="141" t="s">
        <v>66</v>
      </c>
      <c r="F270" s="145" t="s">
        <v>221</v>
      </c>
      <c r="G270" s="146" t="s">
        <v>40</v>
      </c>
      <c r="H270" s="146" t="s">
        <v>38</v>
      </c>
      <c r="I270" s="147" t="s">
        <v>39</v>
      </c>
      <c r="J270" s="91"/>
      <c r="K270" s="143">
        <f>K271+K274</f>
        <v>4330.5999999999995</v>
      </c>
      <c r="L270" s="143">
        <v>0</v>
      </c>
      <c r="M270" s="143">
        <v>4330.5999999999995</v>
      </c>
    </row>
    <row r="271" spans="1:13" s="144" customFormat="1" ht="90.6" customHeight="1" x14ac:dyDescent="0.35">
      <c r="A271" s="139"/>
      <c r="B271" s="113" t="s">
        <v>286</v>
      </c>
      <c r="C271" s="140" t="s">
        <v>403</v>
      </c>
      <c r="D271" s="141" t="s">
        <v>32</v>
      </c>
      <c r="E271" s="141" t="s">
        <v>66</v>
      </c>
      <c r="F271" s="88" t="s">
        <v>221</v>
      </c>
      <c r="G271" s="89" t="s">
        <v>40</v>
      </c>
      <c r="H271" s="89" t="s">
        <v>32</v>
      </c>
      <c r="I271" s="90" t="s">
        <v>39</v>
      </c>
      <c r="J271" s="91"/>
      <c r="K271" s="143">
        <f t="shared" ref="K271:M272" si="42">K272</f>
        <v>511</v>
      </c>
      <c r="L271" s="143">
        <v>0</v>
      </c>
      <c r="M271" s="143">
        <v>511</v>
      </c>
    </row>
    <row r="272" spans="1:13" s="144" customFormat="1" ht="56.25" customHeight="1" x14ac:dyDescent="0.35">
      <c r="A272" s="139"/>
      <c r="B272" s="113" t="s">
        <v>223</v>
      </c>
      <c r="C272" s="140" t="s">
        <v>403</v>
      </c>
      <c r="D272" s="141" t="s">
        <v>32</v>
      </c>
      <c r="E272" s="141" t="s">
        <v>66</v>
      </c>
      <c r="F272" s="88" t="s">
        <v>221</v>
      </c>
      <c r="G272" s="89" t="s">
        <v>40</v>
      </c>
      <c r="H272" s="89" t="s">
        <v>32</v>
      </c>
      <c r="I272" s="90" t="s">
        <v>287</v>
      </c>
      <c r="J272" s="91"/>
      <c r="K272" s="143">
        <f t="shared" si="42"/>
        <v>511</v>
      </c>
      <c r="L272" s="143">
        <v>0</v>
      </c>
      <c r="M272" s="143">
        <v>511</v>
      </c>
    </row>
    <row r="273" spans="1:14" s="138" customFormat="1" ht="56.25" customHeight="1" x14ac:dyDescent="0.35">
      <c r="A273" s="139"/>
      <c r="B273" s="108" t="s">
        <v>50</v>
      </c>
      <c r="C273" s="140" t="s">
        <v>403</v>
      </c>
      <c r="D273" s="141" t="s">
        <v>32</v>
      </c>
      <c r="E273" s="141" t="s">
        <v>66</v>
      </c>
      <c r="F273" s="88" t="s">
        <v>221</v>
      </c>
      <c r="G273" s="89" t="s">
        <v>40</v>
      </c>
      <c r="H273" s="89" t="s">
        <v>32</v>
      </c>
      <c r="I273" s="90" t="s">
        <v>287</v>
      </c>
      <c r="J273" s="91" t="s">
        <v>51</v>
      </c>
      <c r="K273" s="143">
        <v>511</v>
      </c>
      <c r="L273" s="32">
        <v>0</v>
      </c>
      <c r="M273" s="143">
        <v>511</v>
      </c>
    </row>
    <row r="274" spans="1:14" s="138" customFormat="1" ht="37.5" customHeight="1" x14ac:dyDescent="0.35">
      <c r="A274" s="139"/>
      <c r="B274" s="108" t="s">
        <v>327</v>
      </c>
      <c r="C274" s="140" t="s">
        <v>403</v>
      </c>
      <c r="D274" s="141" t="s">
        <v>32</v>
      </c>
      <c r="E274" s="141" t="s">
        <v>66</v>
      </c>
      <c r="F274" s="88" t="s">
        <v>221</v>
      </c>
      <c r="G274" s="89" t="s">
        <v>40</v>
      </c>
      <c r="H274" s="89" t="s">
        <v>34</v>
      </c>
      <c r="I274" s="90" t="s">
        <v>39</v>
      </c>
      <c r="J274" s="91"/>
      <c r="K274" s="143">
        <f>K275</f>
        <v>3819.5999999999995</v>
      </c>
      <c r="L274" s="143">
        <v>0</v>
      </c>
      <c r="M274" s="143">
        <v>3819.5999999999995</v>
      </c>
    </row>
    <row r="275" spans="1:14" s="138" customFormat="1" ht="37.5" customHeight="1" x14ac:dyDescent="0.35">
      <c r="A275" s="139"/>
      <c r="B275" s="108" t="s">
        <v>326</v>
      </c>
      <c r="C275" s="140" t="s">
        <v>403</v>
      </c>
      <c r="D275" s="141" t="s">
        <v>32</v>
      </c>
      <c r="E275" s="141" t="s">
        <v>66</v>
      </c>
      <c r="F275" s="88" t="s">
        <v>221</v>
      </c>
      <c r="G275" s="89" t="s">
        <v>40</v>
      </c>
      <c r="H275" s="89" t="s">
        <v>34</v>
      </c>
      <c r="I275" s="90" t="s">
        <v>325</v>
      </c>
      <c r="J275" s="91"/>
      <c r="K275" s="143">
        <f>SUM(K276:K276)</f>
        <v>3819.5999999999995</v>
      </c>
      <c r="L275" s="143">
        <v>0</v>
      </c>
      <c r="M275" s="143">
        <v>3819.5999999999995</v>
      </c>
    </row>
    <row r="276" spans="1:14" s="138" customFormat="1" ht="56.25" customHeight="1" x14ac:dyDescent="0.35">
      <c r="A276" s="139"/>
      <c r="B276" s="108" t="s">
        <v>50</v>
      </c>
      <c r="C276" s="140" t="s">
        <v>403</v>
      </c>
      <c r="D276" s="141" t="s">
        <v>32</v>
      </c>
      <c r="E276" s="141" t="s">
        <v>66</v>
      </c>
      <c r="F276" s="88" t="s">
        <v>221</v>
      </c>
      <c r="G276" s="89" t="s">
        <v>40</v>
      </c>
      <c r="H276" s="89" t="s">
        <v>34</v>
      </c>
      <c r="I276" s="90" t="s">
        <v>325</v>
      </c>
      <c r="J276" s="91" t="s">
        <v>51</v>
      </c>
      <c r="K276" s="143">
        <f>3197.2+586.2+36.2</f>
        <v>3819.5999999999995</v>
      </c>
      <c r="L276" s="32">
        <v>0</v>
      </c>
      <c r="M276" s="143">
        <v>3819.5999999999995</v>
      </c>
    </row>
    <row r="277" spans="1:14" s="138" customFormat="1" ht="37.5" customHeight="1" x14ac:dyDescent="0.35">
      <c r="A277" s="139"/>
      <c r="B277" s="113" t="s">
        <v>224</v>
      </c>
      <c r="C277" s="140" t="s">
        <v>403</v>
      </c>
      <c r="D277" s="141" t="s">
        <v>32</v>
      </c>
      <c r="E277" s="141" t="s">
        <v>66</v>
      </c>
      <c r="F277" s="101" t="s">
        <v>221</v>
      </c>
      <c r="G277" s="89" t="s">
        <v>84</v>
      </c>
      <c r="H277" s="89" t="s">
        <v>38</v>
      </c>
      <c r="I277" s="90" t="s">
        <v>39</v>
      </c>
      <c r="J277" s="91"/>
      <c r="K277" s="143">
        <f>K278+K289+K292</f>
        <v>24632.499999999996</v>
      </c>
      <c r="L277" s="143">
        <v>0</v>
      </c>
      <c r="M277" s="143">
        <v>24632.499999999996</v>
      </c>
    </row>
    <row r="278" spans="1:14" s="144" customFormat="1" ht="71.400000000000006" customHeight="1" x14ac:dyDescent="0.35">
      <c r="A278" s="139"/>
      <c r="B278" s="113" t="s">
        <v>290</v>
      </c>
      <c r="C278" s="140" t="s">
        <v>403</v>
      </c>
      <c r="D278" s="141" t="s">
        <v>32</v>
      </c>
      <c r="E278" s="141" t="s">
        <v>66</v>
      </c>
      <c r="F278" s="101" t="s">
        <v>221</v>
      </c>
      <c r="G278" s="89" t="s">
        <v>84</v>
      </c>
      <c r="H278" s="89" t="s">
        <v>32</v>
      </c>
      <c r="I278" s="90" t="s">
        <v>39</v>
      </c>
      <c r="J278" s="91"/>
      <c r="K278" s="143">
        <f>K279+K283+K287</f>
        <v>23948.6</v>
      </c>
      <c r="L278" s="143">
        <v>0</v>
      </c>
      <c r="M278" s="143">
        <v>23948.6</v>
      </c>
    </row>
    <row r="279" spans="1:14" s="138" customFormat="1" ht="37.5" customHeight="1" x14ac:dyDescent="0.35">
      <c r="A279" s="139"/>
      <c r="B279" s="113" t="s">
        <v>42</v>
      </c>
      <c r="C279" s="140" t="s">
        <v>403</v>
      </c>
      <c r="D279" s="141" t="s">
        <v>32</v>
      </c>
      <c r="E279" s="141" t="s">
        <v>66</v>
      </c>
      <c r="F279" s="148" t="s">
        <v>221</v>
      </c>
      <c r="G279" s="146" t="s">
        <v>84</v>
      </c>
      <c r="H279" s="146" t="s">
        <v>32</v>
      </c>
      <c r="I279" s="147" t="s">
        <v>43</v>
      </c>
      <c r="J279" s="91"/>
      <c r="K279" s="143">
        <f>K280+K281+K282</f>
        <v>15075.9</v>
      </c>
      <c r="L279" s="143">
        <v>0</v>
      </c>
      <c r="M279" s="143">
        <v>15075.9</v>
      </c>
    </row>
    <row r="280" spans="1:14" s="144" customFormat="1" ht="103.95" customHeight="1" x14ac:dyDescent="0.35">
      <c r="A280" s="139"/>
      <c r="B280" s="113" t="s">
        <v>44</v>
      </c>
      <c r="C280" s="140" t="s">
        <v>403</v>
      </c>
      <c r="D280" s="141" t="s">
        <v>32</v>
      </c>
      <c r="E280" s="141" t="s">
        <v>66</v>
      </c>
      <c r="F280" s="101" t="s">
        <v>221</v>
      </c>
      <c r="G280" s="89" t="s">
        <v>84</v>
      </c>
      <c r="H280" s="89" t="s">
        <v>32</v>
      </c>
      <c r="I280" s="90" t="s">
        <v>43</v>
      </c>
      <c r="J280" s="91" t="s">
        <v>45</v>
      </c>
      <c r="K280" s="143">
        <f>12567.3+2152.9</f>
        <v>14720.199999999999</v>
      </c>
      <c r="L280" s="32">
        <v>0</v>
      </c>
      <c r="M280" s="143">
        <v>14720.199999999999</v>
      </c>
    </row>
    <row r="281" spans="1:14" s="144" customFormat="1" ht="56.25" customHeight="1" x14ac:dyDescent="0.35">
      <c r="A281" s="139"/>
      <c r="B281" s="108" t="s">
        <v>50</v>
      </c>
      <c r="C281" s="140" t="s">
        <v>403</v>
      </c>
      <c r="D281" s="141" t="s">
        <v>32</v>
      </c>
      <c r="E281" s="141" t="s">
        <v>66</v>
      </c>
      <c r="F281" s="101" t="s">
        <v>221</v>
      </c>
      <c r="G281" s="89" t="s">
        <v>84</v>
      </c>
      <c r="H281" s="89" t="s">
        <v>32</v>
      </c>
      <c r="I281" s="90" t="s">
        <v>43</v>
      </c>
      <c r="J281" s="91" t="s">
        <v>51</v>
      </c>
      <c r="K281" s="143">
        <f>364.5-10</f>
        <v>354.5</v>
      </c>
      <c r="L281" s="32">
        <v>0</v>
      </c>
      <c r="M281" s="143">
        <v>354.5</v>
      </c>
      <c r="N281" s="178"/>
    </row>
    <row r="282" spans="1:14" s="144" customFormat="1" ht="18.75" customHeight="1" x14ac:dyDescent="0.35">
      <c r="A282" s="139"/>
      <c r="B282" s="113" t="s">
        <v>52</v>
      </c>
      <c r="C282" s="140" t="s">
        <v>403</v>
      </c>
      <c r="D282" s="141" t="s">
        <v>32</v>
      </c>
      <c r="E282" s="141" t="s">
        <v>66</v>
      </c>
      <c r="F282" s="101" t="s">
        <v>221</v>
      </c>
      <c r="G282" s="89" t="s">
        <v>84</v>
      </c>
      <c r="H282" s="89" t="s">
        <v>32</v>
      </c>
      <c r="I282" s="90" t="s">
        <v>43</v>
      </c>
      <c r="J282" s="91" t="s">
        <v>53</v>
      </c>
      <c r="K282" s="143">
        <v>1.2</v>
      </c>
      <c r="L282" s="32">
        <v>0</v>
      </c>
      <c r="M282" s="143">
        <v>1.2</v>
      </c>
    </row>
    <row r="283" spans="1:14" s="144" customFormat="1" ht="36" customHeight="1" x14ac:dyDescent="0.35">
      <c r="A283" s="139"/>
      <c r="B283" s="33" t="s">
        <v>437</v>
      </c>
      <c r="C283" s="140" t="s">
        <v>403</v>
      </c>
      <c r="D283" s="141" t="s">
        <v>32</v>
      </c>
      <c r="E283" s="141" t="s">
        <v>66</v>
      </c>
      <c r="F283" s="101" t="s">
        <v>221</v>
      </c>
      <c r="G283" s="89" t="s">
        <v>84</v>
      </c>
      <c r="H283" s="89" t="s">
        <v>32</v>
      </c>
      <c r="I283" s="90" t="s">
        <v>86</v>
      </c>
      <c r="J283" s="91"/>
      <c r="K283" s="143">
        <f>K284+K285+K286</f>
        <v>8803.6999999999971</v>
      </c>
      <c r="L283" s="143">
        <v>0</v>
      </c>
      <c r="M283" s="143">
        <v>8803.6999999999971</v>
      </c>
      <c r="N283" s="178"/>
    </row>
    <row r="284" spans="1:14" s="144" customFormat="1" ht="112.5" customHeight="1" x14ac:dyDescent="0.35">
      <c r="A284" s="139"/>
      <c r="B284" s="113" t="s">
        <v>44</v>
      </c>
      <c r="C284" s="140" t="s">
        <v>403</v>
      </c>
      <c r="D284" s="141" t="s">
        <v>32</v>
      </c>
      <c r="E284" s="141" t="s">
        <v>66</v>
      </c>
      <c r="F284" s="101" t="s">
        <v>221</v>
      </c>
      <c r="G284" s="89" t="s">
        <v>84</v>
      </c>
      <c r="H284" s="89" t="s">
        <v>32</v>
      </c>
      <c r="I284" s="90" t="s">
        <v>86</v>
      </c>
      <c r="J284" s="91" t="s">
        <v>45</v>
      </c>
      <c r="K284" s="143">
        <f>8124.7+14.4+326</f>
        <v>8465.0999999999985</v>
      </c>
      <c r="L284" s="32">
        <v>0</v>
      </c>
      <c r="M284" s="143">
        <v>8465.0999999999985</v>
      </c>
      <c r="N284" s="178"/>
    </row>
    <row r="285" spans="1:14" s="144" customFormat="1" ht="56.25" customHeight="1" x14ac:dyDescent="0.35">
      <c r="A285" s="139"/>
      <c r="B285" s="108" t="s">
        <v>50</v>
      </c>
      <c r="C285" s="140" t="s">
        <v>403</v>
      </c>
      <c r="D285" s="141" t="s">
        <v>32</v>
      </c>
      <c r="E285" s="141" t="s">
        <v>66</v>
      </c>
      <c r="F285" s="148" t="s">
        <v>221</v>
      </c>
      <c r="G285" s="146" t="s">
        <v>84</v>
      </c>
      <c r="H285" s="146" t="s">
        <v>32</v>
      </c>
      <c r="I285" s="147" t="s">
        <v>86</v>
      </c>
      <c r="J285" s="91" t="s">
        <v>51</v>
      </c>
      <c r="K285" s="143">
        <v>318.3</v>
      </c>
      <c r="L285" s="32">
        <v>0</v>
      </c>
      <c r="M285" s="143">
        <v>318.3</v>
      </c>
    </row>
    <row r="286" spans="1:14" s="144" customFormat="1" ht="18.75" customHeight="1" x14ac:dyDescent="0.35">
      <c r="A286" s="139"/>
      <c r="B286" s="113" t="s">
        <v>52</v>
      </c>
      <c r="C286" s="140" t="s">
        <v>403</v>
      </c>
      <c r="D286" s="141" t="s">
        <v>32</v>
      </c>
      <c r="E286" s="141" t="s">
        <v>66</v>
      </c>
      <c r="F286" s="101" t="s">
        <v>221</v>
      </c>
      <c r="G286" s="89" t="s">
        <v>84</v>
      </c>
      <c r="H286" s="89" t="s">
        <v>32</v>
      </c>
      <c r="I286" s="90" t="s">
        <v>86</v>
      </c>
      <c r="J286" s="91" t="s">
        <v>53</v>
      </c>
      <c r="K286" s="143">
        <v>20.3</v>
      </c>
      <c r="L286" s="32">
        <v>0</v>
      </c>
      <c r="M286" s="143">
        <v>20.3</v>
      </c>
      <c r="N286" s="178"/>
    </row>
    <row r="287" spans="1:14" s="144" customFormat="1" ht="56.25" customHeight="1" x14ac:dyDescent="0.35">
      <c r="A287" s="139"/>
      <c r="B287" s="108" t="s">
        <v>343</v>
      </c>
      <c r="C287" s="195" t="s">
        <v>403</v>
      </c>
      <c r="D287" s="312" t="s">
        <v>32</v>
      </c>
      <c r="E287" s="312" t="s">
        <v>66</v>
      </c>
      <c r="F287" s="101" t="s">
        <v>221</v>
      </c>
      <c r="G287" s="89" t="s">
        <v>84</v>
      </c>
      <c r="H287" s="89" t="s">
        <v>32</v>
      </c>
      <c r="I287" s="90" t="s">
        <v>342</v>
      </c>
      <c r="J287" s="91"/>
      <c r="K287" s="143">
        <f>K288</f>
        <v>69</v>
      </c>
      <c r="L287" s="143">
        <v>0</v>
      </c>
      <c r="M287" s="143">
        <v>69</v>
      </c>
      <c r="N287" s="178"/>
    </row>
    <row r="288" spans="1:14" s="144" customFormat="1" ht="56.25" customHeight="1" x14ac:dyDescent="0.35">
      <c r="A288" s="139"/>
      <c r="B288" s="394" t="s">
        <v>50</v>
      </c>
      <c r="C288" s="395" t="s">
        <v>403</v>
      </c>
      <c r="D288" s="396" t="s">
        <v>32</v>
      </c>
      <c r="E288" s="396" t="s">
        <v>66</v>
      </c>
      <c r="F288" s="150" t="s">
        <v>221</v>
      </c>
      <c r="G288" s="89" t="s">
        <v>84</v>
      </c>
      <c r="H288" s="89" t="s">
        <v>32</v>
      </c>
      <c r="I288" s="311" t="s">
        <v>342</v>
      </c>
      <c r="J288" s="91" t="s">
        <v>51</v>
      </c>
      <c r="K288" s="143">
        <v>69</v>
      </c>
      <c r="L288" s="32">
        <v>0</v>
      </c>
      <c r="M288" s="143">
        <v>69</v>
      </c>
      <c r="N288" s="178"/>
    </row>
    <row r="289" spans="1:14" s="186" customFormat="1" ht="37.5" customHeight="1" x14ac:dyDescent="0.35">
      <c r="A289" s="180"/>
      <c r="B289" s="181" t="s">
        <v>340</v>
      </c>
      <c r="C289" s="182" t="s">
        <v>403</v>
      </c>
      <c r="D289" s="183" t="s">
        <v>32</v>
      </c>
      <c r="E289" s="183" t="s">
        <v>66</v>
      </c>
      <c r="F289" s="101" t="s">
        <v>221</v>
      </c>
      <c r="G289" s="102" t="s">
        <v>84</v>
      </c>
      <c r="H289" s="102" t="s">
        <v>34</v>
      </c>
      <c r="I289" s="103" t="s">
        <v>39</v>
      </c>
      <c r="J289" s="104"/>
      <c r="K289" s="184">
        <f t="shared" ref="K289:M290" si="43">K290</f>
        <v>669.1</v>
      </c>
      <c r="L289" s="184">
        <v>0</v>
      </c>
      <c r="M289" s="184">
        <v>669.1</v>
      </c>
      <c r="N289" s="185"/>
    </row>
    <row r="290" spans="1:14" s="186" customFormat="1" ht="60.75" customHeight="1" x14ac:dyDescent="0.35">
      <c r="A290" s="187"/>
      <c r="B290" s="188" t="s">
        <v>341</v>
      </c>
      <c r="C290" s="140" t="s">
        <v>403</v>
      </c>
      <c r="D290" s="141" t="s">
        <v>32</v>
      </c>
      <c r="E290" s="141" t="s">
        <v>66</v>
      </c>
      <c r="F290" s="150" t="s">
        <v>221</v>
      </c>
      <c r="G290" s="102" t="s">
        <v>84</v>
      </c>
      <c r="H290" s="102" t="s">
        <v>34</v>
      </c>
      <c r="I290" s="103" t="s">
        <v>100</v>
      </c>
      <c r="J290" s="105"/>
      <c r="K290" s="189">
        <f t="shared" si="43"/>
        <v>669.1</v>
      </c>
      <c r="L290" s="189">
        <v>0</v>
      </c>
      <c r="M290" s="189">
        <v>669.1</v>
      </c>
      <c r="N290" s="185"/>
    </row>
    <row r="291" spans="1:14" s="186" customFormat="1" ht="56.25" customHeight="1" x14ac:dyDescent="0.35">
      <c r="A291" s="187"/>
      <c r="B291" s="190" t="s">
        <v>50</v>
      </c>
      <c r="C291" s="140" t="s">
        <v>403</v>
      </c>
      <c r="D291" s="141" t="s">
        <v>32</v>
      </c>
      <c r="E291" s="141" t="s">
        <v>66</v>
      </c>
      <c r="F291" s="150" t="s">
        <v>221</v>
      </c>
      <c r="G291" s="107" t="s">
        <v>84</v>
      </c>
      <c r="H291" s="107" t="s">
        <v>34</v>
      </c>
      <c r="I291" s="191" t="s">
        <v>100</v>
      </c>
      <c r="J291" s="192" t="s">
        <v>51</v>
      </c>
      <c r="K291" s="295">
        <f>669.1</f>
        <v>669.1</v>
      </c>
      <c r="L291" s="32">
        <v>0</v>
      </c>
      <c r="M291" s="295">
        <v>669.1</v>
      </c>
      <c r="N291" s="185"/>
    </row>
    <row r="292" spans="1:14" s="186" customFormat="1" ht="37.5" customHeight="1" x14ac:dyDescent="0.35">
      <c r="A292" s="187"/>
      <c r="B292" s="193" t="s">
        <v>363</v>
      </c>
      <c r="C292" s="140" t="s">
        <v>403</v>
      </c>
      <c r="D292" s="141" t="s">
        <v>32</v>
      </c>
      <c r="E292" s="141" t="s">
        <v>66</v>
      </c>
      <c r="F292" s="150" t="s">
        <v>221</v>
      </c>
      <c r="G292" s="102" t="s">
        <v>84</v>
      </c>
      <c r="H292" s="102" t="s">
        <v>58</v>
      </c>
      <c r="I292" s="103" t="s">
        <v>39</v>
      </c>
      <c r="J292" s="105"/>
      <c r="K292" s="189">
        <f t="shared" ref="K292:M292" si="44">K293</f>
        <v>14.8</v>
      </c>
      <c r="L292" s="189">
        <v>0</v>
      </c>
      <c r="M292" s="189">
        <v>14.8</v>
      </c>
      <c r="N292" s="185"/>
    </row>
    <row r="293" spans="1:14" s="186" customFormat="1" ht="37.5" customHeight="1" x14ac:dyDescent="0.35">
      <c r="A293" s="187"/>
      <c r="B293" s="193" t="s">
        <v>326</v>
      </c>
      <c r="C293" s="140" t="s">
        <v>403</v>
      </c>
      <c r="D293" s="141" t="s">
        <v>32</v>
      </c>
      <c r="E293" s="141" t="s">
        <v>66</v>
      </c>
      <c r="F293" s="106" t="s">
        <v>221</v>
      </c>
      <c r="G293" s="107" t="s">
        <v>84</v>
      </c>
      <c r="H293" s="107" t="s">
        <v>58</v>
      </c>
      <c r="I293" s="191" t="s">
        <v>325</v>
      </c>
      <c r="J293" s="105"/>
      <c r="K293" s="189">
        <f>K294</f>
        <v>14.8</v>
      </c>
      <c r="L293" s="189">
        <v>0</v>
      </c>
      <c r="M293" s="189">
        <v>14.8</v>
      </c>
      <c r="N293" s="185"/>
    </row>
    <row r="294" spans="1:14" s="186" customFormat="1" ht="18.75" customHeight="1" x14ac:dyDescent="0.35">
      <c r="A294" s="194"/>
      <c r="B294" s="113" t="s">
        <v>52</v>
      </c>
      <c r="C294" s="195" t="s">
        <v>403</v>
      </c>
      <c r="D294" s="141" t="s">
        <v>32</v>
      </c>
      <c r="E294" s="141" t="s">
        <v>66</v>
      </c>
      <c r="F294" s="101" t="s">
        <v>221</v>
      </c>
      <c r="G294" s="102" t="s">
        <v>84</v>
      </c>
      <c r="H294" s="102" t="s">
        <v>58</v>
      </c>
      <c r="I294" s="103" t="s">
        <v>325</v>
      </c>
      <c r="J294" s="105" t="s">
        <v>53</v>
      </c>
      <c r="K294" s="295">
        <v>14.8</v>
      </c>
      <c r="L294" s="32">
        <v>0</v>
      </c>
      <c r="M294" s="295">
        <v>14.8</v>
      </c>
      <c r="N294" s="185"/>
    </row>
    <row r="295" spans="1:14" s="186" customFormat="1" ht="37.5" customHeight="1" x14ac:dyDescent="0.35">
      <c r="A295" s="194"/>
      <c r="B295" s="149" t="s">
        <v>328</v>
      </c>
      <c r="C295" s="195" t="s">
        <v>403</v>
      </c>
      <c r="D295" s="141" t="s">
        <v>32</v>
      </c>
      <c r="E295" s="141" t="s">
        <v>66</v>
      </c>
      <c r="F295" s="101" t="s">
        <v>221</v>
      </c>
      <c r="G295" s="102" t="s">
        <v>25</v>
      </c>
      <c r="H295" s="102" t="s">
        <v>38</v>
      </c>
      <c r="I295" s="103" t="s">
        <v>39</v>
      </c>
      <c r="J295" s="105"/>
      <c r="K295" s="552">
        <f>K296+K299</f>
        <v>13973.9</v>
      </c>
      <c r="L295" s="552">
        <v>0</v>
      </c>
      <c r="M295" s="552">
        <v>13973.9</v>
      </c>
      <c r="N295" s="185"/>
    </row>
    <row r="296" spans="1:14" s="186" customFormat="1" ht="18" x14ac:dyDescent="0.35">
      <c r="A296" s="194"/>
      <c r="B296" s="149" t="s">
        <v>517</v>
      </c>
      <c r="C296" s="195" t="s">
        <v>403</v>
      </c>
      <c r="D296" s="141" t="s">
        <v>32</v>
      </c>
      <c r="E296" s="141" t="s">
        <v>66</v>
      </c>
      <c r="F296" s="101" t="s">
        <v>221</v>
      </c>
      <c r="G296" s="102" t="s">
        <v>25</v>
      </c>
      <c r="H296" s="102" t="s">
        <v>47</v>
      </c>
      <c r="I296" s="103" t="s">
        <v>39</v>
      </c>
      <c r="J296" s="105"/>
      <c r="K296" s="552">
        <f t="shared" ref="K296:M297" si="45">K297</f>
        <v>13927</v>
      </c>
      <c r="L296" s="552">
        <v>0</v>
      </c>
      <c r="M296" s="552">
        <v>13927</v>
      </c>
      <c r="N296" s="185"/>
    </row>
    <row r="297" spans="1:14" s="186" customFormat="1" ht="37.5" customHeight="1" x14ac:dyDescent="0.35">
      <c r="A297" s="194"/>
      <c r="B297" s="149" t="s">
        <v>518</v>
      </c>
      <c r="C297" s="195" t="s">
        <v>403</v>
      </c>
      <c r="D297" s="141" t="s">
        <v>32</v>
      </c>
      <c r="E297" s="141" t="s">
        <v>66</v>
      </c>
      <c r="F297" s="101" t="s">
        <v>221</v>
      </c>
      <c r="G297" s="102" t="s">
        <v>25</v>
      </c>
      <c r="H297" s="102" t="s">
        <v>47</v>
      </c>
      <c r="I297" s="103" t="s">
        <v>516</v>
      </c>
      <c r="J297" s="105"/>
      <c r="K297" s="552">
        <f>K298</f>
        <v>13927</v>
      </c>
      <c r="L297" s="552">
        <v>0</v>
      </c>
      <c r="M297" s="552">
        <v>13927</v>
      </c>
      <c r="N297" s="185"/>
    </row>
    <row r="298" spans="1:14" s="186" customFormat="1" ht="18" x14ac:dyDescent="0.35">
      <c r="A298" s="194"/>
      <c r="B298" s="113" t="s">
        <v>52</v>
      </c>
      <c r="C298" s="195" t="s">
        <v>403</v>
      </c>
      <c r="D298" s="141" t="s">
        <v>32</v>
      </c>
      <c r="E298" s="141" t="s">
        <v>66</v>
      </c>
      <c r="F298" s="101" t="s">
        <v>221</v>
      </c>
      <c r="G298" s="102" t="s">
        <v>25</v>
      </c>
      <c r="H298" s="102" t="s">
        <v>47</v>
      </c>
      <c r="I298" s="103" t="s">
        <v>516</v>
      </c>
      <c r="J298" s="105" t="s">
        <v>53</v>
      </c>
      <c r="K298" s="552">
        <f>3500+427+10000</f>
        <v>13927</v>
      </c>
      <c r="L298" s="32">
        <v>0</v>
      </c>
      <c r="M298" s="552">
        <v>13927</v>
      </c>
      <c r="N298" s="185"/>
    </row>
    <row r="299" spans="1:14" s="186" customFormat="1" ht="36" x14ac:dyDescent="0.35">
      <c r="A299" s="194"/>
      <c r="B299" s="149" t="s">
        <v>363</v>
      </c>
      <c r="C299" s="195" t="s">
        <v>403</v>
      </c>
      <c r="D299" s="141" t="s">
        <v>32</v>
      </c>
      <c r="E299" s="141" t="s">
        <v>66</v>
      </c>
      <c r="F299" s="101" t="s">
        <v>221</v>
      </c>
      <c r="G299" s="102" t="s">
        <v>25</v>
      </c>
      <c r="H299" s="102" t="s">
        <v>221</v>
      </c>
      <c r="I299" s="103" t="s">
        <v>39</v>
      </c>
      <c r="J299" s="573"/>
      <c r="K299" s="552">
        <f t="shared" ref="K299:M300" si="46">K300</f>
        <v>46.9</v>
      </c>
      <c r="L299" s="32">
        <v>0</v>
      </c>
      <c r="M299" s="552">
        <v>46.9</v>
      </c>
      <c r="N299" s="185"/>
    </row>
    <row r="300" spans="1:14" s="186" customFormat="1" ht="36" x14ac:dyDescent="0.35">
      <c r="A300" s="194"/>
      <c r="B300" s="193" t="s">
        <v>326</v>
      </c>
      <c r="C300" s="195" t="s">
        <v>403</v>
      </c>
      <c r="D300" s="141" t="s">
        <v>32</v>
      </c>
      <c r="E300" s="141" t="s">
        <v>66</v>
      </c>
      <c r="F300" s="101" t="s">
        <v>221</v>
      </c>
      <c r="G300" s="102" t="s">
        <v>25</v>
      </c>
      <c r="H300" s="102" t="s">
        <v>221</v>
      </c>
      <c r="I300" s="103" t="s">
        <v>325</v>
      </c>
      <c r="J300" s="573"/>
      <c r="K300" s="552">
        <f t="shared" si="46"/>
        <v>46.9</v>
      </c>
      <c r="L300" s="32">
        <v>0</v>
      </c>
      <c r="M300" s="552">
        <v>46.9</v>
      </c>
      <c r="N300" s="185"/>
    </row>
    <row r="301" spans="1:14" s="186" customFormat="1" ht="54" x14ac:dyDescent="0.35">
      <c r="A301" s="194"/>
      <c r="B301" s="108" t="s">
        <v>50</v>
      </c>
      <c r="C301" s="195" t="s">
        <v>403</v>
      </c>
      <c r="D301" s="141" t="s">
        <v>32</v>
      </c>
      <c r="E301" s="141" t="s">
        <v>66</v>
      </c>
      <c r="F301" s="101" t="s">
        <v>221</v>
      </c>
      <c r="G301" s="102" t="s">
        <v>25</v>
      </c>
      <c r="H301" s="102" t="s">
        <v>221</v>
      </c>
      <c r="I301" s="103" t="s">
        <v>325</v>
      </c>
      <c r="J301" s="573" t="s">
        <v>51</v>
      </c>
      <c r="K301" s="552">
        <v>46.9</v>
      </c>
      <c r="L301" s="32">
        <v>0</v>
      </c>
      <c r="M301" s="552">
        <v>46.9</v>
      </c>
      <c r="N301" s="185"/>
    </row>
    <row r="302" spans="1:14" s="144" customFormat="1" ht="61.5" customHeight="1" x14ac:dyDescent="0.35">
      <c r="A302" s="139"/>
      <c r="B302" s="149" t="s">
        <v>35</v>
      </c>
      <c r="C302" s="140" t="s">
        <v>403</v>
      </c>
      <c r="D302" s="141" t="s">
        <v>32</v>
      </c>
      <c r="E302" s="141" t="s">
        <v>66</v>
      </c>
      <c r="F302" s="150" t="s">
        <v>36</v>
      </c>
      <c r="G302" s="89" t="s">
        <v>37</v>
      </c>
      <c r="H302" s="89" t="s">
        <v>38</v>
      </c>
      <c r="I302" s="90" t="s">
        <v>39</v>
      </c>
      <c r="J302" s="91"/>
      <c r="K302" s="302">
        <f t="shared" ref="K302:M304" si="47">K303</f>
        <v>5965.0000000000009</v>
      </c>
      <c r="L302" s="302">
        <v>0</v>
      </c>
      <c r="M302" s="302">
        <v>5965.0000000000009</v>
      </c>
      <c r="N302" s="178"/>
    </row>
    <row r="303" spans="1:14" s="144" customFormat="1" ht="37.5" customHeight="1" x14ac:dyDescent="0.35">
      <c r="A303" s="139"/>
      <c r="B303" s="108" t="s">
        <v>328</v>
      </c>
      <c r="C303" s="140" t="s">
        <v>403</v>
      </c>
      <c r="D303" s="141" t="s">
        <v>32</v>
      </c>
      <c r="E303" s="141" t="s">
        <v>66</v>
      </c>
      <c r="F303" s="101" t="s">
        <v>36</v>
      </c>
      <c r="G303" s="89" t="s">
        <v>40</v>
      </c>
      <c r="H303" s="89" t="s">
        <v>38</v>
      </c>
      <c r="I303" s="90" t="s">
        <v>39</v>
      </c>
      <c r="J303" s="91"/>
      <c r="K303" s="143">
        <f t="shared" si="47"/>
        <v>5965.0000000000009</v>
      </c>
      <c r="L303" s="143">
        <v>0</v>
      </c>
      <c r="M303" s="143">
        <v>5965.0000000000009</v>
      </c>
      <c r="N303" s="178"/>
    </row>
    <row r="304" spans="1:14" s="144" customFormat="1" ht="75" customHeight="1" x14ac:dyDescent="0.35">
      <c r="A304" s="139"/>
      <c r="B304" s="113" t="s">
        <v>288</v>
      </c>
      <c r="C304" s="140" t="s">
        <v>403</v>
      </c>
      <c r="D304" s="141" t="s">
        <v>32</v>
      </c>
      <c r="E304" s="141" t="s">
        <v>66</v>
      </c>
      <c r="F304" s="101" t="s">
        <v>36</v>
      </c>
      <c r="G304" s="89" t="s">
        <v>40</v>
      </c>
      <c r="H304" s="89" t="s">
        <v>76</v>
      </c>
      <c r="I304" s="90" t="s">
        <v>39</v>
      </c>
      <c r="J304" s="91"/>
      <c r="K304" s="143">
        <f t="shared" si="47"/>
        <v>5965.0000000000009</v>
      </c>
      <c r="L304" s="143">
        <v>0</v>
      </c>
      <c r="M304" s="143">
        <v>5965.0000000000009</v>
      </c>
      <c r="N304" s="178"/>
    </row>
    <row r="305" spans="1:14" s="144" customFormat="1" ht="37.5" customHeight="1" x14ac:dyDescent="0.35">
      <c r="A305" s="139"/>
      <c r="B305" s="33" t="s">
        <v>437</v>
      </c>
      <c r="C305" s="140" t="s">
        <v>403</v>
      </c>
      <c r="D305" s="141" t="s">
        <v>32</v>
      </c>
      <c r="E305" s="141" t="s">
        <v>66</v>
      </c>
      <c r="F305" s="101" t="s">
        <v>36</v>
      </c>
      <c r="G305" s="89" t="s">
        <v>40</v>
      </c>
      <c r="H305" s="89" t="s">
        <v>76</v>
      </c>
      <c r="I305" s="90" t="s">
        <v>86</v>
      </c>
      <c r="J305" s="91"/>
      <c r="K305" s="320">
        <f>K306+K307</f>
        <v>5965.0000000000009</v>
      </c>
      <c r="L305" s="320">
        <v>0</v>
      </c>
      <c r="M305" s="320">
        <v>5965.0000000000009</v>
      </c>
      <c r="N305" s="178"/>
    </row>
    <row r="306" spans="1:14" s="144" customFormat="1" ht="112.5" customHeight="1" x14ac:dyDescent="0.35">
      <c r="A306" s="139"/>
      <c r="B306" s="113" t="s">
        <v>44</v>
      </c>
      <c r="C306" s="140" t="s">
        <v>403</v>
      </c>
      <c r="D306" s="141" t="s">
        <v>32</v>
      </c>
      <c r="E306" s="141" t="s">
        <v>66</v>
      </c>
      <c r="F306" s="101" t="s">
        <v>36</v>
      </c>
      <c r="G306" s="89" t="s">
        <v>40</v>
      </c>
      <c r="H306" s="89" t="s">
        <v>76</v>
      </c>
      <c r="I306" s="90" t="s">
        <v>86</v>
      </c>
      <c r="J306" s="91" t="s">
        <v>45</v>
      </c>
      <c r="K306" s="296">
        <f>4593.1+184+717.3</f>
        <v>5494.4000000000005</v>
      </c>
      <c r="L306" s="32">
        <v>0</v>
      </c>
      <c r="M306" s="296">
        <v>5494.4000000000005</v>
      </c>
      <c r="N306" s="178"/>
    </row>
    <row r="307" spans="1:14" s="144" customFormat="1" ht="56.25" customHeight="1" x14ac:dyDescent="0.35">
      <c r="A307" s="139"/>
      <c r="B307" s="108" t="s">
        <v>50</v>
      </c>
      <c r="C307" s="140" t="s">
        <v>403</v>
      </c>
      <c r="D307" s="141" t="s">
        <v>32</v>
      </c>
      <c r="E307" s="141" t="s">
        <v>66</v>
      </c>
      <c r="F307" s="101" t="s">
        <v>36</v>
      </c>
      <c r="G307" s="89" t="s">
        <v>40</v>
      </c>
      <c r="H307" s="89" t="s">
        <v>76</v>
      </c>
      <c r="I307" s="90" t="s">
        <v>86</v>
      </c>
      <c r="J307" s="91" t="s">
        <v>51</v>
      </c>
      <c r="K307" s="296">
        <v>470.6</v>
      </c>
      <c r="L307" s="32">
        <v>0</v>
      </c>
      <c r="M307" s="296">
        <v>470.6</v>
      </c>
      <c r="N307" s="178"/>
    </row>
    <row r="308" spans="1:14" s="144" customFormat="1" ht="18.75" customHeight="1" x14ac:dyDescent="0.35">
      <c r="A308" s="139"/>
      <c r="B308" s="108" t="s">
        <v>87</v>
      </c>
      <c r="C308" s="140" t="s">
        <v>403</v>
      </c>
      <c r="D308" s="141" t="s">
        <v>47</v>
      </c>
      <c r="E308" s="141"/>
      <c r="F308" s="101"/>
      <c r="G308" s="89"/>
      <c r="H308" s="89"/>
      <c r="I308" s="90"/>
      <c r="J308" s="91"/>
      <c r="K308" s="143">
        <f t="shared" ref="K308:M313" si="48">K309</f>
        <v>2118.6999999999998</v>
      </c>
      <c r="L308" s="143">
        <v>0</v>
      </c>
      <c r="M308" s="143">
        <v>2118.6999999999998</v>
      </c>
      <c r="N308" s="178"/>
    </row>
    <row r="309" spans="1:14" s="144" customFormat="1" ht="37.5" customHeight="1" x14ac:dyDescent="0.35">
      <c r="A309" s="139"/>
      <c r="B309" s="196" t="s">
        <v>101</v>
      </c>
      <c r="C309" s="140" t="s">
        <v>403</v>
      </c>
      <c r="D309" s="141" t="s">
        <v>47</v>
      </c>
      <c r="E309" s="141" t="s">
        <v>95</v>
      </c>
      <c r="F309" s="101"/>
      <c r="G309" s="89"/>
      <c r="H309" s="89"/>
      <c r="I309" s="90"/>
      <c r="J309" s="91"/>
      <c r="K309" s="143">
        <f t="shared" si="48"/>
        <v>2118.6999999999998</v>
      </c>
      <c r="L309" s="143">
        <v>0</v>
      </c>
      <c r="M309" s="143">
        <v>2118.6999999999998</v>
      </c>
      <c r="N309" s="178"/>
    </row>
    <row r="310" spans="1:14" s="144" customFormat="1" ht="56.25" customHeight="1" x14ac:dyDescent="0.35">
      <c r="A310" s="139"/>
      <c r="B310" s="113" t="s">
        <v>220</v>
      </c>
      <c r="C310" s="140" t="s">
        <v>403</v>
      </c>
      <c r="D310" s="141" t="s">
        <v>47</v>
      </c>
      <c r="E310" s="141" t="s">
        <v>95</v>
      </c>
      <c r="F310" s="101" t="s">
        <v>221</v>
      </c>
      <c r="G310" s="89" t="s">
        <v>37</v>
      </c>
      <c r="H310" s="89" t="s">
        <v>38</v>
      </c>
      <c r="I310" s="90" t="s">
        <v>39</v>
      </c>
      <c r="J310" s="91"/>
      <c r="K310" s="143">
        <f t="shared" si="48"/>
        <v>2118.6999999999998</v>
      </c>
      <c r="L310" s="143">
        <v>0</v>
      </c>
      <c r="M310" s="143">
        <v>2118.6999999999998</v>
      </c>
      <c r="N310" s="178"/>
    </row>
    <row r="311" spans="1:14" s="144" customFormat="1" ht="41.25" customHeight="1" x14ac:dyDescent="0.35">
      <c r="A311" s="139"/>
      <c r="B311" s="113" t="s">
        <v>222</v>
      </c>
      <c r="C311" s="140" t="s">
        <v>403</v>
      </c>
      <c r="D311" s="141" t="s">
        <v>47</v>
      </c>
      <c r="E311" s="141" t="s">
        <v>95</v>
      </c>
      <c r="F311" s="101" t="s">
        <v>221</v>
      </c>
      <c r="G311" s="89" t="s">
        <v>40</v>
      </c>
      <c r="H311" s="89" t="s">
        <v>38</v>
      </c>
      <c r="I311" s="90" t="s">
        <v>39</v>
      </c>
      <c r="J311" s="91"/>
      <c r="K311" s="143">
        <f t="shared" si="48"/>
        <v>2118.6999999999998</v>
      </c>
      <c r="L311" s="143">
        <v>0</v>
      </c>
      <c r="M311" s="143">
        <v>2118.6999999999998</v>
      </c>
      <c r="N311" s="178"/>
    </row>
    <row r="312" spans="1:14" s="144" customFormat="1" ht="96.75" customHeight="1" x14ac:dyDescent="0.35">
      <c r="A312" s="139"/>
      <c r="B312" s="113" t="s">
        <v>286</v>
      </c>
      <c r="C312" s="140" t="s">
        <v>403</v>
      </c>
      <c r="D312" s="141" t="s">
        <v>47</v>
      </c>
      <c r="E312" s="141" t="s">
        <v>95</v>
      </c>
      <c r="F312" s="101" t="s">
        <v>221</v>
      </c>
      <c r="G312" s="89" t="s">
        <v>40</v>
      </c>
      <c r="H312" s="89" t="s">
        <v>32</v>
      </c>
      <c r="I312" s="90" t="s">
        <v>39</v>
      </c>
      <c r="J312" s="91"/>
      <c r="K312" s="143">
        <f t="shared" si="48"/>
        <v>2118.6999999999998</v>
      </c>
      <c r="L312" s="143">
        <v>0</v>
      </c>
      <c r="M312" s="143">
        <v>2118.6999999999998</v>
      </c>
      <c r="N312" s="178"/>
    </row>
    <row r="313" spans="1:14" s="144" customFormat="1" ht="37.5" customHeight="1" x14ac:dyDescent="0.35">
      <c r="A313" s="139"/>
      <c r="B313" s="113" t="s">
        <v>359</v>
      </c>
      <c r="C313" s="140" t="s">
        <v>403</v>
      </c>
      <c r="D313" s="141" t="s">
        <v>47</v>
      </c>
      <c r="E313" s="141" t="s">
        <v>95</v>
      </c>
      <c r="F313" s="101" t="s">
        <v>221</v>
      </c>
      <c r="G313" s="89" t="s">
        <v>40</v>
      </c>
      <c r="H313" s="89" t="s">
        <v>32</v>
      </c>
      <c r="I313" s="90" t="s">
        <v>358</v>
      </c>
      <c r="J313" s="91"/>
      <c r="K313" s="143">
        <f t="shared" si="48"/>
        <v>2118.6999999999998</v>
      </c>
      <c r="L313" s="143">
        <v>0</v>
      </c>
      <c r="M313" s="143">
        <v>2118.6999999999998</v>
      </c>
      <c r="N313" s="178"/>
    </row>
    <row r="314" spans="1:14" s="144" customFormat="1" ht="56.25" customHeight="1" x14ac:dyDescent="0.35">
      <c r="A314" s="139"/>
      <c r="B314" s="108" t="s">
        <v>50</v>
      </c>
      <c r="C314" s="140" t="s">
        <v>403</v>
      </c>
      <c r="D314" s="141" t="s">
        <v>47</v>
      </c>
      <c r="E314" s="141" t="s">
        <v>95</v>
      </c>
      <c r="F314" s="101" t="s">
        <v>221</v>
      </c>
      <c r="G314" s="89" t="s">
        <v>40</v>
      </c>
      <c r="H314" s="89" t="s">
        <v>32</v>
      </c>
      <c r="I314" s="90" t="s">
        <v>358</v>
      </c>
      <c r="J314" s="91" t="s">
        <v>51</v>
      </c>
      <c r="K314" s="143">
        <v>2118.6999999999998</v>
      </c>
      <c r="L314" s="32">
        <v>0</v>
      </c>
      <c r="M314" s="143">
        <v>2118.6999999999998</v>
      </c>
      <c r="N314" s="178"/>
    </row>
    <row r="315" spans="1:14" s="144" customFormat="1" ht="18.75" customHeight="1" x14ac:dyDescent="0.35">
      <c r="A315" s="139"/>
      <c r="B315" s="113" t="s">
        <v>172</v>
      </c>
      <c r="C315" s="140" t="s">
        <v>403</v>
      </c>
      <c r="D315" s="141" t="s">
        <v>60</v>
      </c>
      <c r="E315" s="141"/>
      <c r="F315" s="88"/>
      <c r="G315" s="89"/>
      <c r="H315" s="89"/>
      <c r="I315" s="114"/>
      <c r="J315" s="91"/>
      <c r="K315" s="143">
        <f t="shared" ref="K315:M318" si="49">K316</f>
        <v>13351.1</v>
      </c>
      <c r="L315" s="143">
        <v>33.5</v>
      </c>
      <c r="M315" s="143">
        <v>13384.6</v>
      </c>
      <c r="N315" s="178"/>
    </row>
    <row r="316" spans="1:14" s="144" customFormat="1" ht="18.75" customHeight="1" x14ac:dyDescent="0.35">
      <c r="A316" s="139"/>
      <c r="B316" s="113" t="s">
        <v>322</v>
      </c>
      <c r="C316" s="140" t="s">
        <v>403</v>
      </c>
      <c r="D316" s="141" t="s">
        <v>60</v>
      </c>
      <c r="E316" s="141" t="s">
        <v>34</v>
      </c>
      <c r="F316" s="88"/>
      <c r="G316" s="89"/>
      <c r="H316" s="89"/>
      <c r="I316" s="114"/>
      <c r="J316" s="91"/>
      <c r="K316" s="143">
        <f t="shared" ref="K316:M317" si="50">K317</f>
        <v>13351.1</v>
      </c>
      <c r="L316" s="143">
        <v>33.5</v>
      </c>
      <c r="M316" s="143">
        <v>13384.6</v>
      </c>
      <c r="N316" s="178"/>
    </row>
    <row r="317" spans="1:14" s="144" customFormat="1" ht="78.75" customHeight="1" x14ac:dyDescent="0.35">
      <c r="A317" s="139"/>
      <c r="B317" s="151" t="s">
        <v>321</v>
      </c>
      <c r="C317" s="140" t="s">
        <v>403</v>
      </c>
      <c r="D317" s="141" t="s">
        <v>60</v>
      </c>
      <c r="E317" s="141" t="s">
        <v>34</v>
      </c>
      <c r="F317" s="88" t="s">
        <v>99</v>
      </c>
      <c r="G317" s="89" t="s">
        <v>37</v>
      </c>
      <c r="H317" s="89" t="s">
        <v>38</v>
      </c>
      <c r="I317" s="114" t="s">
        <v>39</v>
      </c>
      <c r="J317" s="91"/>
      <c r="K317" s="143">
        <f t="shared" si="50"/>
        <v>13351.1</v>
      </c>
      <c r="L317" s="143">
        <v>33.5</v>
      </c>
      <c r="M317" s="143">
        <v>13384.6</v>
      </c>
      <c r="N317" s="178"/>
    </row>
    <row r="318" spans="1:14" s="144" customFormat="1" ht="56.25" customHeight="1" x14ac:dyDescent="0.35">
      <c r="A318" s="139"/>
      <c r="B318" s="108" t="s">
        <v>323</v>
      </c>
      <c r="C318" s="140" t="s">
        <v>403</v>
      </c>
      <c r="D318" s="141" t="s">
        <v>60</v>
      </c>
      <c r="E318" s="141" t="s">
        <v>34</v>
      </c>
      <c r="F318" s="88" t="s">
        <v>99</v>
      </c>
      <c r="G318" s="89" t="s">
        <v>40</v>
      </c>
      <c r="H318" s="89" t="s">
        <v>38</v>
      </c>
      <c r="I318" s="114" t="s">
        <v>39</v>
      </c>
      <c r="J318" s="91"/>
      <c r="K318" s="143">
        <f t="shared" si="49"/>
        <v>13351.1</v>
      </c>
      <c r="L318" s="143">
        <v>33.5</v>
      </c>
      <c r="M318" s="143">
        <v>13384.6</v>
      </c>
      <c r="N318" s="178"/>
    </row>
    <row r="319" spans="1:14" s="144" customFormat="1" ht="56.25" customHeight="1" x14ac:dyDescent="0.35">
      <c r="A319" s="139"/>
      <c r="B319" s="108" t="s">
        <v>360</v>
      </c>
      <c r="C319" s="140" t="s">
        <v>403</v>
      </c>
      <c r="D319" s="141" t="s">
        <v>60</v>
      </c>
      <c r="E319" s="141" t="s">
        <v>34</v>
      </c>
      <c r="F319" s="88" t="s">
        <v>99</v>
      </c>
      <c r="G319" s="89" t="s">
        <v>40</v>
      </c>
      <c r="H319" s="89" t="s">
        <v>32</v>
      </c>
      <c r="I319" s="114" t="s">
        <v>39</v>
      </c>
      <c r="J319" s="91"/>
      <c r="K319" s="143">
        <f>K322+K320</f>
        <v>13351.1</v>
      </c>
      <c r="L319" s="143">
        <v>33.5</v>
      </c>
      <c r="M319" s="143">
        <v>13384.6</v>
      </c>
      <c r="N319" s="178"/>
    </row>
    <row r="320" spans="1:14" s="144" customFormat="1" ht="72" customHeight="1" x14ac:dyDescent="0.35">
      <c r="A320" s="139"/>
      <c r="B320" s="108" t="s">
        <v>551</v>
      </c>
      <c r="C320" s="140" t="s">
        <v>403</v>
      </c>
      <c r="D320" s="141" t="s">
        <v>60</v>
      </c>
      <c r="E320" s="141" t="s">
        <v>34</v>
      </c>
      <c r="F320" s="88" t="s">
        <v>99</v>
      </c>
      <c r="G320" s="89" t="s">
        <v>40</v>
      </c>
      <c r="H320" s="89" t="s">
        <v>32</v>
      </c>
      <c r="I320" s="114" t="s">
        <v>550</v>
      </c>
      <c r="J320" s="91"/>
      <c r="K320" s="143">
        <f>K321</f>
        <v>996.2</v>
      </c>
      <c r="L320" s="143">
        <v>33.5</v>
      </c>
      <c r="M320" s="143">
        <v>1029.7</v>
      </c>
      <c r="N320" s="178"/>
    </row>
    <row r="321" spans="1:14" s="144" customFormat="1" ht="56.25" customHeight="1" x14ac:dyDescent="0.35">
      <c r="A321" s="139"/>
      <c r="B321" s="108" t="s">
        <v>198</v>
      </c>
      <c r="C321" s="140" t="s">
        <v>403</v>
      </c>
      <c r="D321" s="141" t="s">
        <v>60</v>
      </c>
      <c r="E321" s="141" t="s">
        <v>34</v>
      </c>
      <c r="F321" s="88" t="s">
        <v>99</v>
      </c>
      <c r="G321" s="89" t="s">
        <v>40</v>
      </c>
      <c r="H321" s="89" t="s">
        <v>32</v>
      </c>
      <c r="I321" s="114" t="s">
        <v>550</v>
      </c>
      <c r="J321" s="91" t="s">
        <v>199</v>
      </c>
      <c r="K321" s="143">
        <v>996.2</v>
      </c>
      <c r="L321" s="32">
        <v>33.5</v>
      </c>
      <c r="M321" s="588">
        <v>1029.7</v>
      </c>
      <c r="N321" s="178"/>
    </row>
    <row r="322" spans="1:14" s="144" customFormat="1" ht="75" customHeight="1" x14ac:dyDescent="0.35">
      <c r="A322" s="139"/>
      <c r="B322" s="108" t="s">
        <v>482</v>
      </c>
      <c r="C322" s="140" t="s">
        <v>403</v>
      </c>
      <c r="D322" s="141" t="s">
        <v>60</v>
      </c>
      <c r="E322" s="141" t="s">
        <v>34</v>
      </c>
      <c r="F322" s="88" t="s">
        <v>99</v>
      </c>
      <c r="G322" s="89" t="s">
        <v>40</v>
      </c>
      <c r="H322" s="89" t="s">
        <v>32</v>
      </c>
      <c r="I322" s="114" t="s">
        <v>404</v>
      </c>
      <c r="J322" s="91"/>
      <c r="K322" s="143">
        <f t="shared" ref="K322:M322" si="51">K323</f>
        <v>12354.9</v>
      </c>
      <c r="L322" s="143">
        <v>0</v>
      </c>
      <c r="M322" s="143">
        <v>12354.9</v>
      </c>
      <c r="N322" s="178"/>
    </row>
    <row r="323" spans="1:14" s="144" customFormat="1" ht="56.25" customHeight="1" x14ac:dyDescent="0.35">
      <c r="A323" s="139"/>
      <c r="B323" s="108" t="s">
        <v>198</v>
      </c>
      <c r="C323" s="140" t="s">
        <v>403</v>
      </c>
      <c r="D323" s="141" t="s">
        <v>60</v>
      </c>
      <c r="E323" s="141" t="s">
        <v>34</v>
      </c>
      <c r="F323" s="88" t="s">
        <v>99</v>
      </c>
      <c r="G323" s="89" t="s">
        <v>40</v>
      </c>
      <c r="H323" s="89" t="s">
        <v>32</v>
      </c>
      <c r="I323" s="114" t="s">
        <v>404</v>
      </c>
      <c r="J323" s="91" t="s">
        <v>199</v>
      </c>
      <c r="K323" s="143">
        <v>12354.9</v>
      </c>
      <c r="L323" s="32">
        <v>0</v>
      </c>
      <c r="M323" s="143">
        <v>12354.9</v>
      </c>
      <c r="N323" s="178"/>
    </row>
    <row r="324" spans="1:14" s="144" customFormat="1" ht="18.75" customHeight="1" x14ac:dyDescent="0.35">
      <c r="A324" s="139"/>
      <c r="B324" s="87" t="s">
        <v>174</v>
      </c>
      <c r="C324" s="140" t="s">
        <v>403</v>
      </c>
      <c r="D324" s="141" t="s">
        <v>219</v>
      </c>
      <c r="E324" s="141"/>
      <c r="F324" s="88"/>
      <c r="G324" s="89"/>
      <c r="H324" s="89"/>
      <c r="I324" s="114"/>
      <c r="J324" s="91"/>
      <c r="K324" s="143">
        <f>K333+K325+K339</f>
        <v>131095.79999999999</v>
      </c>
      <c r="L324" s="143">
        <v>790.49999999999966</v>
      </c>
      <c r="M324" s="143">
        <v>131886.29999999999</v>
      </c>
      <c r="N324" s="178"/>
    </row>
    <row r="325" spans="1:14" s="144" customFormat="1" ht="18.75" customHeight="1" x14ac:dyDescent="0.35">
      <c r="A325" s="139"/>
      <c r="B325" s="87" t="s">
        <v>176</v>
      </c>
      <c r="C325" s="140" t="s">
        <v>403</v>
      </c>
      <c r="D325" s="141" t="s">
        <v>219</v>
      </c>
      <c r="E325" s="141" t="s">
        <v>32</v>
      </c>
      <c r="F325" s="88"/>
      <c r="G325" s="89"/>
      <c r="H325" s="89"/>
      <c r="I325" s="90"/>
      <c r="J325" s="91"/>
      <c r="K325" s="143">
        <f t="shared" ref="K325:M329" si="52">K326</f>
        <v>130330.4</v>
      </c>
      <c r="L325" s="143">
        <v>1041.3999999999996</v>
      </c>
      <c r="M325" s="143">
        <v>131371.79999999999</v>
      </c>
      <c r="N325" s="178"/>
    </row>
    <row r="326" spans="1:14" s="144" customFormat="1" ht="56.25" customHeight="1" x14ac:dyDescent="0.35">
      <c r="A326" s="139"/>
      <c r="B326" s="87" t="s">
        <v>415</v>
      </c>
      <c r="C326" s="140" t="s">
        <v>403</v>
      </c>
      <c r="D326" s="141" t="s">
        <v>219</v>
      </c>
      <c r="E326" s="141" t="s">
        <v>32</v>
      </c>
      <c r="F326" s="88" t="s">
        <v>34</v>
      </c>
      <c r="G326" s="89" t="s">
        <v>37</v>
      </c>
      <c r="H326" s="89" t="s">
        <v>38</v>
      </c>
      <c r="I326" s="90" t="s">
        <v>39</v>
      </c>
      <c r="J326" s="91"/>
      <c r="K326" s="143">
        <f t="shared" si="52"/>
        <v>130330.4</v>
      </c>
      <c r="L326" s="143">
        <v>1041.3999999999996</v>
      </c>
      <c r="M326" s="143">
        <v>131371.79999999999</v>
      </c>
      <c r="N326" s="178"/>
    </row>
    <row r="327" spans="1:14" s="144" customFormat="1" ht="36.6" customHeight="1" x14ac:dyDescent="0.35">
      <c r="A327" s="139"/>
      <c r="B327" s="87" t="s">
        <v>201</v>
      </c>
      <c r="C327" s="140" t="s">
        <v>403</v>
      </c>
      <c r="D327" s="141" t="s">
        <v>219</v>
      </c>
      <c r="E327" s="141" t="s">
        <v>32</v>
      </c>
      <c r="F327" s="88" t="s">
        <v>34</v>
      </c>
      <c r="G327" s="89" t="s">
        <v>40</v>
      </c>
      <c r="H327" s="89" t="s">
        <v>38</v>
      </c>
      <c r="I327" s="90" t="s">
        <v>39</v>
      </c>
      <c r="J327" s="91"/>
      <c r="K327" s="143">
        <f t="shared" si="52"/>
        <v>130330.4</v>
      </c>
      <c r="L327" s="143">
        <v>1041.3999999999996</v>
      </c>
      <c r="M327" s="143">
        <v>131371.79999999999</v>
      </c>
      <c r="N327" s="178"/>
    </row>
    <row r="328" spans="1:14" s="144" customFormat="1" ht="37.5" customHeight="1" x14ac:dyDescent="0.35">
      <c r="A328" s="139"/>
      <c r="B328" s="87" t="s">
        <v>255</v>
      </c>
      <c r="C328" s="140" t="s">
        <v>403</v>
      </c>
      <c r="D328" s="141" t="s">
        <v>219</v>
      </c>
      <c r="E328" s="141" t="s">
        <v>32</v>
      </c>
      <c r="F328" s="88" t="s">
        <v>34</v>
      </c>
      <c r="G328" s="89" t="s">
        <v>40</v>
      </c>
      <c r="H328" s="89" t="s">
        <v>32</v>
      </c>
      <c r="I328" s="114" t="s">
        <v>39</v>
      </c>
      <c r="J328" s="91"/>
      <c r="K328" s="143">
        <f>K329+K331</f>
        <v>130330.4</v>
      </c>
      <c r="L328" s="143">
        <v>1041.3999999999996</v>
      </c>
      <c r="M328" s="143">
        <v>131371.79999999999</v>
      </c>
      <c r="N328" s="178"/>
    </row>
    <row r="329" spans="1:14" s="144" customFormat="1" ht="37.5" customHeight="1" x14ac:dyDescent="0.35">
      <c r="A329" s="139"/>
      <c r="B329" s="30" t="s">
        <v>203</v>
      </c>
      <c r="C329" s="140" t="s">
        <v>403</v>
      </c>
      <c r="D329" s="141" t="s">
        <v>219</v>
      </c>
      <c r="E329" s="141" t="s">
        <v>32</v>
      </c>
      <c r="F329" s="88" t="s">
        <v>34</v>
      </c>
      <c r="G329" s="89" t="s">
        <v>40</v>
      </c>
      <c r="H329" s="89" t="s">
        <v>32</v>
      </c>
      <c r="I329" s="114" t="s">
        <v>262</v>
      </c>
      <c r="J329" s="91"/>
      <c r="K329" s="143">
        <f t="shared" si="52"/>
        <v>2851.2000000000003</v>
      </c>
      <c r="L329" s="143">
        <v>1041.3999999999996</v>
      </c>
      <c r="M329" s="143">
        <v>3892.6</v>
      </c>
      <c r="N329" s="178"/>
    </row>
    <row r="330" spans="1:14" s="144" customFormat="1" ht="56.25" customHeight="1" x14ac:dyDescent="0.35">
      <c r="A330" s="139"/>
      <c r="B330" s="87" t="s">
        <v>198</v>
      </c>
      <c r="C330" s="140" t="s">
        <v>403</v>
      </c>
      <c r="D330" s="141" t="s">
        <v>219</v>
      </c>
      <c r="E330" s="141" t="s">
        <v>32</v>
      </c>
      <c r="F330" s="88" t="s">
        <v>34</v>
      </c>
      <c r="G330" s="89" t="s">
        <v>40</v>
      </c>
      <c r="H330" s="89" t="s">
        <v>32</v>
      </c>
      <c r="I330" s="114" t="s">
        <v>262</v>
      </c>
      <c r="J330" s="91" t="s">
        <v>199</v>
      </c>
      <c r="K330" s="143">
        <f>2543.4+129.4+178.4</f>
        <v>2851.2000000000003</v>
      </c>
      <c r="L330" s="32">
        <v>1041.3999999999996</v>
      </c>
      <c r="M330" s="588">
        <v>3892.6</v>
      </c>
      <c r="N330" s="178"/>
    </row>
    <row r="331" spans="1:14" s="144" customFormat="1" ht="108" x14ac:dyDescent="0.35">
      <c r="A331" s="139"/>
      <c r="B331" s="87" t="s">
        <v>484</v>
      </c>
      <c r="C331" s="140" t="s">
        <v>403</v>
      </c>
      <c r="D331" s="141" t="s">
        <v>219</v>
      </c>
      <c r="E331" s="141" t="s">
        <v>32</v>
      </c>
      <c r="F331" s="88" t="s">
        <v>34</v>
      </c>
      <c r="G331" s="89" t="s">
        <v>40</v>
      </c>
      <c r="H331" s="89" t="s">
        <v>32</v>
      </c>
      <c r="I331" s="114" t="s">
        <v>483</v>
      </c>
      <c r="J331" s="91"/>
      <c r="K331" s="308">
        <f>K332</f>
        <v>127479.2</v>
      </c>
      <c r="L331" s="308">
        <v>0</v>
      </c>
      <c r="M331" s="308">
        <v>127479.2</v>
      </c>
      <c r="N331" s="178"/>
    </row>
    <row r="332" spans="1:14" s="144" customFormat="1" ht="54" x14ac:dyDescent="0.35">
      <c r="A332" s="139"/>
      <c r="B332" s="87" t="s">
        <v>198</v>
      </c>
      <c r="C332" s="140" t="s">
        <v>403</v>
      </c>
      <c r="D332" s="141" t="s">
        <v>219</v>
      </c>
      <c r="E332" s="141" t="s">
        <v>32</v>
      </c>
      <c r="F332" s="88" t="s">
        <v>34</v>
      </c>
      <c r="G332" s="89" t="s">
        <v>40</v>
      </c>
      <c r="H332" s="89" t="s">
        <v>32</v>
      </c>
      <c r="I332" s="114" t="s">
        <v>483</v>
      </c>
      <c r="J332" s="91" t="s">
        <v>199</v>
      </c>
      <c r="K332" s="308">
        <f>98157.2+28442+880</f>
        <v>127479.2</v>
      </c>
      <c r="L332" s="32">
        <v>0</v>
      </c>
      <c r="M332" s="308">
        <v>127479.2</v>
      </c>
      <c r="N332" s="178"/>
    </row>
    <row r="333" spans="1:14" s="144" customFormat="1" ht="18.75" customHeight="1" x14ac:dyDescent="0.35">
      <c r="A333" s="139"/>
      <c r="B333" s="87" t="s">
        <v>178</v>
      </c>
      <c r="C333" s="140" t="s">
        <v>403</v>
      </c>
      <c r="D333" s="141" t="s">
        <v>219</v>
      </c>
      <c r="E333" s="141" t="s">
        <v>34</v>
      </c>
      <c r="F333" s="88"/>
      <c r="G333" s="89"/>
      <c r="H333" s="89"/>
      <c r="I333" s="114"/>
      <c r="J333" s="91"/>
      <c r="K333" s="143">
        <f t="shared" ref="K333:M337" si="53">K334</f>
        <v>755.40000000000009</v>
      </c>
      <c r="L333" s="143">
        <v>-250.89999999999998</v>
      </c>
      <c r="M333" s="143">
        <v>504.50000000000011</v>
      </c>
      <c r="N333" s="178"/>
    </row>
    <row r="334" spans="1:14" s="144" customFormat="1" ht="56.25" customHeight="1" x14ac:dyDescent="0.35">
      <c r="A334" s="139"/>
      <c r="B334" s="87" t="s">
        <v>200</v>
      </c>
      <c r="C334" s="140" t="s">
        <v>403</v>
      </c>
      <c r="D334" s="141" t="s">
        <v>219</v>
      </c>
      <c r="E334" s="141" t="s">
        <v>34</v>
      </c>
      <c r="F334" s="88" t="s">
        <v>34</v>
      </c>
      <c r="G334" s="89" t="s">
        <v>37</v>
      </c>
      <c r="H334" s="89" t="s">
        <v>38</v>
      </c>
      <c r="I334" s="90" t="s">
        <v>39</v>
      </c>
      <c r="J334" s="91"/>
      <c r="K334" s="143">
        <f t="shared" si="53"/>
        <v>755.40000000000009</v>
      </c>
      <c r="L334" s="143">
        <v>-250.89999999999998</v>
      </c>
      <c r="M334" s="143">
        <v>504.50000000000011</v>
      </c>
      <c r="N334" s="178"/>
    </row>
    <row r="335" spans="1:14" s="144" customFormat="1" ht="37.5" customHeight="1" x14ac:dyDescent="0.35">
      <c r="A335" s="139"/>
      <c r="B335" s="87" t="s">
        <v>201</v>
      </c>
      <c r="C335" s="140" t="s">
        <v>403</v>
      </c>
      <c r="D335" s="141" t="s">
        <v>219</v>
      </c>
      <c r="E335" s="141" t="s">
        <v>34</v>
      </c>
      <c r="F335" s="88" t="s">
        <v>34</v>
      </c>
      <c r="G335" s="89" t="s">
        <v>40</v>
      </c>
      <c r="H335" s="89" t="s">
        <v>38</v>
      </c>
      <c r="I335" s="90" t="s">
        <v>39</v>
      </c>
      <c r="J335" s="91"/>
      <c r="K335" s="143">
        <f t="shared" si="53"/>
        <v>755.40000000000009</v>
      </c>
      <c r="L335" s="143">
        <v>-250.89999999999998</v>
      </c>
      <c r="M335" s="143">
        <v>504.50000000000011</v>
      </c>
      <c r="N335" s="178"/>
    </row>
    <row r="336" spans="1:14" s="144" customFormat="1" ht="18.75" customHeight="1" x14ac:dyDescent="0.35">
      <c r="A336" s="139"/>
      <c r="B336" s="87" t="s">
        <v>260</v>
      </c>
      <c r="C336" s="140" t="s">
        <v>403</v>
      </c>
      <c r="D336" s="141" t="s">
        <v>219</v>
      </c>
      <c r="E336" s="141" t="s">
        <v>34</v>
      </c>
      <c r="F336" s="88" t="s">
        <v>34</v>
      </c>
      <c r="G336" s="89" t="s">
        <v>40</v>
      </c>
      <c r="H336" s="89" t="s">
        <v>34</v>
      </c>
      <c r="I336" s="90" t="s">
        <v>39</v>
      </c>
      <c r="J336" s="91"/>
      <c r="K336" s="143">
        <f t="shared" si="53"/>
        <v>755.40000000000009</v>
      </c>
      <c r="L336" s="143">
        <v>-250.89999999999998</v>
      </c>
      <c r="M336" s="143">
        <v>504.50000000000011</v>
      </c>
      <c r="N336" s="178"/>
    </row>
    <row r="337" spans="1:14" s="144" customFormat="1" ht="37.5" customHeight="1" x14ac:dyDescent="0.35">
      <c r="A337" s="139"/>
      <c r="B337" s="87" t="s">
        <v>203</v>
      </c>
      <c r="C337" s="140" t="s">
        <v>403</v>
      </c>
      <c r="D337" s="141" t="s">
        <v>219</v>
      </c>
      <c r="E337" s="141" t="s">
        <v>34</v>
      </c>
      <c r="F337" s="88" t="s">
        <v>34</v>
      </c>
      <c r="G337" s="89" t="s">
        <v>40</v>
      </c>
      <c r="H337" s="89" t="s">
        <v>34</v>
      </c>
      <c r="I337" s="90" t="s">
        <v>262</v>
      </c>
      <c r="J337" s="91"/>
      <c r="K337" s="143">
        <f t="shared" si="53"/>
        <v>755.40000000000009</v>
      </c>
      <c r="L337" s="143">
        <v>-250.89999999999998</v>
      </c>
      <c r="M337" s="143">
        <v>504.50000000000011</v>
      </c>
      <c r="N337" s="178"/>
    </row>
    <row r="338" spans="1:14" s="144" customFormat="1" ht="56.25" customHeight="1" x14ac:dyDescent="0.35">
      <c r="A338" s="139"/>
      <c r="B338" s="87" t="s">
        <v>198</v>
      </c>
      <c r="C338" s="140" t="s">
        <v>403</v>
      </c>
      <c r="D338" s="141" t="s">
        <v>219</v>
      </c>
      <c r="E338" s="141" t="s">
        <v>34</v>
      </c>
      <c r="F338" s="88" t="s">
        <v>34</v>
      </c>
      <c r="G338" s="89" t="s">
        <v>40</v>
      </c>
      <c r="H338" s="89" t="s">
        <v>34</v>
      </c>
      <c r="I338" s="90" t="s">
        <v>262</v>
      </c>
      <c r="J338" s="91" t="s">
        <v>199</v>
      </c>
      <c r="K338" s="216">
        <f>127.3+82.8+197.4+168.1+179.8</f>
        <v>755.40000000000009</v>
      </c>
      <c r="L338" s="32">
        <v>-250.89999999999998</v>
      </c>
      <c r="M338" s="587">
        <v>504.50000000000011</v>
      </c>
      <c r="N338" s="178"/>
    </row>
    <row r="339" spans="1:14" s="144" customFormat="1" ht="36" x14ac:dyDescent="0.35">
      <c r="A339" s="139"/>
      <c r="B339" s="30" t="s">
        <v>523</v>
      </c>
      <c r="C339" s="140" t="s">
        <v>403</v>
      </c>
      <c r="D339" s="16" t="s">
        <v>219</v>
      </c>
      <c r="E339" s="16" t="s">
        <v>60</v>
      </c>
      <c r="F339" s="88"/>
      <c r="G339" s="89"/>
      <c r="H339" s="89"/>
      <c r="I339" s="90"/>
      <c r="J339" s="91"/>
      <c r="K339" s="296">
        <f t="shared" ref="K339:M343" si="54">K340</f>
        <v>10</v>
      </c>
      <c r="L339" s="296">
        <v>0</v>
      </c>
      <c r="M339" s="296">
        <v>10</v>
      </c>
      <c r="N339" s="178"/>
    </row>
    <row r="340" spans="1:14" s="144" customFormat="1" ht="56.25" customHeight="1" x14ac:dyDescent="0.35">
      <c r="A340" s="139"/>
      <c r="B340" s="113" t="s">
        <v>220</v>
      </c>
      <c r="C340" s="140" t="s">
        <v>403</v>
      </c>
      <c r="D340" s="16" t="s">
        <v>219</v>
      </c>
      <c r="E340" s="16" t="s">
        <v>60</v>
      </c>
      <c r="F340" s="101" t="s">
        <v>221</v>
      </c>
      <c r="G340" s="89" t="s">
        <v>37</v>
      </c>
      <c r="H340" s="89" t="s">
        <v>38</v>
      </c>
      <c r="I340" s="90" t="s">
        <v>39</v>
      </c>
      <c r="J340" s="91"/>
      <c r="K340" s="296">
        <f t="shared" si="54"/>
        <v>10</v>
      </c>
      <c r="L340" s="296">
        <v>0</v>
      </c>
      <c r="M340" s="296">
        <v>10</v>
      </c>
      <c r="N340" s="178"/>
    </row>
    <row r="341" spans="1:14" s="144" customFormat="1" ht="36" x14ac:dyDescent="0.35">
      <c r="A341" s="139"/>
      <c r="B341" s="87" t="s">
        <v>224</v>
      </c>
      <c r="C341" s="140" t="s">
        <v>403</v>
      </c>
      <c r="D341" s="16" t="s">
        <v>219</v>
      </c>
      <c r="E341" s="16" t="s">
        <v>60</v>
      </c>
      <c r="F341" s="101" t="s">
        <v>221</v>
      </c>
      <c r="G341" s="89" t="s">
        <v>84</v>
      </c>
      <c r="H341" s="89" t="s">
        <v>38</v>
      </c>
      <c r="I341" s="90" t="s">
        <v>39</v>
      </c>
      <c r="J341" s="91"/>
      <c r="K341" s="296">
        <f t="shared" si="54"/>
        <v>10</v>
      </c>
      <c r="L341" s="296">
        <v>0</v>
      </c>
      <c r="M341" s="296">
        <v>10</v>
      </c>
      <c r="N341" s="178"/>
    </row>
    <row r="342" spans="1:14" s="144" customFormat="1" ht="56.25" customHeight="1" x14ac:dyDescent="0.35">
      <c r="A342" s="139"/>
      <c r="B342" s="87" t="s">
        <v>290</v>
      </c>
      <c r="C342" s="140" t="s">
        <v>403</v>
      </c>
      <c r="D342" s="16" t="s">
        <v>219</v>
      </c>
      <c r="E342" s="16" t="s">
        <v>60</v>
      </c>
      <c r="F342" s="101" t="s">
        <v>221</v>
      </c>
      <c r="G342" s="89" t="s">
        <v>84</v>
      </c>
      <c r="H342" s="89" t="s">
        <v>32</v>
      </c>
      <c r="I342" s="90" t="s">
        <v>39</v>
      </c>
      <c r="J342" s="91"/>
      <c r="K342" s="296">
        <f t="shared" si="54"/>
        <v>10</v>
      </c>
      <c r="L342" s="296">
        <v>0</v>
      </c>
      <c r="M342" s="296">
        <v>10</v>
      </c>
      <c r="N342" s="178"/>
    </row>
    <row r="343" spans="1:14" s="144" customFormat="1" ht="36" x14ac:dyDescent="0.35">
      <c r="A343" s="139"/>
      <c r="B343" s="30" t="s">
        <v>525</v>
      </c>
      <c r="C343" s="140" t="s">
        <v>403</v>
      </c>
      <c r="D343" s="16" t="s">
        <v>219</v>
      </c>
      <c r="E343" s="16" t="s">
        <v>60</v>
      </c>
      <c r="F343" s="101" t="s">
        <v>221</v>
      </c>
      <c r="G343" s="89" t="s">
        <v>84</v>
      </c>
      <c r="H343" s="89" t="s">
        <v>32</v>
      </c>
      <c r="I343" s="90" t="s">
        <v>524</v>
      </c>
      <c r="J343" s="91"/>
      <c r="K343" s="296">
        <f t="shared" si="54"/>
        <v>10</v>
      </c>
      <c r="L343" s="296">
        <v>0</v>
      </c>
      <c r="M343" s="296">
        <v>10</v>
      </c>
      <c r="N343" s="178"/>
    </row>
    <row r="344" spans="1:14" s="144" customFormat="1" ht="56.25" customHeight="1" x14ac:dyDescent="0.35">
      <c r="A344" s="139"/>
      <c r="B344" s="30" t="s">
        <v>50</v>
      </c>
      <c r="C344" s="140" t="s">
        <v>403</v>
      </c>
      <c r="D344" s="16" t="s">
        <v>219</v>
      </c>
      <c r="E344" s="16" t="s">
        <v>60</v>
      </c>
      <c r="F344" s="101" t="s">
        <v>221</v>
      </c>
      <c r="G344" s="89" t="s">
        <v>84</v>
      </c>
      <c r="H344" s="89" t="s">
        <v>32</v>
      </c>
      <c r="I344" s="90" t="s">
        <v>524</v>
      </c>
      <c r="J344" s="91" t="s">
        <v>51</v>
      </c>
      <c r="K344" s="568">
        <v>10</v>
      </c>
      <c r="L344" s="32">
        <v>0</v>
      </c>
      <c r="M344" s="568">
        <v>10</v>
      </c>
      <c r="N344" s="178"/>
    </row>
    <row r="345" spans="1:14" s="155" customFormat="1" ht="18.75" customHeight="1" x14ac:dyDescent="0.35">
      <c r="A345" s="152"/>
      <c r="B345" s="153" t="s">
        <v>114</v>
      </c>
      <c r="C345" s="154" t="s">
        <v>403</v>
      </c>
      <c r="D345" s="112" t="s">
        <v>99</v>
      </c>
      <c r="E345" s="141"/>
      <c r="F345" s="109"/>
      <c r="G345" s="110"/>
      <c r="H345" s="110"/>
      <c r="I345" s="111"/>
      <c r="J345" s="112"/>
      <c r="K345" s="197">
        <f t="shared" ref="K345:M348" si="55">K346</f>
        <v>48897.8</v>
      </c>
      <c r="L345" s="197">
        <v>0</v>
      </c>
      <c r="M345" s="197">
        <v>48897.8</v>
      </c>
    </row>
    <row r="346" spans="1:14" s="155" customFormat="1" ht="18.75" customHeight="1" x14ac:dyDescent="0.35">
      <c r="A346" s="152"/>
      <c r="B346" s="108" t="s">
        <v>188</v>
      </c>
      <c r="C346" s="154" t="s">
        <v>403</v>
      </c>
      <c r="D346" s="112" t="s">
        <v>99</v>
      </c>
      <c r="E346" s="112" t="s">
        <v>47</v>
      </c>
      <c r="F346" s="109"/>
      <c r="G346" s="110"/>
      <c r="H346" s="110"/>
      <c r="I346" s="111"/>
      <c r="J346" s="112"/>
      <c r="K346" s="197">
        <f t="shared" si="55"/>
        <v>48897.8</v>
      </c>
      <c r="L346" s="197">
        <v>0</v>
      </c>
      <c r="M346" s="197">
        <v>48897.8</v>
      </c>
    </row>
    <row r="347" spans="1:14" s="155" customFormat="1" ht="56.25" customHeight="1" x14ac:dyDescent="0.35">
      <c r="A347" s="152"/>
      <c r="B347" s="156" t="s">
        <v>225</v>
      </c>
      <c r="C347" s="154" t="s">
        <v>403</v>
      </c>
      <c r="D347" s="112" t="s">
        <v>99</v>
      </c>
      <c r="E347" s="112" t="s">
        <v>47</v>
      </c>
      <c r="F347" s="109" t="s">
        <v>74</v>
      </c>
      <c r="G347" s="110" t="s">
        <v>37</v>
      </c>
      <c r="H347" s="110" t="s">
        <v>38</v>
      </c>
      <c r="I347" s="111" t="s">
        <v>39</v>
      </c>
      <c r="J347" s="112"/>
      <c r="K347" s="197">
        <f t="shared" si="55"/>
        <v>48897.8</v>
      </c>
      <c r="L347" s="197">
        <v>0</v>
      </c>
      <c r="M347" s="197">
        <v>48897.8</v>
      </c>
    </row>
    <row r="348" spans="1:14" s="155" customFormat="1" ht="37.5" customHeight="1" x14ac:dyDescent="0.35">
      <c r="A348" s="152"/>
      <c r="B348" s="108" t="s">
        <v>328</v>
      </c>
      <c r="C348" s="154" t="s">
        <v>403</v>
      </c>
      <c r="D348" s="112" t="s">
        <v>99</v>
      </c>
      <c r="E348" s="112" t="s">
        <v>47</v>
      </c>
      <c r="F348" s="109" t="s">
        <v>74</v>
      </c>
      <c r="G348" s="110" t="s">
        <v>40</v>
      </c>
      <c r="H348" s="110" t="s">
        <v>38</v>
      </c>
      <c r="I348" s="111" t="s">
        <v>39</v>
      </c>
      <c r="J348" s="112"/>
      <c r="K348" s="197">
        <f t="shared" si="55"/>
        <v>48897.8</v>
      </c>
      <c r="L348" s="197">
        <v>0</v>
      </c>
      <c r="M348" s="197">
        <v>48897.8</v>
      </c>
    </row>
    <row r="349" spans="1:14" s="157" customFormat="1" ht="93.75" customHeight="1" x14ac:dyDescent="0.35">
      <c r="A349" s="152"/>
      <c r="B349" s="108" t="s">
        <v>289</v>
      </c>
      <c r="C349" s="154" t="s">
        <v>403</v>
      </c>
      <c r="D349" s="112" t="s">
        <v>99</v>
      </c>
      <c r="E349" s="112" t="s">
        <v>47</v>
      </c>
      <c r="F349" s="109" t="s">
        <v>74</v>
      </c>
      <c r="G349" s="110" t="s">
        <v>40</v>
      </c>
      <c r="H349" s="110" t="s">
        <v>34</v>
      </c>
      <c r="I349" s="111" t="s">
        <v>39</v>
      </c>
      <c r="J349" s="112"/>
      <c r="K349" s="197">
        <f>K350+K352</f>
        <v>48897.8</v>
      </c>
      <c r="L349" s="197">
        <v>0</v>
      </c>
      <c r="M349" s="197">
        <v>48897.8</v>
      </c>
    </row>
    <row r="350" spans="1:14" s="144" customFormat="1" ht="110.25" customHeight="1" x14ac:dyDescent="0.35">
      <c r="A350" s="139"/>
      <c r="B350" s="113" t="s">
        <v>405</v>
      </c>
      <c r="C350" s="140" t="s">
        <v>403</v>
      </c>
      <c r="D350" s="141" t="s">
        <v>99</v>
      </c>
      <c r="E350" s="141" t="s">
        <v>47</v>
      </c>
      <c r="F350" s="88" t="s">
        <v>74</v>
      </c>
      <c r="G350" s="89" t="s">
        <v>40</v>
      </c>
      <c r="H350" s="89" t="s">
        <v>34</v>
      </c>
      <c r="I350" s="114" t="s">
        <v>406</v>
      </c>
      <c r="J350" s="91"/>
      <c r="K350" s="143">
        <f t="shared" ref="K350:M350" si="56">K351</f>
        <v>40756</v>
      </c>
      <c r="L350" s="143">
        <v>0</v>
      </c>
      <c r="M350" s="143">
        <v>40756</v>
      </c>
      <c r="N350" s="178"/>
    </row>
    <row r="351" spans="1:14" s="144" customFormat="1" ht="56.25" customHeight="1" x14ac:dyDescent="0.35">
      <c r="A351" s="139"/>
      <c r="B351" s="113" t="s">
        <v>198</v>
      </c>
      <c r="C351" s="140" t="s">
        <v>403</v>
      </c>
      <c r="D351" s="141" t="s">
        <v>99</v>
      </c>
      <c r="E351" s="141" t="s">
        <v>47</v>
      </c>
      <c r="F351" s="88" t="s">
        <v>74</v>
      </c>
      <c r="G351" s="89" t="s">
        <v>40</v>
      </c>
      <c r="H351" s="89" t="s">
        <v>34</v>
      </c>
      <c r="I351" s="114" t="s">
        <v>406</v>
      </c>
      <c r="J351" s="91" t="s">
        <v>199</v>
      </c>
      <c r="K351" s="143">
        <f>48897.8-8141.8</f>
        <v>40756</v>
      </c>
      <c r="L351" s="32">
        <v>0</v>
      </c>
      <c r="M351" s="143">
        <v>40756</v>
      </c>
      <c r="N351" s="178"/>
    </row>
    <row r="352" spans="1:14" s="144" customFormat="1" ht="110.4" customHeight="1" x14ac:dyDescent="0.35">
      <c r="A352" s="139"/>
      <c r="B352" s="113" t="s">
        <v>405</v>
      </c>
      <c r="C352" s="140" t="s">
        <v>403</v>
      </c>
      <c r="D352" s="141" t="s">
        <v>99</v>
      </c>
      <c r="E352" s="141" t="s">
        <v>47</v>
      </c>
      <c r="F352" s="88" t="s">
        <v>74</v>
      </c>
      <c r="G352" s="89" t="s">
        <v>40</v>
      </c>
      <c r="H352" s="89" t="s">
        <v>34</v>
      </c>
      <c r="I352" s="114" t="s">
        <v>544</v>
      </c>
      <c r="J352" s="91"/>
      <c r="K352" s="308">
        <f>K353</f>
        <v>8141.8</v>
      </c>
      <c r="L352" s="308">
        <v>0</v>
      </c>
      <c r="M352" s="308">
        <v>8141.8</v>
      </c>
      <c r="N352" s="178"/>
    </row>
    <row r="353" spans="1:15" s="144" customFormat="1" ht="56.25" customHeight="1" x14ac:dyDescent="0.35">
      <c r="A353" s="139"/>
      <c r="B353" s="113" t="s">
        <v>198</v>
      </c>
      <c r="C353" s="140" t="s">
        <v>403</v>
      </c>
      <c r="D353" s="141" t="s">
        <v>99</v>
      </c>
      <c r="E353" s="141" t="s">
        <v>47</v>
      </c>
      <c r="F353" s="88" t="s">
        <v>74</v>
      </c>
      <c r="G353" s="89" t="s">
        <v>40</v>
      </c>
      <c r="H353" s="89" t="s">
        <v>34</v>
      </c>
      <c r="I353" s="114" t="s">
        <v>544</v>
      </c>
      <c r="J353" s="91" t="s">
        <v>199</v>
      </c>
      <c r="K353" s="143">
        <v>8141.8</v>
      </c>
      <c r="L353" s="32">
        <v>0</v>
      </c>
      <c r="M353" s="143">
        <v>8141.8</v>
      </c>
      <c r="N353" s="178"/>
    </row>
    <row r="354" spans="1:15" s="144" customFormat="1" ht="18" x14ac:dyDescent="0.35">
      <c r="A354" s="139"/>
      <c r="B354" s="36" t="s">
        <v>309</v>
      </c>
      <c r="C354" s="140" t="s">
        <v>403</v>
      </c>
      <c r="D354" s="141" t="s">
        <v>62</v>
      </c>
      <c r="E354" s="141"/>
      <c r="F354" s="88"/>
      <c r="G354" s="89"/>
      <c r="H354" s="89"/>
      <c r="I354" s="114"/>
      <c r="J354" s="91"/>
      <c r="K354" s="143">
        <f t="shared" ref="K354:M359" si="57">K355</f>
        <v>86.4</v>
      </c>
      <c r="L354" s="143">
        <v>-86.4</v>
      </c>
      <c r="M354" s="143">
        <v>0</v>
      </c>
      <c r="N354" s="178"/>
    </row>
    <row r="355" spans="1:15" s="144" customFormat="1" ht="18" x14ac:dyDescent="0.35">
      <c r="A355" s="139"/>
      <c r="B355" s="113" t="s">
        <v>349</v>
      </c>
      <c r="C355" s="140" t="s">
        <v>403</v>
      </c>
      <c r="D355" s="141" t="s">
        <v>62</v>
      </c>
      <c r="E355" s="141" t="s">
        <v>32</v>
      </c>
      <c r="F355" s="88"/>
      <c r="G355" s="89"/>
      <c r="H355" s="89"/>
      <c r="I355" s="114"/>
      <c r="J355" s="91"/>
      <c r="K355" s="143">
        <f t="shared" si="57"/>
        <v>86.4</v>
      </c>
      <c r="L355" s="143">
        <v>-86.4</v>
      </c>
      <c r="M355" s="143">
        <v>0</v>
      </c>
      <c r="N355" s="178"/>
    </row>
    <row r="356" spans="1:15" s="144" customFormat="1" ht="54" x14ac:dyDescent="0.35">
      <c r="A356" s="139"/>
      <c r="B356" s="113" t="s">
        <v>212</v>
      </c>
      <c r="C356" s="140" t="s">
        <v>403</v>
      </c>
      <c r="D356" s="141" t="s">
        <v>62</v>
      </c>
      <c r="E356" s="141" t="s">
        <v>32</v>
      </c>
      <c r="F356" s="88" t="s">
        <v>47</v>
      </c>
      <c r="G356" s="89" t="s">
        <v>37</v>
      </c>
      <c r="H356" s="89" t="s">
        <v>38</v>
      </c>
      <c r="I356" s="114" t="s">
        <v>39</v>
      </c>
      <c r="J356" s="91"/>
      <c r="K356" s="143">
        <f t="shared" si="57"/>
        <v>86.4</v>
      </c>
      <c r="L356" s="143">
        <v>-86.4</v>
      </c>
      <c r="M356" s="143">
        <v>0</v>
      </c>
      <c r="N356" s="178"/>
    </row>
    <row r="357" spans="1:15" s="144" customFormat="1" ht="36" x14ac:dyDescent="0.35">
      <c r="A357" s="139"/>
      <c r="B357" s="113" t="s">
        <v>328</v>
      </c>
      <c r="C357" s="140" t="s">
        <v>403</v>
      </c>
      <c r="D357" s="141" t="s">
        <v>62</v>
      </c>
      <c r="E357" s="141" t="s">
        <v>32</v>
      </c>
      <c r="F357" s="88" t="s">
        <v>47</v>
      </c>
      <c r="G357" s="89" t="s">
        <v>26</v>
      </c>
      <c r="H357" s="89" t="s">
        <v>38</v>
      </c>
      <c r="I357" s="114" t="s">
        <v>39</v>
      </c>
      <c r="J357" s="91"/>
      <c r="K357" s="143">
        <f t="shared" si="57"/>
        <v>86.4</v>
      </c>
      <c r="L357" s="143">
        <v>-86.4</v>
      </c>
      <c r="M357" s="143">
        <v>0</v>
      </c>
      <c r="N357" s="178"/>
    </row>
    <row r="358" spans="1:15" s="144" customFormat="1" ht="72" x14ac:dyDescent="0.35">
      <c r="A358" s="139"/>
      <c r="B358" s="113" t="s">
        <v>399</v>
      </c>
      <c r="C358" s="140" t="s">
        <v>403</v>
      </c>
      <c r="D358" s="141" t="s">
        <v>62</v>
      </c>
      <c r="E358" s="141" t="s">
        <v>32</v>
      </c>
      <c r="F358" s="88" t="s">
        <v>47</v>
      </c>
      <c r="G358" s="89" t="s">
        <v>26</v>
      </c>
      <c r="H358" s="89" t="s">
        <v>58</v>
      </c>
      <c r="I358" s="114" t="s">
        <v>39</v>
      </c>
      <c r="J358" s="91"/>
      <c r="K358" s="143">
        <f t="shared" si="57"/>
        <v>86.4</v>
      </c>
      <c r="L358" s="143">
        <v>-86.4</v>
      </c>
      <c r="M358" s="143">
        <v>0</v>
      </c>
      <c r="N358" s="178"/>
    </row>
    <row r="359" spans="1:15" s="144" customFormat="1" ht="54" x14ac:dyDescent="0.35">
      <c r="A359" s="139"/>
      <c r="B359" s="113" t="s">
        <v>214</v>
      </c>
      <c r="C359" s="140" t="s">
        <v>403</v>
      </c>
      <c r="D359" s="141" t="s">
        <v>62</v>
      </c>
      <c r="E359" s="141" t="s">
        <v>32</v>
      </c>
      <c r="F359" s="88" t="s">
        <v>47</v>
      </c>
      <c r="G359" s="89" t="s">
        <v>26</v>
      </c>
      <c r="H359" s="89" t="s">
        <v>58</v>
      </c>
      <c r="I359" s="114" t="s">
        <v>281</v>
      </c>
      <c r="J359" s="91"/>
      <c r="K359" s="143">
        <f t="shared" si="57"/>
        <v>86.4</v>
      </c>
      <c r="L359" s="143">
        <v>-86.4</v>
      </c>
      <c r="M359" s="143">
        <v>0</v>
      </c>
      <c r="N359" s="178"/>
    </row>
    <row r="360" spans="1:15" s="144" customFormat="1" ht="54" x14ac:dyDescent="0.35">
      <c r="A360" s="139"/>
      <c r="B360" s="113" t="s">
        <v>198</v>
      </c>
      <c r="C360" s="140" t="s">
        <v>403</v>
      </c>
      <c r="D360" s="141" t="s">
        <v>62</v>
      </c>
      <c r="E360" s="141" t="s">
        <v>32</v>
      </c>
      <c r="F360" s="88" t="s">
        <v>47</v>
      </c>
      <c r="G360" s="89" t="s">
        <v>26</v>
      </c>
      <c r="H360" s="89" t="s">
        <v>58</v>
      </c>
      <c r="I360" s="114" t="s">
        <v>281</v>
      </c>
      <c r="J360" s="551" t="s">
        <v>199</v>
      </c>
      <c r="K360" s="143">
        <v>86.4</v>
      </c>
      <c r="L360" s="32">
        <v>-86.4</v>
      </c>
      <c r="M360" s="588">
        <v>0</v>
      </c>
      <c r="N360" s="178"/>
    </row>
    <row r="361" spans="1:15" s="144" customFormat="1" ht="18" customHeight="1" x14ac:dyDescent="0.35">
      <c r="A361" s="139"/>
      <c r="B361" s="113"/>
      <c r="C361" s="173"/>
      <c r="D361" s="174"/>
      <c r="E361" s="174"/>
      <c r="F361" s="175"/>
      <c r="G361" s="176"/>
      <c r="H361" s="176"/>
      <c r="I361" s="177"/>
      <c r="J361" s="174"/>
      <c r="K361" s="143"/>
      <c r="L361" s="143"/>
      <c r="M361" s="143"/>
    </row>
    <row r="362" spans="1:15" s="127" customFormat="1" ht="52.2" customHeight="1" x14ac:dyDescent="0.3">
      <c r="A362" s="122">
        <v>5</v>
      </c>
      <c r="B362" s="24" t="s">
        <v>6</v>
      </c>
      <c r="C362" s="25" t="s">
        <v>407</v>
      </c>
      <c r="D362" s="26"/>
      <c r="E362" s="26"/>
      <c r="F362" s="27"/>
      <c r="G362" s="28"/>
      <c r="H362" s="28"/>
      <c r="I362" s="29"/>
      <c r="J362" s="26"/>
      <c r="K362" s="46">
        <f>K376+K510+K363</f>
        <v>1126455.7000000002</v>
      </c>
      <c r="L362" s="46">
        <v>4441.7610000000004</v>
      </c>
      <c r="M362" s="46">
        <v>1130897.4610000001</v>
      </c>
      <c r="N362" s="158"/>
      <c r="O362" s="158"/>
    </row>
    <row r="363" spans="1:15" s="127" customFormat="1" ht="24.75" customHeight="1" x14ac:dyDescent="0.35">
      <c r="A363" s="122"/>
      <c r="B363" s="263" t="s">
        <v>31</v>
      </c>
      <c r="C363" s="271" t="s">
        <v>407</v>
      </c>
      <c r="D363" s="264" t="s">
        <v>32</v>
      </c>
      <c r="E363" s="84"/>
      <c r="F363" s="272"/>
      <c r="G363" s="94"/>
      <c r="H363" s="94"/>
      <c r="I363" s="95"/>
      <c r="J363" s="84"/>
      <c r="K363" s="230">
        <f t="shared" ref="K363:M364" si="58">K364</f>
        <v>303.7</v>
      </c>
      <c r="L363" s="230">
        <v>0</v>
      </c>
      <c r="M363" s="230">
        <v>303.7</v>
      </c>
      <c r="N363" s="158"/>
      <c r="O363" s="158"/>
    </row>
    <row r="364" spans="1:15" s="127" customFormat="1" ht="27" customHeight="1" x14ac:dyDescent="0.35">
      <c r="A364" s="122"/>
      <c r="B364" s="263" t="s">
        <v>65</v>
      </c>
      <c r="C364" s="273" t="s">
        <v>407</v>
      </c>
      <c r="D364" s="264" t="s">
        <v>32</v>
      </c>
      <c r="E364" s="264" t="s">
        <v>66</v>
      </c>
      <c r="F364" s="272"/>
      <c r="G364" s="94"/>
      <c r="H364" s="94"/>
      <c r="I364" s="95"/>
      <c r="J364" s="84"/>
      <c r="K364" s="230">
        <f t="shared" si="58"/>
        <v>303.7</v>
      </c>
      <c r="L364" s="230">
        <v>0</v>
      </c>
      <c r="M364" s="230">
        <v>303.7</v>
      </c>
      <c r="N364" s="158"/>
      <c r="O364" s="158"/>
    </row>
    <row r="365" spans="1:15" s="127" customFormat="1" ht="52.2" customHeight="1" x14ac:dyDescent="0.35">
      <c r="A365" s="122"/>
      <c r="B365" s="263" t="s">
        <v>200</v>
      </c>
      <c r="C365" s="271" t="s">
        <v>407</v>
      </c>
      <c r="D365" s="264" t="s">
        <v>32</v>
      </c>
      <c r="E365" s="264" t="s">
        <v>66</v>
      </c>
      <c r="F365" s="576" t="s">
        <v>34</v>
      </c>
      <c r="G365" s="577" t="s">
        <v>37</v>
      </c>
      <c r="H365" s="577" t="s">
        <v>38</v>
      </c>
      <c r="I365" s="578" t="s">
        <v>39</v>
      </c>
      <c r="J365" s="264"/>
      <c r="K365" s="230">
        <f>K366</f>
        <v>303.7</v>
      </c>
      <c r="L365" s="230">
        <v>0</v>
      </c>
      <c r="M365" s="230">
        <v>303.7</v>
      </c>
      <c r="N365" s="158"/>
      <c r="O365" s="158"/>
    </row>
    <row r="366" spans="1:15" s="127" customFormat="1" ht="52.2" customHeight="1" x14ac:dyDescent="0.35">
      <c r="A366" s="122"/>
      <c r="B366" s="244" t="s">
        <v>207</v>
      </c>
      <c r="C366" s="271" t="s">
        <v>407</v>
      </c>
      <c r="D366" s="264" t="s">
        <v>32</v>
      </c>
      <c r="E366" s="264" t="s">
        <v>66</v>
      </c>
      <c r="F366" s="576" t="s">
        <v>34</v>
      </c>
      <c r="G366" s="577" t="s">
        <v>25</v>
      </c>
      <c r="H366" s="577" t="s">
        <v>38</v>
      </c>
      <c r="I366" s="578" t="s">
        <v>39</v>
      </c>
      <c r="J366" s="264"/>
      <c r="K366" s="230">
        <f>K367+K370+K373</f>
        <v>303.7</v>
      </c>
      <c r="L366" s="230">
        <v>0</v>
      </c>
      <c r="M366" s="230">
        <v>303.7</v>
      </c>
      <c r="N366" s="158"/>
      <c r="O366" s="158"/>
    </row>
    <row r="367" spans="1:15" s="127" customFormat="1" ht="36" customHeight="1" x14ac:dyDescent="0.35">
      <c r="A367" s="122"/>
      <c r="B367" s="263" t="s">
        <v>340</v>
      </c>
      <c r="C367" s="271" t="s">
        <v>407</v>
      </c>
      <c r="D367" s="264" t="s">
        <v>32</v>
      </c>
      <c r="E367" s="264" t="s">
        <v>66</v>
      </c>
      <c r="F367" s="576" t="s">
        <v>34</v>
      </c>
      <c r="G367" s="577" t="s">
        <v>25</v>
      </c>
      <c r="H367" s="577" t="s">
        <v>58</v>
      </c>
      <c r="I367" s="578" t="s">
        <v>39</v>
      </c>
      <c r="J367" s="264"/>
      <c r="K367" s="230">
        <f t="shared" ref="K367:M367" si="59">K368</f>
        <v>173.9</v>
      </c>
      <c r="L367" s="230">
        <v>0</v>
      </c>
      <c r="M367" s="230">
        <v>173.9</v>
      </c>
      <c r="N367" s="158"/>
      <c r="O367" s="158"/>
    </row>
    <row r="368" spans="1:15" s="127" customFormat="1" ht="52.2" customHeight="1" x14ac:dyDescent="0.35">
      <c r="A368" s="122"/>
      <c r="B368" s="244" t="s">
        <v>446</v>
      </c>
      <c r="C368" s="273" t="s">
        <v>407</v>
      </c>
      <c r="D368" s="264" t="s">
        <v>32</v>
      </c>
      <c r="E368" s="264" t="s">
        <v>66</v>
      </c>
      <c r="F368" s="576" t="s">
        <v>34</v>
      </c>
      <c r="G368" s="577" t="s">
        <v>25</v>
      </c>
      <c r="H368" s="577" t="s">
        <v>58</v>
      </c>
      <c r="I368" s="578" t="s">
        <v>100</v>
      </c>
      <c r="J368" s="264"/>
      <c r="K368" s="230">
        <f>K369</f>
        <v>173.9</v>
      </c>
      <c r="L368" s="230">
        <v>0</v>
      </c>
      <c r="M368" s="230">
        <v>173.9</v>
      </c>
      <c r="N368" s="158"/>
      <c r="O368" s="158"/>
    </row>
    <row r="369" spans="1:15" s="127" customFormat="1" ht="52.2" customHeight="1" x14ac:dyDescent="0.35">
      <c r="A369" s="122"/>
      <c r="B369" s="244" t="s">
        <v>50</v>
      </c>
      <c r="C369" s="273" t="s">
        <v>407</v>
      </c>
      <c r="D369" s="264" t="s">
        <v>32</v>
      </c>
      <c r="E369" s="264" t="s">
        <v>66</v>
      </c>
      <c r="F369" s="576" t="s">
        <v>34</v>
      </c>
      <c r="G369" s="577" t="s">
        <v>25</v>
      </c>
      <c r="H369" s="577" t="s">
        <v>58</v>
      </c>
      <c r="I369" s="578" t="s">
        <v>100</v>
      </c>
      <c r="J369" s="264" t="s">
        <v>51</v>
      </c>
      <c r="K369" s="230">
        <v>173.9</v>
      </c>
      <c r="L369" s="32">
        <v>0</v>
      </c>
      <c r="M369" s="230">
        <v>173.9</v>
      </c>
      <c r="N369" s="158"/>
      <c r="O369" s="158"/>
    </row>
    <row r="370" spans="1:15" s="127" customFormat="1" ht="33.75" customHeight="1" x14ac:dyDescent="0.35">
      <c r="A370" s="122"/>
      <c r="B370" s="244" t="s">
        <v>441</v>
      </c>
      <c r="C370" s="271" t="s">
        <v>407</v>
      </c>
      <c r="D370" s="264" t="s">
        <v>32</v>
      </c>
      <c r="E370" s="264" t="s">
        <v>66</v>
      </c>
      <c r="F370" s="576" t="s">
        <v>34</v>
      </c>
      <c r="G370" s="577" t="s">
        <v>25</v>
      </c>
      <c r="H370" s="577" t="s">
        <v>47</v>
      </c>
      <c r="I370" s="578" t="s">
        <v>39</v>
      </c>
      <c r="J370" s="264"/>
      <c r="K370" s="230">
        <f t="shared" ref="K370:M371" si="60">K371</f>
        <v>24</v>
      </c>
      <c r="L370" s="230">
        <v>0</v>
      </c>
      <c r="M370" s="230">
        <v>24</v>
      </c>
      <c r="N370" s="158"/>
      <c r="O370" s="158"/>
    </row>
    <row r="371" spans="1:15" s="127" customFormat="1" ht="18.600000000000001" customHeight="1" x14ac:dyDescent="0.35">
      <c r="A371" s="122"/>
      <c r="B371" s="244" t="s">
        <v>447</v>
      </c>
      <c r="C371" s="273" t="s">
        <v>407</v>
      </c>
      <c r="D371" s="264" t="s">
        <v>32</v>
      </c>
      <c r="E371" s="264" t="s">
        <v>66</v>
      </c>
      <c r="F371" s="576" t="s">
        <v>34</v>
      </c>
      <c r="G371" s="577" t="s">
        <v>25</v>
      </c>
      <c r="H371" s="577" t="s">
        <v>47</v>
      </c>
      <c r="I371" s="578" t="s">
        <v>440</v>
      </c>
      <c r="J371" s="264"/>
      <c r="K371" s="230">
        <f t="shared" si="60"/>
        <v>24</v>
      </c>
      <c r="L371" s="230">
        <v>0</v>
      </c>
      <c r="M371" s="230">
        <v>24</v>
      </c>
      <c r="N371" s="158"/>
      <c r="O371" s="158"/>
    </row>
    <row r="372" spans="1:15" s="127" customFormat="1" ht="52.2" customHeight="1" x14ac:dyDescent="0.35">
      <c r="A372" s="122"/>
      <c r="B372" s="244" t="s">
        <v>50</v>
      </c>
      <c r="C372" s="273" t="s">
        <v>407</v>
      </c>
      <c r="D372" s="264" t="s">
        <v>32</v>
      </c>
      <c r="E372" s="264" t="s">
        <v>66</v>
      </c>
      <c r="F372" s="576" t="s">
        <v>34</v>
      </c>
      <c r="G372" s="577" t="s">
        <v>25</v>
      </c>
      <c r="H372" s="577" t="s">
        <v>47</v>
      </c>
      <c r="I372" s="578" t="s">
        <v>440</v>
      </c>
      <c r="J372" s="264" t="s">
        <v>51</v>
      </c>
      <c r="K372" s="230">
        <v>24</v>
      </c>
      <c r="L372" s="32">
        <v>0</v>
      </c>
      <c r="M372" s="230">
        <v>24</v>
      </c>
      <c r="N372" s="158"/>
      <c r="O372" s="158"/>
    </row>
    <row r="373" spans="1:15" s="127" customFormat="1" ht="37.5" customHeight="1" x14ac:dyDescent="0.35">
      <c r="A373" s="122"/>
      <c r="B373" s="244" t="s">
        <v>445</v>
      </c>
      <c r="C373" s="273" t="s">
        <v>407</v>
      </c>
      <c r="D373" s="264" t="s">
        <v>32</v>
      </c>
      <c r="E373" s="264" t="s">
        <v>66</v>
      </c>
      <c r="F373" s="576" t="s">
        <v>34</v>
      </c>
      <c r="G373" s="577" t="s">
        <v>25</v>
      </c>
      <c r="H373" s="577" t="s">
        <v>60</v>
      </c>
      <c r="I373" s="509" t="s">
        <v>39</v>
      </c>
      <c r="J373" s="82"/>
      <c r="K373" s="230">
        <f t="shared" ref="K373:M373" si="61">K374</f>
        <v>105.8</v>
      </c>
      <c r="L373" s="230">
        <v>0</v>
      </c>
      <c r="M373" s="230">
        <v>105.8</v>
      </c>
      <c r="N373" s="158"/>
      <c r="O373" s="158"/>
    </row>
    <row r="374" spans="1:15" s="127" customFormat="1" ht="34.950000000000003" customHeight="1" x14ac:dyDescent="0.35">
      <c r="A374" s="122"/>
      <c r="B374" s="244" t="s">
        <v>122</v>
      </c>
      <c r="C374" s="273" t="s">
        <v>407</v>
      </c>
      <c r="D374" s="264" t="s">
        <v>32</v>
      </c>
      <c r="E374" s="264" t="s">
        <v>66</v>
      </c>
      <c r="F374" s="576" t="s">
        <v>34</v>
      </c>
      <c r="G374" s="577" t="s">
        <v>25</v>
      </c>
      <c r="H374" s="577" t="s">
        <v>60</v>
      </c>
      <c r="I374" s="509" t="s">
        <v>85</v>
      </c>
      <c r="J374" s="82"/>
      <c r="K374" s="230">
        <f>K375</f>
        <v>105.8</v>
      </c>
      <c r="L374" s="230">
        <v>0</v>
      </c>
      <c r="M374" s="230">
        <v>105.8</v>
      </c>
      <c r="N374" s="158"/>
      <c r="O374" s="158"/>
    </row>
    <row r="375" spans="1:15" s="127" customFormat="1" ht="52.2" customHeight="1" x14ac:dyDescent="0.35">
      <c r="A375" s="122"/>
      <c r="B375" s="244" t="s">
        <v>50</v>
      </c>
      <c r="C375" s="273" t="s">
        <v>407</v>
      </c>
      <c r="D375" s="264" t="s">
        <v>32</v>
      </c>
      <c r="E375" s="264" t="s">
        <v>66</v>
      </c>
      <c r="F375" s="576" t="s">
        <v>34</v>
      </c>
      <c r="G375" s="577" t="s">
        <v>25</v>
      </c>
      <c r="H375" s="577" t="s">
        <v>60</v>
      </c>
      <c r="I375" s="509" t="s">
        <v>85</v>
      </c>
      <c r="J375" s="82" t="s">
        <v>51</v>
      </c>
      <c r="K375" s="230">
        <v>105.8</v>
      </c>
      <c r="L375" s="32">
        <v>0</v>
      </c>
      <c r="M375" s="230">
        <v>105.8</v>
      </c>
      <c r="N375" s="158"/>
      <c r="O375" s="158"/>
    </row>
    <row r="376" spans="1:15" s="128" customFormat="1" ht="18" customHeight="1" x14ac:dyDescent="0.35">
      <c r="A376" s="17"/>
      <c r="B376" s="30" t="s">
        <v>174</v>
      </c>
      <c r="C376" s="31" t="s">
        <v>407</v>
      </c>
      <c r="D376" s="16" t="s">
        <v>219</v>
      </c>
      <c r="E376" s="16"/>
      <c r="F376" s="583"/>
      <c r="G376" s="584"/>
      <c r="H376" s="584"/>
      <c r="I376" s="585"/>
      <c r="J376" s="16"/>
      <c r="K376" s="32">
        <f>K377+K403+K487+K458+K479</f>
        <v>1120699.5000000002</v>
      </c>
      <c r="L376" s="32">
        <v>4441.7610000000004</v>
      </c>
      <c r="M376" s="32">
        <v>1125141.2610000002</v>
      </c>
      <c r="N376" s="159"/>
      <c r="O376" s="159"/>
    </row>
    <row r="377" spans="1:15" s="127" customFormat="1" ht="18" customHeight="1" x14ac:dyDescent="0.35">
      <c r="A377" s="17"/>
      <c r="B377" s="30" t="s">
        <v>176</v>
      </c>
      <c r="C377" s="31" t="s">
        <v>407</v>
      </c>
      <c r="D377" s="16" t="s">
        <v>219</v>
      </c>
      <c r="E377" s="16" t="s">
        <v>32</v>
      </c>
      <c r="F377" s="583"/>
      <c r="G377" s="584"/>
      <c r="H377" s="584"/>
      <c r="I377" s="585"/>
      <c r="J377" s="16"/>
      <c r="K377" s="32">
        <f>K378+K393+K398</f>
        <v>335733.00000000006</v>
      </c>
      <c r="L377" s="32">
        <v>0</v>
      </c>
      <c r="M377" s="32">
        <v>335733.00000000006</v>
      </c>
    </row>
    <row r="378" spans="1:15" s="127" customFormat="1" ht="54" customHeight="1" x14ac:dyDescent="0.35">
      <c r="A378" s="17"/>
      <c r="B378" s="30" t="s">
        <v>200</v>
      </c>
      <c r="C378" s="31" t="s">
        <v>407</v>
      </c>
      <c r="D378" s="16" t="s">
        <v>219</v>
      </c>
      <c r="E378" s="16" t="s">
        <v>32</v>
      </c>
      <c r="F378" s="583" t="s">
        <v>34</v>
      </c>
      <c r="G378" s="584" t="s">
        <v>37</v>
      </c>
      <c r="H378" s="584" t="s">
        <v>38</v>
      </c>
      <c r="I378" s="585" t="s">
        <v>39</v>
      </c>
      <c r="J378" s="16"/>
      <c r="K378" s="32">
        <f t="shared" ref="K378:M378" si="62">K379</f>
        <v>334363.7</v>
      </c>
      <c r="L378" s="32">
        <v>0</v>
      </c>
      <c r="M378" s="32">
        <v>334363.7</v>
      </c>
    </row>
    <row r="379" spans="1:15" s="127" customFormat="1" ht="36" customHeight="1" x14ac:dyDescent="0.35">
      <c r="A379" s="17"/>
      <c r="B379" s="30" t="s">
        <v>201</v>
      </c>
      <c r="C379" s="31" t="s">
        <v>407</v>
      </c>
      <c r="D379" s="16" t="s">
        <v>219</v>
      </c>
      <c r="E379" s="16" t="s">
        <v>32</v>
      </c>
      <c r="F379" s="583" t="s">
        <v>34</v>
      </c>
      <c r="G379" s="584" t="s">
        <v>40</v>
      </c>
      <c r="H379" s="584" t="s">
        <v>38</v>
      </c>
      <c r="I379" s="585" t="s">
        <v>39</v>
      </c>
      <c r="J379" s="16"/>
      <c r="K379" s="32">
        <f>K380</f>
        <v>334363.7</v>
      </c>
      <c r="L379" s="32">
        <v>0</v>
      </c>
      <c r="M379" s="32">
        <v>334363.7</v>
      </c>
    </row>
    <row r="380" spans="1:15" s="127" customFormat="1" ht="36" customHeight="1" x14ac:dyDescent="0.35">
      <c r="A380" s="17"/>
      <c r="B380" s="30" t="s">
        <v>255</v>
      </c>
      <c r="C380" s="31" t="s">
        <v>407</v>
      </c>
      <c r="D380" s="16" t="s">
        <v>219</v>
      </c>
      <c r="E380" s="16" t="s">
        <v>32</v>
      </c>
      <c r="F380" s="583" t="s">
        <v>34</v>
      </c>
      <c r="G380" s="584" t="s">
        <v>40</v>
      </c>
      <c r="H380" s="584" t="s">
        <v>32</v>
      </c>
      <c r="I380" s="585" t="s">
        <v>39</v>
      </c>
      <c r="J380" s="16"/>
      <c r="K380" s="32">
        <f>K389+K391+K381+K385+K383+K387</f>
        <v>334363.7</v>
      </c>
      <c r="L380" s="32">
        <v>0</v>
      </c>
      <c r="M380" s="32">
        <v>334363.7</v>
      </c>
      <c r="N380" s="198"/>
    </row>
    <row r="381" spans="1:15" s="123" customFormat="1" ht="37.5" customHeight="1" x14ac:dyDescent="0.35">
      <c r="A381" s="17"/>
      <c r="B381" s="33" t="s">
        <v>437</v>
      </c>
      <c r="C381" s="31" t="s">
        <v>407</v>
      </c>
      <c r="D381" s="16" t="s">
        <v>219</v>
      </c>
      <c r="E381" s="16" t="s">
        <v>32</v>
      </c>
      <c r="F381" s="583" t="s">
        <v>34</v>
      </c>
      <c r="G381" s="584" t="s">
        <v>40</v>
      </c>
      <c r="H381" s="584" t="s">
        <v>32</v>
      </c>
      <c r="I381" s="585" t="s">
        <v>86</v>
      </c>
      <c r="J381" s="16"/>
      <c r="K381" s="32">
        <f>K382</f>
        <v>89086.2</v>
      </c>
      <c r="L381" s="32">
        <v>0</v>
      </c>
      <c r="M381" s="32">
        <v>89086.2</v>
      </c>
      <c r="N381" s="199"/>
    </row>
    <row r="382" spans="1:15" s="123" customFormat="1" ht="54" customHeight="1" x14ac:dyDescent="0.35">
      <c r="A382" s="17"/>
      <c r="B382" s="30" t="s">
        <v>71</v>
      </c>
      <c r="C382" s="31" t="s">
        <v>407</v>
      </c>
      <c r="D382" s="16" t="s">
        <v>219</v>
      </c>
      <c r="E382" s="16" t="s">
        <v>32</v>
      </c>
      <c r="F382" s="583" t="s">
        <v>34</v>
      </c>
      <c r="G382" s="584" t="s">
        <v>40</v>
      </c>
      <c r="H382" s="584" t="s">
        <v>32</v>
      </c>
      <c r="I382" s="585" t="s">
        <v>86</v>
      </c>
      <c r="J382" s="16" t="s">
        <v>72</v>
      </c>
      <c r="K382" s="32">
        <f>88539.9+546.3</f>
        <v>89086.2</v>
      </c>
      <c r="L382" s="32">
        <v>0</v>
      </c>
      <c r="M382" s="32">
        <v>89086.2</v>
      </c>
      <c r="N382" s="199"/>
    </row>
    <row r="383" spans="1:15" s="123" customFormat="1" ht="19.2" customHeight="1" x14ac:dyDescent="0.35">
      <c r="A383" s="17"/>
      <c r="B383" s="30" t="s">
        <v>438</v>
      </c>
      <c r="C383" s="31" t="s">
        <v>407</v>
      </c>
      <c r="D383" s="16" t="s">
        <v>219</v>
      </c>
      <c r="E383" s="16" t="s">
        <v>32</v>
      </c>
      <c r="F383" s="583" t="s">
        <v>34</v>
      </c>
      <c r="G383" s="584" t="s">
        <v>40</v>
      </c>
      <c r="H383" s="584" t="s">
        <v>32</v>
      </c>
      <c r="I383" s="585" t="s">
        <v>376</v>
      </c>
      <c r="J383" s="16"/>
      <c r="K383" s="32">
        <f>K384</f>
        <v>3584.8000000000006</v>
      </c>
      <c r="L383" s="32">
        <v>0</v>
      </c>
      <c r="M383" s="32">
        <v>3584.8000000000006</v>
      </c>
      <c r="N383" s="199"/>
    </row>
    <row r="384" spans="1:15" s="123" customFormat="1" ht="54" customHeight="1" x14ac:dyDescent="0.35">
      <c r="A384" s="17"/>
      <c r="B384" s="30" t="s">
        <v>71</v>
      </c>
      <c r="C384" s="31" t="s">
        <v>407</v>
      </c>
      <c r="D384" s="16" t="s">
        <v>219</v>
      </c>
      <c r="E384" s="16" t="s">
        <v>32</v>
      </c>
      <c r="F384" s="583" t="s">
        <v>34</v>
      </c>
      <c r="G384" s="584" t="s">
        <v>40</v>
      </c>
      <c r="H384" s="584" t="s">
        <v>32</v>
      </c>
      <c r="I384" s="585" t="s">
        <v>376</v>
      </c>
      <c r="J384" s="16" t="s">
        <v>72</v>
      </c>
      <c r="K384" s="32">
        <f>2122.9+874.2+473.9+113.8</f>
        <v>3584.8000000000006</v>
      </c>
      <c r="L384" s="32">
        <v>0</v>
      </c>
      <c r="M384" s="32">
        <v>3584.8000000000006</v>
      </c>
      <c r="N384" s="199"/>
    </row>
    <row r="385" spans="1:14" s="127" customFormat="1" ht="54" customHeight="1" x14ac:dyDescent="0.35">
      <c r="A385" s="17"/>
      <c r="B385" s="30" t="s">
        <v>202</v>
      </c>
      <c r="C385" s="31" t="s">
        <v>407</v>
      </c>
      <c r="D385" s="16" t="s">
        <v>219</v>
      </c>
      <c r="E385" s="16" t="s">
        <v>32</v>
      </c>
      <c r="F385" s="583" t="s">
        <v>34</v>
      </c>
      <c r="G385" s="584" t="s">
        <v>40</v>
      </c>
      <c r="H385" s="584" t="s">
        <v>32</v>
      </c>
      <c r="I385" s="585" t="s">
        <v>261</v>
      </c>
      <c r="J385" s="16"/>
      <c r="K385" s="32">
        <f>K386</f>
        <v>26718.2</v>
      </c>
      <c r="L385" s="32">
        <v>0</v>
      </c>
      <c r="M385" s="32">
        <v>26718.2</v>
      </c>
      <c r="N385" s="198"/>
    </row>
    <row r="386" spans="1:14" s="127" customFormat="1" ht="54" customHeight="1" x14ac:dyDescent="0.35">
      <c r="A386" s="17"/>
      <c r="B386" s="30" t="s">
        <v>71</v>
      </c>
      <c r="C386" s="31" t="s">
        <v>407</v>
      </c>
      <c r="D386" s="16" t="s">
        <v>219</v>
      </c>
      <c r="E386" s="16" t="s">
        <v>32</v>
      </c>
      <c r="F386" s="583" t="s">
        <v>34</v>
      </c>
      <c r="G386" s="584" t="s">
        <v>40</v>
      </c>
      <c r="H386" s="584" t="s">
        <v>32</v>
      </c>
      <c r="I386" s="585" t="s">
        <v>261</v>
      </c>
      <c r="J386" s="16" t="s">
        <v>72</v>
      </c>
      <c r="K386" s="32">
        <v>26718.2</v>
      </c>
      <c r="L386" s="32">
        <v>0</v>
      </c>
      <c r="M386" s="32">
        <v>26718.2</v>
      </c>
      <c r="N386" s="198"/>
    </row>
    <row r="387" spans="1:14" s="127" customFormat="1" ht="37.200000000000003" customHeight="1" x14ac:dyDescent="0.35">
      <c r="A387" s="17"/>
      <c r="B387" s="30" t="s">
        <v>203</v>
      </c>
      <c r="C387" s="31" t="s">
        <v>407</v>
      </c>
      <c r="D387" s="16" t="s">
        <v>219</v>
      </c>
      <c r="E387" s="16" t="s">
        <v>32</v>
      </c>
      <c r="F387" s="583" t="s">
        <v>34</v>
      </c>
      <c r="G387" s="584" t="s">
        <v>40</v>
      </c>
      <c r="H387" s="584" t="s">
        <v>32</v>
      </c>
      <c r="I387" s="585" t="s">
        <v>262</v>
      </c>
      <c r="J387" s="16"/>
      <c r="K387" s="32">
        <f>K388</f>
        <v>178.9</v>
      </c>
      <c r="L387" s="32">
        <v>0</v>
      </c>
      <c r="M387" s="32">
        <v>178.9</v>
      </c>
      <c r="N387" s="198"/>
    </row>
    <row r="388" spans="1:14" s="123" customFormat="1" ht="54" customHeight="1" x14ac:dyDescent="0.35">
      <c r="A388" s="17"/>
      <c r="B388" s="30" t="s">
        <v>71</v>
      </c>
      <c r="C388" s="31" t="s">
        <v>407</v>
      </c>
      <c r="D388" s="16" t="s">
        <v>219</v>
      </c>
      <c r="E388" s="16" t="s">
        <v>32</v>
      </c>
      <c r="F388" s="583" t="s">
        <v>34</v>
      </c>
      <c r="G388" s="584" t="s">
        <v>40</v>
      </c>
      <c r="H388" s="584" t="s">
        <v>32</v>
      </c>
      <c r="I388" s="585" t="s">
        <v>262</v>
      </c>
      <c r="J388" s="16" t="s">
        <v>72</v>
      </c>
      <c r="K388" s="32">
        <v>178.9</v>
      </c>
      <c r="L388" s="32">
        <v>0</v>
      </c>
      <c r="M388" s="32">
        <v>178.9</v>
      </c>
      <c r="N388" s="199"/>
    </row>
    <row r="389" spans="1:14" s="127" customFormat="1" ht="178.2" customHeight="1" x14ac:dyDescent="0.35">
      <c r="A389" s="17"/>
      <c r="B389" s="30" t="s">
        <v>256</v>
      </c>
      <c r="C389" s="31" t="s">
        <v>407</v>
      </c>
      <c r="D389" s="16" t="s">
        <v>219</v>
      </c>
      <c r="E389" s="16" t="s">
        <v>32</v>
      </c>
      <c r="F389" s="583" t="s">
        <v>34</v>
      </c>
      <c r="G389" s="584" t="s">
        <v>40</v>
      </c>
      <c r="H389" s="584" t="s">
        <v>32</v>
      </c>
      <c r="I389" s="585" t="s">
        <v>257</v>
      </c>
      <c r="J389" s="16"/>
      <c r="K389" s="32">
        <f>K390</f>
        <v>549.29999999999995</v>
      </c>
      <c r="L389" s="32">
        <v>0</v>
      </c>
      <c r="M389" s="32">
        <v>549.29999999999995</v>
      </c>
      <c r="N389" s="198"/>
    </row>
    <row r="390" spans="1:14" s="127" customFormat="1" ht="54" customHeight="1" x14ac:dyDescent="0.35">
      <c r="A390" s="17"/>
      <c r="B390" s="30" t="s">
        <v>71</v>
      </c>
      <c r="C390" s="31" t="s">
        <v>407</v>
      </c>
      <c r="D390" s="16" t="s">
        <v>219</v>
      </c>
      <c r="E390" s="16" t="s">
        <v>32</v>
      </c>
      <c r="F390" s="583" t="s">
        <v>34</v>
      </c>
      <c r="G390" s="584" t="s">
        <v>40</v>
      </c>
      <c r="H390" s="584" t="s">
        <v>32</v>
      </c>
      <c r="I390" s="585" t="s">
        <v>257</v>
      </c>
      <c r="J390" s="16" t="s">
        <v>72</v>
      </c>
      <c r="K390" s="32">
        <v>549.29999999999995</v>
      </c>
      <c r="L390" s="32">
        <v>0</v>
      </c>
      <c r="M390" s="32">
        <v>549.29999999999995</v>
      </c>
    </row>
    <row r="391" spans="1:14" s="127" customFormat="1" ht="104.4" customHeight="1" x14ac:dyDescent="0.35">
      <c r="A391" s="17"/>
      <c r="B391" s="30" t="s">
        <v>334</v>
      </c>
      <c r="C391" s="31" t="s">
        <v>407</v>
      </c>
      <c r="D391" s="16" t="s">
        <v>219</v>
      </c>
      <c r="E391" s="16" t="s">
        <v>32</v>
      </c>
      <c r="F391" s="583" t="s">
        <v>34</v>
      </c>
      <c r="G391" s="584" t="s">
        <v>40</v>
      </c>
      <c r="H391" s="584" t="s">
        <v>32</v>
      </c>
      <c r="I391" s="585" t="s">
        <v>258</v>
      </c>
      <c r="J391" s="16"/>
      <c r="K391" s="32">
        <f>K392</f>
        <v>214246.3</v>
      </c>
      <c r="L391" s="32">
        <v>0</v>
      </c>
      <c r="M391" s="32">
        <v>214246.3</v>
      </c>
    </row>
    <row r="392" spans="1:14" s="127" customFormat="1" ht="54" customHeight="1" x14ac:dyDescent="0.35">
      <c r="A392" s="17"/>
      <c r="B392" s="30" t="s">
        <v>71</v>
      </c>
      <c r="C392" s="31" t="s">
        <v>407</v>
      </c>
      <c r="D392" s="16" t="s">
        <v>219</v>
      </c>
      <c r="E392" s="16" t="s">
        <v>32</v>
      </c>
      <c r="F392" s="583" t="s">
        <v>34</v>
      </c>
      <c r="G392" s="584" t="s">
        <v>40</v>
      </c>
      <c r="H392" s="584" t="s">
        <v>32</v>
      </c>
      <c r="I392" s="585" t="s">
        <v>258</v>
      </c>
      <c r="J392" s="16" t="s">
        <v>72</v>
      </c>
      <c r="K392" s="32">
        <v>214246.3</v>
      </c>
      <c r="L392" s="32">
        <v>0</v>
      </c>
      <c r="M392" s="32">
        <v>214246.3</v>
      </c>
    </row>
    <row r="393" spans="1:14" s="123" customFormat="1" ht="54" customHeight="1" x14ac:dyDescent="0.35">
      <c r="A393" s="17"/>
      <c r="B393" s="30" t="s">
        <v>75</v>
      </c>
      <c r="C393" s="31" t="s">
        <v>407</v>
      </c>
      <c r="D393" s="16" t="s">
        <v>219</v>
      </c>
      <c r="E393" s="16" t="s">
        <v>32</v>
      </c>
      <c r="F393" s="583" t="s">
        <v>76</v>
      </c>
      <c r="G393" s="584" t="s">
        <v>37</v>
      </c>
      <c r="H393" s="584" t="s">
        <v>38</v>
      </c>
      <c r="I393" s="585" t="s">
        <v>39</v>
      </c>
      <c r="J393" s="16"/>
      <c r="K393" s="32">
        <f t="shared" ref="K393:M396" si="63">K394</f>
        <v>1315.9</v>
      </c>
      <c r="L393" s="32">
        <v>0</v>
      </c>
      <c r="M393" s="32">
        <v>1315.9</v>
      </c>
    </row>
    <row r="394" spans="1:14" s="127" customFormat="1" ht="38.25" customHeight="1" x14ac:dyDescent="0.35">
      <c r="A394" s="17"/>
      <c r="B394" s="30" t="s">
        <v>120</v>
      </c>
      <c r="C394" s="31" t="s">
        <v>407</v>
      </c>
      <c r="D394" s="16" t="s">
        <v>219</v>
      </c>
      <c r="E394" s="16" t="s">
        <v>32</v>
      </c>
      <c r="F394" s="583" t="s">
        <v>76</v>
      </c>
      <c r="G394" s="584" t="s">
        <v>84</v>
      </c>
      <c r="H394" s="584" t="s">
        <v>38</v>
      </c>
      <c r="I394" s="585" t="s">
        <v>39</v>
      </c>
      <c r="J394" s="16"/>
      <c r="K394" s="32">
        <f t="shared" si="63"/>
        <v>1315.9</v>
      </c>
      <c r="L394" s="32">
        <v>0</v>
      </c>
      <c r="M394" s="32">
        <v>1315.9</v>
      </c>
    </row>
    <row r="395" spans="1:14" s="127" customFormat="1" ht="38.25" customHeight="1" x14ac:dyDescent="0.35">
      <c r="A395" s="17"/>
      <c r="B395" s="30" t="s">
        <v>259</v>
      </c>
      <c r="C395" s="31" t="s">
        <v>407</v>
      </c>
      <c r="D395" s="16" t="s">
        <v>219</v>
      </c>
      <c r="E395" s="16" t="s">
        <v>32</v>
      </c>
      <c r="F395" s="583" t="s">
        <v>76</v>
      </c>
      <c r="G395" s="584" t="s">
        <v>84</v>
      </c>
      <c r="H395" s="584" t="s">
        <v>32</v>
      </c>
      <c r="I395" s="585" t="s">
        <v>39</v>
      </c>
      <c r="J395" s="16"/>
      <c r="K395" s="32">
        <f t="shared" si="63"/>
        <v>1315.9</v>
      </c>
      <c r="L395" s="32">
        <v>0</v>
      </c>
      <c r="M395" s="32">
        <v>1315.9</v>
      </c>
    </row>
    <row r="396" spans="1:14" s="127" customFormat="1" ht="38.25" customHeight="1" x14ac:dyDescent="0.35">
      <c r="A396" s="17"/>
      <c r="B396" s="30" t="s">
        <v>410</v>
      </c>
      <c r="C396" s="31" t="s">
        <v>407</v>
      </c>
      <c r="D396" s="16" t="s">
        <v>219</v>
      </c>
      <c r="E396" s="16" t="s">
        <v>32</v>
      </c>
      <c r="F396" s="583" t="s">
        <v>76</v>
      </c>
      <c r="G396" s="584" t="s">
        <v>84</v>
      </c>
      <c r="H396" s="584" t="s">
        <v>32</v>
      </c>
      <c r="I396" s="585" t="s">
        <v>411</v>
      </c>
      <c r="J396" s="16"/>
      <c r="K396" s="32">
        <f t="shared" si="63"/>
        <v>1315.9</v>
      </c>
      <c r="L396" s="32">
        <v>0</v>
      </c>
      <c r="M396" s="32">
        <v>1315.9</v>
      </c>
    </row>
    <row r="397" spans="1:14" s="127" customFormat="1" ht="38.25" customHeight="1" x14ac:dyDescent="0.35">
      <c r="A397" s="17"/>
      <c r="B397" s="30" t="s">
        <v>71</v>
      </c>
      <c r="C397" s="31" t="s">
        <v>407</v>
      </c>
      <c r="D397" s="16" t="s">
        <v>219</v>
      </c>
      <c r="E397" s="16" t="s">
        <v>32</v>
      </c>
      <c r="F397" s="583" t="s">
        <v>76</v>
      </c>
      <c r="G397" s="584" t="s">
        <v>84</v>
      </c>
      <c r="H397" s="584" t="s">
        <v>32</v>
      </c>
      <c r="I397" s="585" t="s">
        <v>411</v>
      </c>
      <c r="J397" s="16" t="s">
        <v>72</v>
      </c>
      <c r="K397" s="32">
        <v>1315.9</v>
      </c>
      <c r="L397" s="32">
        <v>0</v>
      </c>
      <c r="M397" s="32">
        <v>1315.9</v>
      </c>
    </row>
    <row r="398" spans="1:14" s="127" customFormat="1" ht="54" customHeight="1" x14ac:dyDescent="0.35">
      <c r="A398" s="17"/>
      <c r="B398" s="30" t="s">
        <v>228</v>
      </c>
      <c r="C398" s="31" t="s">
        <v>407</v>
      </c>
      <c r="D398" s="16" t="s">
        <v>219</v>
      </c>
      <c r="E398" s="16" t="s">
        <v>32</v>
      </c>
      <c r="F398" s="583" t="s">
        <v>229</v>
      </c>
      <c r="G398" s="584" t="s">
        <v>37</v>
      </c>
      <c r="H398" s="584" t="s">
        <v>38</v>
      </c>
      <c r="I398" s="585" t="s">
        <v>39</v>
      </c>
      <c r="J398" s="16"/>
      <c r="K398" s="32">
        <f t="shared" ref="K398:M401" si="64">K399</f>
        <v>53.4</v>
      </c>
      <c r="L398" s="32">
        <v>0</v>
      </c>
      <c r="M398" s="32">
        <v>53.4</v>
      </c>
    </row>
    <row r="399" spans="1:14" s="127" customFormat="1" ht="36" customHeight="1" x14ac:dyDescent="0.35">
      <c r="A399" s="17"/>
      <c r="B399" s="30" t="s">
        <v>328</v>
      </c>
      <c r="C399" s="31" t="s">
        <v>407</v>
      </c>
      <c r="D399" s="16" t="s">
        <v>219</v>
      </c>
      <c r="E399" s="16" t="s">
        <v>32</v>
      </c>
      <c r="F399" s="583" t="s">
        <v>229</v>
      </c>
      <c r="G399" s="584" t="s">
        <v>40</v>
      </c>
      <c r="H399" s="584" t="s">
        <v>38</v>
      </c>
      <c r="I399" s="585" t="s">
        <v>39</v>
      </c>
      <c r="J399" s="16"/>
      <c r="K399" s="32">
        <f t="shared" si="64"/>
        <v>53.4</v>
      </c>
      <c r="L399" s="32">
        <v>0</v>
      </c>
      <c r="M399" s="32">
        <v>53.4</v>
      </c>
    </row>
    <row r="400" spans="1:14" s="127" customFormat="1" ht="72.599999999999994" customHeight="1" x14ac:dyDescent="0.35">
      <c r="A400" s="17"/>
      <c r="B400" s="30" t="s">
        <v>274</v>
      </c>
      <c r="C400" s="31" t="s">
        <v>407</v>
      </c>
      <c r="D400" s="16" t="s">
        <v>219</v>
      </c>
      <c r="E400" s="16" t="s">
        <v>32</v>
      </c>
      <c r="F400" s="583" t="s">
        <v>229</v>
      </c>
      <c r="G400" s="584" t="s">
        <v>40</v>
      </c>
      <c r="H400" s="584" t="s">
        <v>32</v>
      </c>
      <c r="I400" s="585" t="s">
        <v>39</v>
      </c>
      <c r="J400" s="16"/>
      <c r="K400" s="32">
        <f>K401</f>
        <v>53.4</v>
      </c>
      <c r="L400" s="32">
        <v>0</v>
      </c>
      <c r="M400" s="32">
        <v>53.4</v>
      </c>
    </row>
    <row r="401" spans="1:13" s="127" customFormat="1" ht="36" customHeight="1" x14ac:dyDescent="0.35">
      <c r="A401" s="17"/>
      <c r="B401" s="30" t="s">
        <v>230</v>
      </c>
      <c r="C401" s="31" t="s">
        <v>407</v>
      </c>
      <c r="D401" s="16" t="s">
        <v>219</v>
      </c>
      <c r="E401" s="16" t="s">
        <v>32</v>
      </c>
      <c r="F401" s="583" t="s">
        <v>229</v>
      </c>
      <c r="G401" s="584" t="s">
        <v>40</v>
      </c>
      <c r="H401" s="584" t="s">
        <v>32</v>
      </c>
      <c r="I401" s="585" t="s">
        <v>268</v>
      </c>
      <c r="J401" s="16"/>
      <c r="K401" s="32">
        <f t="shared" si="64"/>
        <v>53.4</v>
      </c>
      <c r="L401" s="32">
        <v>0</v>
      </c>
      <c r="M401" s="32">
        <v>53.4</v>
      </c>
    </row>
    <row r="402" spans="1:13" s="127" customFormat="1" ht="54" customHeight="1" x14ac:dyDescent="0.35">
      <c r="A402" s="17"/>
      <c r="B402" s="30" t="s">
        <v>71</v>
      </c>
      <c r="C402" s="31" t="s">
        <v>407</v>
      </c>
      <c r="D402" s="16" t="s">
        <v>219</v>
      </c>
      <c r="E402" s="16" t="s">
        <v>32</v>
      </c>
      <c r="F402" s="583" t="s">
        <v>229</v>
      </c>
      <c r="G402" s="584" t="s">
        <v>40</v>
      </c>
      <c r="H402" s="584" t="s">
        <v>32</v>
      </c>
      <c r="I402" s="585" t="s">
        <v>268</v>
      </c>
      <c r="J402" s="16" t="s">
        <v>72</v>
      </c>
      <c r="K402" s="32">
        <v>53.4</v>
      </c>
      <c r="L402" s="32">
        <v>0</v>
      </c>
      <c r="M402" s="32">
        <v>53.4</v>
      </c>
    </row>
    <row r="403" spans="1:13" s="127" customFormat="1" ht="18" customHeight="1" x14ac:dyDescent="0.35">
      <c r="A403" s="17"/>
      <c r="B403" s="30" t="s">
        <v>178</v>
      </c>
      <c r="C403" s="31" t="s">
        <v>407</v>
      </c>
      <c r="D403" s="16" t="s">
        <v>219</v>
      </c>
      <c r="E403" s="16" t="s">
        <v>34</v>
      </c>
      <c r="F403" s="583"/>
      <c r="G403" s="584"/>
      <c r="H403" s="584"/>
      <c r="I403" s="585"/>
      <c r="J403" s="16"/>
      <c r="K403" s="32">
        <f>K404+K452</f>
        <v>643313.9</v>
      </c>
      <c r="L403" s="32">
        <v>4363.6090000000004</v>
      </c>
      <c r="M403" s="32">
        <v>647677.50900000008</v>
      </c>
    </row>
    <row r="404" spans="1:13" s="127" customFormat="1" ht="54" customHeight="1" x14ac:dyDescent="0.35">
      <c r="A404" s="17"/>
      <c r="B404" s="30" t="s">
        <v>200</v>
      </c>
      <c r="C404" s="31" t="s">
        <v>407</v>
      </c>
      <c r="D404" s="16" t="s">
        <v>219</v>
      </c>
      <c r="E404" s="16" t="s">
        <v>34</v>
      </c>
      <c r="F404" s="583" t="s">
        <v>34</v>
      </c>
      <c r="G404" s="584" t="s">
        <v>37</v>
      </c>
      <c r="H404" s="584" t="s">
        <v>38</v>
      </c>
      <c r="I404" s="585" t="s">
        <v>39</v>
      </c>
      <c r="J404" s="16"/>
      <c r="K404" s="32">
        <f>K405+K448</f>
        <v>636059.70000000007</v>
      </c>
      <c r="L404" s="32">
        <v>4363.6090000000004</v>
      </c>
      <c r="M404" s="32">
        <v>640423.30900000012</v>
      </c>
    </row>
    <row r="405" spans="1:13" s="127" customFormat="1" ht="36" customHeight="1" x14ac:dyDescent="0.35">
      <c r="A405" s="17"/>
      <c r="B405" s="30" t="s">
        <v>201</v>
      </c>
      <c r="C405" s="31" t="s">
        <v>407</v>
      </c>
      <c r="D405" s="16" t="s">
        <v>219</v>
      </c>
      <c r="E405" s="16" t="s">
        <v>34</v>
      </c>
      <c r="F405" s="583" t="s">
        <v>34</v>
      </c>
      <c r="G405" s="584" t="s">
        <v>40</v>
      </c>
      <c r="H405" s="584" t="s">
        <v>38</v>
      </c>
      <c r="I405" s="585" t="s">
        <v>39</v>
      </c>
      <c r="J405" s="16"/>
      <c r="K405" s="32">
        <f>K406</f>
        <v>632984.9</v>
      </c>
      <c r="L405" s="32">
        <v>4363.6090000000004</v>
      </c>
      <c r="M405" s="32">
        <v>637348.50900000008</v>
      </c>
    </row>
    <row r="406" spans="1:13" s="127" customFormat="1" ht="18.75" customHeight="1" x14ac:dyDescent="0.35">
      <c r="A406" s="17"/>
      <c r="B406" s="30" t="s">
        <v>260</v>
      </c>
      <c r="C406" s="31" t="s">
        <v>407</v>
      </c>
      <c r="D406" s="16" t="s">
        <v>219</v>
      </c>
      <c r="E406" s="16" t="s">
        <v>34</v>
      </c>
      <c r="F406" s="583" t="s">
        <v>34</v>
      </c>
      <c r="G406" s="584" t="s">
        <v>40</v>
      </c>
      <c r="H406" s="584" t="s">
        <v>34</v>
      </c>
      <c r="I406" s="585" t="s">
        <v>39</v>
      </c>
      <c r="J406" s="16"/>
      <c r="K406" s="32">
        <f>K415+K418+K427+K431+K435+K407+K412+K441+K424+K422+K444+K438</f>
        <v>632984.9</v>
      </c>
      <c r="L406" s="32">
        <v>4363.6090000000004</v>
      </c>
      <c r="M406" s="32">
        <v>637348.50900000008</v>
      </c>
    </row>
    <row r="407" spans="1:13" s="123" customFormat="1" ht="35.25" customHeight="1" x14ac:dyDescent="0.35">
      <c r="A407" s="17"/>
      <c r="B407" s="33" t="s">
        <v>437</v>
      </c>
      <c r="C407" s="31" t="s">
        <v>407</v>
      </c>
      <c r="D407" s="16" t="s">
        <v>219</v>
      </c>
      <c r="E407" s="16" t="s">
        <v>34</v>
      </c>
      <c r="F407" s="583" t="s">
        <v>34</v>
      </c>
      <c r="G407" s="584" t="s">
        <v>40</v>
      </c>
      <c r="H407" s="584" t="s">
        <v>34</v>
      </c>
      <c r="I407" s="585" t="s">
        <v>86</v>
      </c>
      <c r="J407" s="16"/>
      <c r="K407" s="32">
        <f>K410+K411+K409+K408</f>
        <v>68072</v>
      </c>
      <c r="L407" s="32">
        <v>137.70899999999983</v>
      </c>
      <c r="M407" s="32">
        <v>68209.709000000003</v>
      </c>
    </row>
    <row r="408" spans="1:13" s="123" customFormat="1" ht="103.8" customHeight="1" x14ac:dyDescent="0.35">
      <c r="A408" s="17"/>
      <c r="B408" s="30" t="s">
        <v>44</v>
      </c>
      <c r="C408" s="31" t="s">
        <v>407</v>
      </c>
      <c r="D408" s="16" t="s">
        <v>219</v>
      </c>
      <c r="E408" s="16" t="s">
        <v>34</v>
      </c>
      <c r="F408" s="583" t="s">
        <v>34</v>
      </c>
      <c r="G408" s="584" t="s">
        <v>40</v>
      </c>
      <c r="H408" s="584" t="s">
        <v>34</v>
      </c>
      <c r="I408" s="585" t="s">
        <v>86</v>
      </c>
      <c r="J408" s="16" t="s">
        <v>45</v>
      </c>
      <c r="K408" s="32">
        <f>319.1+6.4</f>
        <v>325.5</v>
      </c>
      <c r="L408" s="32">
        <v>0</v>
      </c>
      <c r="M408" s="32">
        <v>325.5</v>
      </c>
    </row>
    <row r="409" spans="1:13" s="123" customFormat="1" ht="56.25" customHeight="1" x14ac:dyDescent="0.35">
      <c r="A409" s="17"/>
      <c r="B409" s="30" t="s">
        <v>50</v>
      </c>
      <c r="C409" s="31" t="s">
        <v>407</v>
      </c>
      <c r="D409" s="16" t="s">
        <v>219</v>
      </c>
      <c r="E409" s="16" t="s">
        <v>34</v>
      </c>
      <c r="F409" s="583" t="s">
        <v>34</v>
      </c>
      <c r="G409" s="584" t="s">
        <v>40</v>
      </c>
      <c r="H409" s="584" t="s">
        <v>34</v>
      </c>
      <c r="I409" s="585" t="s">
        <v>86</v>
      </c>
      <c r="J409" s="16" t="s">
        <v>51</v>
      </c>
      <c r="K409" s="32">
        <v>5512.9</v>
      </c>
      <c r="L409" s="32">
        <v>137.70899999999983</v>
      </c>
      <c r="M409" s="575">
        <v>5650.6089999999995</v>
      </c>
    </row>
    <row r="410" spans="1:13" s="123" customFormat="1" ht="56.25" customHeight="1" x14ac:dyDescent="0.35">
      <c r="A410" s="17"/>
      <c r="B410" s="30" t="s">
        <v>71</v>
      </c>
      <c r="C410" s="31" t="s">
        <v>407</v>
      </c>
      <c r="D410" s="16" t="s">
        <v>219</v>
      </c>
      <c r="E410" s="16" t="s">
        <v>34</v>
      </c>
      <c r="F410" s="583" t="s">
        <v>34</v>
      </c>
      <c r="G410" s="584" t="s">
        <v>40</v>
      </c>
      <c r="H410" s="584" t="s">
        <v>34</v>
      </c>
      <c r="I410" s="585" t="s">
        <v>86</v>
      </c>
      <c r="J410" s="16" t="s">
        <v>72</v>
      </c>
      <c r="K410" s="32">
        <f>61585.5+81.7</f>
        <v>61667.199999999997</v>
      </c>
      <c r="L410" s="32">
        <v>0</v>
      </c>
      <c r="M410" s="32">
        <v>61667.199999999997</v>
      </c>
    </row>
    <row r="411" spans="1:13" s="123" customFormat="1" ht="18.75" customHeight="1" x14ac:dyDescent="0.35">
      <c r="A411" s="17"/>
      <c r="B411" s="30" t="s">
        <v>52</v>
      </c>
      <c r="C411" s="31" t="s">
        <v>407</v>
      </c>
      <c r="D411" s="16" t="s">
        <v>219</v>
      </c>
      <c r="E411" s="16" t="s">
        <v>34</v>
      </c>
      <c r="F411" s="583" t="s">
        <v>34</v>
      </c>
      <c r="G411" s="584" t="s">
        <v>40</v>
      </c>
      <c r="H411" s="584" t="s">
        <v>34</v>
      </c>
      <c r="I411" s="585" t="s">
        <v>86</v>
      </c>
      <c r="J411" s="16" t="s">
        <v>53</v>
      </c>
      <c r="K411" s="32">
        <v>566.4</v>
      </c>
      <c r="L411" s="32">
        <v>0</v>
      </c>
      <c r="M411" s="32">
        <v>566.4</v>
      </c>
    </row>
    <row r="412" spans="1:13" s="123" customFormat="1" ht="20.25" customHeight="1" x14ac:dyDescent="0.35">
      <c r="A412" s="17"/>
      <c r="B412" s="30" t="s">
        <v>438</v>
      </c>
      <c r="C412" s="31" t="s">
        <v>407</v>
      </c>
      <c r="D412" s="16" t="s">
        <v>219</v>
      </c>
      <c r="E412" s="16" t="s">
        <v>34</v>
      </c>
      <c r="F412" s="583" t="s">
        <v>34</v>
      </c>
      <c r="G412" s="584" t="s">
        <v>40</v>
      </c>
      <c r="H412" s="584" t="s">
        <v>34</v>
      </c>
      <c r="I412" s="585" t="s">
        <v>376</v>
      </c>
      <c r="J412" s="16"/>
      <c r="K412" s="32">
        <f>K414+K413</f>
        <v>7184.9000000000005</v>
      </c>
      <c r="L412" s="32">
        <v>0</v>
      </c>
      <c r="M412" s="32">
        <v>7184.9000000000005</v>
      </c>
    </row>
    <row r="413" spans="1:13" s="123" customFormat="1" ht="37.950000000000003" customHeight="1" x14ac:dyDescent="0.35">
      <c r="A413" s="17"/>
      <c r="B413" s="30" t="s">
        <v>50</v>
      </c>
      <c r="C413" s="31" t="s">
        <v>407</v>
      </c>
      <c r="D413" s="16" t="s">
        <v>219</v>
      </c>
      <c r="E413" s="16" t="s">
        <v>34</v>
      </c>
      <c r="F413" s="583" t="s">
        <v>34</v>
      </c>
      <c r="G413" s="584" t="s">
        <v>40</v>
      </c>
      <c r="H413" s="584" t="s">
        <v>34</v>
      </c>
      <c r="I413" s="585" t="s">
        <v>376</v>
      </c>
      <c r="J413" s="16" t="s">
        <v>51</v>
      </c>
      <c r="K413" s="32">
        <f>1071-475.2</f>
        <v>595.79999999999995</v>
      </c>
      <c r="L413" s="32">
        <v>0</v>
      </c>
      <c r="M413" s="32">
        <v>595.79999999999995</v>
      </c>
    </row>
    <row r="414" spans="1:13" s="123" customFormat="1" ht="56.25" customHeight="1" x14ac:dyDescent="0.35">
      <c r="A414" s="17"/>
      <c r="B414" s="30" t="s">
        <v>71</v>
      </c>
      <c r="C414" s="31" t="s">
        <v>407</v>
      </c>
      <c r="D414" s="16" t="s">
        <v>219</v>
      </c>
      <c r="E414" s="16" t="s">
        <v>34</v>
      </c>
      <c r="F414" s="583" t="s">
        <v>34</v>
      </c>
      <c r="G414" s="584" t="s">
        <v>40</v>
      </c>
      <c r="H414" s="584" t="s">
        <v>34</v>
      </c>
      <c r="I414" s="585" t="s">
        <v>376</v>
      </c>
      <c r="J414" s="16" t="s">
        <v>72</v>
      </c>
      <c r="K414" s="32">
        <f>6021.3+249+228+90.8</f>
        <v>6589.1</v>
      </c>
      <c r="L414" s="32">
        <v>0</v>
      </c>
      <c r="M414" s="32">
        <v>6589.1</v>
      </c>
    </row>
    <row r="415" spans="1:13" s="127" customFormat="1" ht="56.25" customHeight="1" x14ac:dyDescent="0.35">
      <c r="A415" s="17"/>
      <c r="B415" s="30" t="s">
        <v>202</v>
      </c>
      <c r="C415" s="31" t="s">
        <v>407</v>
      </c>
      <c r="D415" s="16" t="s">
        <v>219</v>
      </c>
      <c r="E415" s="16" t="s">
        <v>34</v>
      </c>
      <c r="F415" s="583" t="s">
        <v>34</v>
      </c>
      <c r="G415" s="584" t="s">
        <v>40</v>
      </c>
      <c r="H415" s="584" t="s">
        <v>34</v>
      </c>
      <c r="I415" s="585" t="s">
        <v>261</v>
      </c>
      <c r="J415" s="16"/>
      <c r="K415" s="32">
        <f t="shared" ref="K415:M415" si="65">SUM(K416:K417)</f>
        <v>28981.7</v>
      </c>
      <c r="L415" s="32">
        <v>0</v>
      </c>
      <c r="M415" s="32">
        <v>28981.7</v>
      </c>
    </row>
    <row r="416" spans="1:13" s="127" customFormat="1" ht="56.25" customHeight="1" x14ac:dyDescent="0.35">
      <c r="A416" s="17"/>
      <c r="B416" s="30" t="s">
        <v>50</v>
      </c>
      <c r="C416" s="31" t="s">
        <v>407</v>
      </c>
      <c r="D416" s="16" t="s">
        <v>219</v>
      </c>
      <c r="E416" s="16" t="s">
        <v>34</v>
      </c>
      <c r="F416" s="583" t="s">
        <v>34</v>
      </c>
      <c r="G416" s="584" t="s">
        <v>40</v>
      </c>
      <c r="H416" s="584" t="s">
        <v>34</v>
      </c>
      <c r="I416" s="585" t="s">
        <v>261</v>
      </c>
      <c r="J416" s="16" t="s">
        <v>51</v>
      </c>
      <c r="K416" s="32">
        <v>4061.3</v>
      </c>
      <c r="L416" s="32">
        <v>0</v>
      </c>
      <c r="M416" s="32">
        <v>4061.3</v>
      </c>
    </row>
    <row r="417" spans="1:13" s="127" customFormat="1" ht="56.25" customHeight="1" x14ac:dyDescent="0.35">
      <c r="A417" s="17"/>
      <c r="B417" s="30" t="s">
        <v>71</v>
      </c>
      <c r="C417" s="31" t="s">
        <v>407</v>
      </c>
      <c r="D417" s="16" t="s">
        <v>219</v>
      </c>
      <c r="E417" s="16" t="s">
        <v>34</v>
      </c>
      <c r="F417" s="583" t="s">
        <v>34</v>
      </c>
      <c r="G417" s="584" t="s">
        <v>40</v>
      </c>
      <c r="H417" s="584" t="s">
        <v>34</v>
      </c>
      <c r="I417" s="585" t="s">
        <v>261</v>
      </c>
      <c r="J417" s="16" t="s">
        <v>72</v>
      </c>
      <c r="K417" s="32">
        <f>23174.4+561+42+225+42+205+42+210+42+155+42+180</f>
        <v>24920.400000000001</v>
      </c>
      <c r="L417" s="32">
        <v>0</v>
      </c>
      <c r="M417" s="32">
        <v>24920.400000000001</v>
      </c>
    </row>
    <row r="418" spans="1:13" s="127" customFormat="1" ht="37.5" customHeight="1" x14ac:dyDescent="0.35">
      <c r="A418" s="17"/>
      <c r="B418" s="30" t="s">
        <v>203</v>
      </c>
      <c r="C418" s="31" t="s">
        <v>407</v>
      </c>
      <c r="D418" s="16" t="s">
        <v>219</v>
      </c>
      <c r="E418" s="16" t="s">
        <v>34</v>
      </c>
      <c r="F418" s="583" t="s">
        <v>34</v>
      </c>
      <c r="G418" s="584" t="s">
        <v>40</v>
      </c>
      <c r="H418" s="584" t="s">
        <v>34</v>
      </c>
      <c r="I418" s="585" t="s">
        <v>262</v>
      </c>
      <c r="J418" s="16"/>
      <c r="K418" s="32">
        <f>SUM(K419:K421)</f>
        <v>15844.2</v>
      </c>
      <c r="L418" s="32">
        <v>4225.9000000000005</v>
      </c>
      <c r="M418" s="32">
        <v>20070.099999999999</v>
      </c>
    </row>
    <row r="419" spans="1:13" s="127" customFormat="1" ht="56.25" customHeight="1" x14ac:dyDescent="0.35">
      <c r="A419" s="17"/>
      <c r="B419" s="30" t="s">
        <v>50</v>
      </c>
      <c r="C419" s="31" t="s">
        <v>407</v>
      </c>
      <c r="D419" s="16" t="s">
        <v>219</v>
      </c>
      <c r="E419" s="16" t="s">
        <v>34</v>
      </c>
      <c r="F419" s="583" t="s">
        <v>34</v>
      </c>
      <c r="G419" s="584" t="s">
        <v>40</v>
      </c>
      <c r="H419" s="584" t="s">
        <v>34</v>
      </c>
      <c r="I419" s="585" t="s">
        <v>262</v>
      </c>
      <c r="J419" s="16" t="s">
        <v>51</v>
      </c>
      <c r="K419" s="32">
        <v>252.7</v>
      </c>
      <c r="L419" s="32">
        <v>90.800000000000011</v>
      </c>
      <c r="M419" s="575">
        <v>343.5</v>
      </c>
    </row>
    <row r="420" spans="1:13" s="127" customFormat="1" ht="56.25" customHeight="1" x14ac:dyDescent="0.35">
      <c r="A420" s="17"/>
      <c r="B420" s="113" t="s">
        <v>198</v>
      </c>
      <c r="C420" s="31" t="s">
        <v>407</v>
      </c>
      <c r="D420" s="16" t="s">
        <v>219</v>
      </c>
      <c r="E420" s="16" t="s">
        <v>34</v>
      </c>
      <c r="F420" s="583" t="s">
        <v>34</v>
      </c>
      <c r="G420" s="584" t="s">
        <v>40</v>
      </c>
      <c r="H420" s="584" t="s">
        <v>34</v>
      </c>
      <c r="I420" s="585" t="s">
        <v>262</v>
      </c>
      <c r="J420" s="16" t="s">
        <v>199</v>
      </c>
      <c r="K420" s="32">
        <f>3000+1173.4+1120</f>
        <v>5293.4</v>
      </c>
      <c r="L420" s="32">
        <v>0</v>
      </c>
      <c r="M420" s="32">
        <v>5293.4</v>
      </c>
    </row>
    <row r="421" spans="1:13" s="127" customFormat="1" ht="56.25" customHeight="1" x14ac:dyDescent="0.35">
      <c r="A421" s="17"/>
      <c r="B421" s="30" t="s">
        <v>71</v>
      </c>
      <c r="C421" s="31" t="s">
        <v>407</v>
      </c>
      <c r="D421" s="16" t="s">
        <v>219</v>
      </c>
      <c r="E421" s="16" t="s">
        <v>34</v>
      </c>
      <c r="F421" s="583" t="s">
        <v>34</v>
      </c>
      <c r="G421" s="584" t="s">
        <v>40</v>
      </c>
      <c r="H421" s="584" t="s">
        <v>34</v>
      </c>
      <c r="I421" s="585" t="s">
        <v>262</v>
      </c>
      <c r="J421" s="16" t="s">
        <v>72</v>
      </c>
      <c r="K421" s="32">
        <v>10298.1</v>
      </c>
      <c r="L421" s="32">
        <v>4135.1000000000004</v>
      </c>
      <c r="M421" s="575">
        <v>14433.2</v>
      </c>
    </row>
    <row r="422" spans="1:13" s="127" customFormat="1" ht="56.25" customHeight="1" x14ac:dyDescent="0.35">
      <c r="A422" s="17"/>
      <c r="B422" s="30" t="s">
        <v>508</v>
      </c>
      <c r="C422" s="31" t="s">
        <v>407</v>
      </c>
      <c r="D422" s="16" t="s">
        <v>219</v>
      </c>
      <c r="E422" s="16" t="s">
        <v>34</v>
      </c>
      <c r="F422" s="583" t="s">
        <v>34</v>
      </c>
      <c r="G422" s="584" t="s">
        <v>40</v>
      </c>
      <c r="H422" s="584" t="s">
        <v>34</v>
      </c>
      <c r="I422" s="585" t="s">
        <v>509</v>
      </c>
      <c r="J422" s="16"/>
      <c r="K422" s="32">
        <f>K423</f>
        <v>30</v>
      </c>
      <c r="L422" s="32">
        <v>0</v>
      </c>
      <c r="M422" s="32">
        <v>30</v>
      </c>
    </row>
    <row r="423" spans="1:13" s="127" customFormat="1" ht="56.25" customHeight="1" x14ac:dyDescent="0.35">
      <c r="A423" s="17"/>
      <c r="B423" s="30" t="s">
        <v>71</v>
      </c>
      <c r="C423" s="31" t="s">
        <v>407</v>
      </c>
      <c r="D423" s="16" t="s">
        <v>219</v>
      </c>
      <c r="E423" s="16" t="s">
        <v>34</v>
      </c>
      <c r="F423" s="583" t="s">
        <v>34</v>
      </c>
      <c r="G423" s="584" t="s">
        <v>40</v>
      </c>
      <c r="H423" s="584" t="s">
        <v>34</v>
      </c>
      <c r="I423" s="585" t="s">
        <v>509</v>
      </c>
      <c r="J423" s="16" t="s">
        <v>72</v>
      </c>
      <c r="K423" s="32">
        <v>30</v>
      </c>
      <c r="L423" s="32">
        <v>0</v>
      </c>
      <c r="M423" s="32">
        <v>30</v>
      </c>
    </row>
    <row r="424" spans="1:13" s="127" customFormat="1" ht="201" customHeight="1" x14ac:dyDescent="0.35">
      <c r="A424" s="17"/>
      <c r="B424" s="30" t="s">
        <v>554</v>
      </c>
      <c r="C424" s="31" t="s">
        <v>407</v>
      </c>
      <c r="D424" s="16" t="s">
        <v>219</v>
      </c>
      <c r="E424" s="16" t="s">
        <v>34</v>
      </c>
      <c r="F424" s="583" t="s">
        <v>34</v>
      </c>
      <c r="G424" s="584" t="s">
        <v>40</v>
      </c>
      <c r="H424" s="584" t="s">
        <v>34</v>
      </c>
      <c r="I424" s="585" t="s">
        <v>510</v>
      </c>
      <c r="J424" s="16"/>
      <c r="K424" s="32">
        <f>K425+K426</f>
        <v>33409.299999999996</v>
      </c>
      <c r="L424" s="32">
        <v>0</v>
      </c>
      <c r="M424" s="32">
        <v>33409.299999999996</v>
      </c>
    </row>
    <row r="425" spans="1:13" s="127" customFormat="1" ht="111" customHeight="1" x14ac:dyDescent="0.35">
      <c r="A425" s="17"/>
      <c r="B425" s="30" t="s">
        <v>44</v>
      </c>
      <c r="C425" s="31" t="s">
        <v>407</v>
      </c>
      <c r="D425" s="16" t="s">
        <v>219</v>
      </c>
      <c r="E425" s="16" t="s">
        <v>34</v>
      </c>
      <c r="F425" s="583" t="s">
        <v>34</v>
      </c>
      <c r="G425" s="584" t="s">
        <v>40</v>
      </c>
      <c r="H425" s="584" t="s">
        <v>34</v>
      </c>
      <c r="I425" s="585" t="s">
        <v>510</v>
      </c>
      <c r="J425" s="16" t="s">
        <v>45</v>
      </c>
      <c r="K425" s="32">
        <v>2734.2</v>
      </c>
      <c r="L425" s="32">
        <v>0</v>
      </c>
      <c r="M425" s="32">
        <v>2734.2</v>
      </c>
    </row>
    <row r="426" spans="1:13" s="127" customFormat="1" ht="56.25" customHeight="1" x14ac:dyDescent="0.35">
      <c r="A426" s="17"/>
      <c r="B426" s="30" t="s">
        <v>71</v>
      </c>
      <c r="C426" s="31" t="s">
        <v>407</v>
      </c>
      <c r="D426" s="16" t="s">
        <v>219</v>
      </c>
      <c r="E426" s="16" t="s">
        <v>34</v>
      </c>
      <c r="F426" s="583" t="s">
        <v>34</v>
      </c>
      <c r="G426" s="584" t="s">
        <v>40</v>
      </c>
      <c r="H426" s="584" t="s">
        <v>34</v>
      </c>
      <c r="I426" s="585" t="s">
        <v>510</v>
      </c>
      <c r="J426" s="16" t="s">
        <v>72</v>
      </c>
      <c r="K426" s="32">
        <v>30675.1</v>
      </c>
      <c r="L426" s="32">
        <v>0</v>
      </c>
      <c r="M426" s="32">
        <v>30675.1</v>
      </c>
    </row>
    <row r="427" spans="1:13" s="127" customFormat="1" ht="181.2" customHeight="1" x14ac:dyDescent="0.35">
      <c r="A427" s="17"/>
      <c r="B427" s="30" t="s">
        <v>256</v>
      </c>
      <c r="C427" s="31" t="s">
        <v>407</v>
      </c>
      <c r="D427" s="16" t="s">
        <v>219</v>
      </c>
      <c r="E427" s="16" t="s">
        <v>34</v>
      </c>
      <c r="F427" s="583" t="s">
        <v>34</v>
      </c>
      <c r="G427" s="584" t="s">
        <v>40</v>
      </c>
      <c r="H427" s="584" t="s">
        <v>34</v>
      </c>
      <c r="I427" s="585" t="s">
        <v>257</v>
      </c>
      <c r="J427" s="16"/>
      <c r="K427" s="32">
        <f>SUM(K428:K430)</f>
        <v>1595.1</v>
      </c>
      <c r="L427" s="32">
        <v>0</v>
      </c>
      <c r="M427" s="32">
        <v>1595.1</v>
      </c>
    </row>
    <row r="428" spans="1:13" s="127" customFormat="1" ht="112.5" customHeight="1" x14ac:dyDescent="0.35">
      <c r="A428" s="17"/>
      <c r="B428" s="30" t="s">
        <v>44</v>
      </c>
      <c r="C428" s="31" t="s">
        <v>407</v>
      </c>
      <c r="D428" s="16" t="s">
        <v>219</v>
      </c>
      <c r="E428" s="16" t="s">
        <v>34</v>
      </c>
      <c r="F428" s="583" t="s">
        <v>34</v>
      </c>
      <c r="G428" s="584" t="s">
        <v>40</v>
      </c>
      <c r="H428" s="584" t="s">
        <v>34</v>
      </c>
      <c r="I428" s="585" t="s">
        <v>257</v>
      </c>
      <c r="J428" s="16" t="s">
        <v>45</v>
      </c>
      <c r="K428" s="32">
        <v>99.7</v>
      </c>
      <c r="L428" s="32">
        <v>0</v>
      </c>
      <c r="M428" s="32">
        <v>99.7</v>
      </c>
    </row>
    <row r="429" spans="1:13" s="127" customFormat="1" ht="37.5" customHeight="1" x14ac:dyDescent="0.35">
      <c r="A429" s="17"/>
      <c r="B429" s="30" t="s">
        <v>115</v>
      </c>
      <c r="C429" s="31" t="s">
        <v>407</v>
      </c>
      <c r="D429" s="16" t="s">
        <v>219</v>
      </c>
      <c r="E429" s="16" t="s">
        <v>34</v>
      </c>
      <c r="F429" s="583" t="s">
        <v>34</v>
      </c>
      <c r="G429" s="584" t="s">
        <v>40</v>
      </c>
      <c r="H429" s="584" t="s">
        <v>34</v>
      </c>
      <c r="I429" s="585" t="s">
        <v>257</v>
      </c>
      <c r="J429" s="16" t="s">
        <v>116</v>
      </c>
      <c r="K429" s="32">
        <v>6.6</v>
      </c>
      <c r="L429" s="32">
        <v>0</v>
      </c>
      <c r="M429" s="32">
        <v>6.6</v>
      </c>
    </row>
    <row r="430" spans="1:13" s="127" customFormat="1" ht="56.25" customHeight="1" x14ac:dyDescent="0.35">
      <c r="A430" s="17"/>
      <c r="B430" s="30" t="s">
        <v>71</v>
      </c>
      <c r="C430" s="31" t="s">
        <v>407</v>
      </c>
      <c r="D430" s="16" t="s">
        <v>219</v>
      </c>
      <c r="E430" s="16" t="s">
        <v>34</v>
      </c>
      <c r="F430" s="583" t="s">
        <v>34</v>
      </c>
      <c r="G430" s="584" t="s">
        <v>40</v>
      </c>
      <c r="H430" s="584" t="s">
        <v>34</v>
      </c>
      <c r="I430" s="585" t="s">
        <v>257</v>
      </c>
      <c r="J430" s="16" t="s">
        <v>72</v>
      </c>
      <c r="K430" s="32">
        <f>1595.1-99.7-6.6</f>
        <v>1488.8</v>
      </c>
      <c r="L430" s="32">
        <v>0</v>
      </c>
      <c r="M430" s="32">
        <v>1488.8</v>
      </c>
    </row>
    <row r="431" spans="1:13" s="127" customFormat="1" ht="115.5" customHeight="1" x14ac:dyDescent="0.35">
      <c r="A431" s="17"/>
      <c r="B431" s="30" t="s">
        <v>334</v>
      </c>
      <c r="C431" s="31" t="s">
        <v>407</v>
      </c>
      <c r="D431" s="16" t="s">
        <v>219</v>
      </c>
      <c r="E431" s="16" t="s">
        <v>34</v>
      </c>
      <c r="F431" s="583" t="s">
        <v>34</v>
      </c>
      <c r="G431" s="584" t="s">
        <v>40</v>
      </c>
      <c r="H431" s="584" t="s">
        <v>34</v>
      </c>
      <c r="I431" s="585" t="s">
        <v>258</v>
      </c>
      <c r="J431" s="16"/>
      <c r="K431" s="32">
        <f>K432+K433+K434</f>
        <v>402579.3</v>
      </c>
      <c r="L431" s="32">
        <v>0</v>
      </c>
      <c r="M431" s="32">
        <v>402579.3</v>
      </c>
    </row>
    <row r="432" spans="1:13" s="127" customFormat="1" ht="112.5" customHeight="1" x14ac:dyDescent="0.35">
      <c r="A432" s="17"/>
      <c r="B432" s="30" t="s">
        <v>44</v>
      </c>
      <c r="C432" s="31" t="s">
        <v>407</v>
      </c>
      <c r="D432" s="16" t="s">
        <v>219</v>
      </c>
      <c r="E432" s="16" t="s">
        <v>34</v>
      </c>
      <c r="F432" s="583" t="s">
        <v>34</v>
      </c>
      <c r="G432" s="584" t="s">
        <v>40</v>
      </c>
      <c r="H432" s="584" t="s">
        <v>34</v>
      </c>
      <c r="I432" s="585" t="s">
        <v>258</v>
      </c>
      <c r="J432" s="16" t="s">
        <v>45</v>
      </c>
      <c r="K432" s="32">
        <v>26623.599999999999</v>
      </c>
      <c r="L432" s="32">
        <v>0</v>
      </c>
      <c r="M432" s="32">
        <v>26623.599999999999</v>
      </c>
    </row>
    <row r="433" spans="1:13" s="127" customFormat="1" ht="56.25" customHeight="1" x14ac:dyDescent="0.35">
      <c r="A433" s="17"/>
      <c r="B433" s="30" t="s">
        <v>50</v>
      </c>
      <c r="C433" s="31" t="s">
        <v>407</v>
      </c>
      <c r="D433" s="16" t="s">
        <v>219</v>
      </c>
      <c r="E433" s="16" t="s">
        <v>34</v>
      </c>
      <c r="F433" s="583" t="s">
        <v>34</v>
      </c>
      <c r="G433" s="584" t="s">
        <v>40</v>
      </c>
      <c r="H433" s="584" t="s">
        <v>34</v>
      </c>
      <c r="I433" s="585" t="s">
        <v>258</v>
      </c>
      <c r="J433" s="16" t="s">
        <v>51</v>
      </c>
      <c r="K433" s="32">
        <v>3027.7</v>
      </c>
      <c r="L433" s="32">
        <v>0</v>
      </c>
      <c r="M433" s="32">
        <v>3027.7</v>
      </c>
    </row>
    <row r="434" spans="1:13" s="127" customFormat="1" ht="56.25" customHeight="1" x14ac:dyDescent="0.35">
      <c r="A434" s="17"/>
      <c r="B434" s="30" t="s">
        <v>71</v>
      </c>
      <c r="C434" s="31" t="s">
        <v>407</v>
      </c>
      <c r="D434" s="16" t="s">
        <v>219</v>
      </c>
      <c r="E434" s="16" t="s">
        <v>34</v>
      </c>
      <c r="F434" s="583" t="s">
        <v>34</v>
      </c>
      <c r="G434" s="584" t="s">
        <v>40</v>
      </c>
      <c r="H434" s="584" t="s">
        <v>34</v>
      </c>
      <c r="I434" s="585" t="s">
        <v>258</v>
      </c>
      <c r="J434" s="16" t="s">
        <v>72</v>
      </c>
      <c r="K434" s="32">
        <v>372928</v>
      </c>
      <c r="L434" s="32">
        <v>0</v>
      </c>
      <c r="M434" s="32">
        <v>372928</v>
      </c>
    </row>
    <row r="435" spans="1:13" s="123" customFormat="1" ht="93.75" customHeight="1" x14ac:dyDescent="0.35">
      <c r="A435" s="17"/>
      <c r="B435" s="30" t="s">
        <v>204</v>
      </c>
      <c r="C435" s="31" t="s">
        <v>407</v>
      </c>
      <c r="D435" s="16" t="s">
        <v>219</v>
      </c>
      <c r="E435" s="16" t="s">
        <v>34</v>
      </c>
      <c r="F435" s="583" t="s">
        <v>34</v>
      </c>
      <c r="G435" s="584" t="s">
        <v>40</v>
      </c>
      <c r="H435" s="584" t="s">
        <v>34</v>
      </c>
      <c r="I435" s="585" t="s">
        <v>263</v>
      </c>
      <c r="J435" s="16"/>
      <c r="K435" s="32">
        <f t="shared" ref="K435:M435" si="66">SUM(K436:K437)</f>
        <v>2260.9</v>
      </c>
      <c r="L435" s="32">
        <v>0</v>
      </c>
      <c r="M435" s="32">
        <v>2260.9</v>
      </c>
    </row>
    <row r="436" spans="1:13" s="123" customFormat="1" ht="56.25" customHeight="1" x14ac:dyDescent="0.35">
      <c r="A436" s="17"/>
      <c r="B436" s="30" t="s">
        <v>50</v>
      </c>
      <c r="C436" s="31" t="s">
        <v>407</v>
      </c>
      <c r="D436" s="16" t="s">
        <v>219</v>
      </c>
      <c r="E436" s="16" t="s">
        <v>34</v>
      </c>
      <c r="F436" s="583" t="s">
        <v>34</v>
      </c>
      <c r="G436" s="584" t="s">
        <v>40</v>
      </c>
      <c r="H436" s="584" t="s">
        <v>34</v>
      </c>
      <c r="I436" s="585" t="s">
        <v>263</v>
      </c>
      <c r="J436" s="16" t="s">
        <v>51</v>
      </c>
      <c r="K436" s="32">
        <v>106.9</v>
      </c>
      <c r="L436" s="32">
        <v>0</v>
      </c>
      <c r="M436" s="32">
        <v>106.9</v>
      </c>
    </row>
    <row r="437" spans="1:13" s="123" customFormat="1" ht="56.25" customHeight="1" x14ac:dyDescent="0.35">
      <c r="A437" s="17"/>
      <c r="B437" s="30" t="s">
        <v>71</v>
      </c>
      <c r="C437" s="31" t="s">
        <v>407</v>
      </c>
      <c r="D437" s="16" t="s">
        <v>219</v>
      </c>
      <c r="E437" s="16" t="s">
        <v>34</v>
      </c>
      <c r="F437" s="583" t="s">
        <v>34</v>
      </c>
      <c r="G437" s="584" t="s">
        <v>40</v>
      </c>
      <c r="H437" s="584" t="s">
        <v>34</v>
      </c>
      <c r="I437" s="585" t="s">
        <v>263</v>
      </c>
      <c r="J437" s="16" t="s">
        <v>72</v>
      </c>
      <c r="K437" s="32">
        <v>2154</v>
      </c>
      <c r="L437" s="32">
        <v>0</v>
      </c>
      <c r="M437" s="32">
        <v>2154</v>
      </c>
    </row>
    <row r="438" spans="1:13" s="123" customFormat="1" ht="157.5" customHeight="1" x14ac:dyDescent="0.35">
      <c r="A438" s="17"/>
      <c r="B438" s="30" t="s">
        <v>541</v>
      </c>
      <c r="C438" s="31" t="s">
        <v>407</v>
      </c>
      <c r="D438" s="16" t="s">
        <v>219</v>
      </c>
      <c r="E438" s="16" t="s">
        <v>34</v>
      </c>
      <c r="F438" s="583" t="s">
        <v>34</v>
      </c>
      <c r="G438" s="584" t="s">
        <v>40</v>
      </c>
      <c r="H438" s="584" t="s">
        <v>34</v>
      </c>
      <c r="I438" s="585" t="s">
        <v>540</v>
      </c>
      <c r="J438" s="16"/>
      <c r="K438" s="32">
        <f>K439+K440</f>
        <v>1196.0999999999999</v>
      </c>
      <c r="L438" s="32">
        <v>0</v>
      </c>
      <c r="M438" s="32">
        <v>1196.0999999999999</v>
      </c>
    </row>
    <row r="439" spans="1:13" s="123" customFormat="1" ht="56.25" customHeight="1" x14ac:dyDescent="0.35">
      <c r="A439" s="17"/>
      <c r="B439" s="30" t="s">
        <v>50</v>
      </c>
      <c r="C439" s="31" t="s">
        <v>407</v>
      </c>
      <c r="D439" s="16" t="s">
        <v>219</v>
      </c>
      <c r="E439" s="16" t="s">
        <v>34</v>
      </c>
      <c r="F439" s="583" t="s">
        <v>34</v>
      </c>
      <c r="G439" s="584" t="s">
        <v>40</v>
      </c>
      <c r="H439" s="584" t="s">
        <v>34</v>
      </c>
      <c r="I439" s="585" t="s">
        <v>540</v>
      </c>
      <c r="J439" s="16" t="s">
        <v>51</v>
      </c>
      <c r="K439" s="32">
        <v>15</v>
      </c>
      <c r="L439" s="32">
        <v>0</v>
      </c>
      <c r="M439" s="32">
        <v>15</v>
      </c>
    </row>
    <row r="440" spans="1:13" s="123" customFormat="1" ht="56.25" customHeight="1" x14ac:dyDescent="0.35">
      <c r="A440" s="17"/>
      <c r="B440" s="30" t="s">
        <v>71</v>
      </c>
      <c r="C440" s="31" t="s">
        <v>407</v>
      </c>
      <c r="D440" s="16" t="s">
        <v>219</v>
      </c>
      <c r="E440" s="16" t="s">
        <v>34</v>
      </c>
      <c r="F440" s="583" t="s">
        <v>34</v>
      </c>
      <c r="G440" s="584" t="s">
        <v>40</v>
      </c>
      <c r="H440" s="584" t="s">
        <v>34</v>
      </c>
      <c r="I440" s="585" t="s">
        <v>540</v>
      </c>
      <c r="J440" s="16" t="s">
        <v>72</v>
      </c>
      <c r="K440" s="32">
        <v>1181.0999999999999</v>
      </c>
      <c r="L440" s="32">
        <v>0</v>
      </c>
      <c r="M440" s="32">
        <v>1181.0999999999999</v>
      </c>
    </row>
    <row r="441" spans="1:13" s="123" customFormat="1" ht="93.75" customHeight="1" x14ac:dyDescent="0.35">
      <c r="A441" s="17"/>
      <c r="B441" s="30" t="s">
        <v>431</v>
      </c>
      <c r="C441" s="31" t="s">
        <v>407</v>
      </c>
      <c r="D441" s="16" t="s">
        <v>219</v>
      </c>
      <c r="E441" s="16" t="s">
        <v>34</v>
      </c>
      <c r="F441" s="583" t="s">
        <v>34</v>
      </c>
      <c r="G441" s="584" t="s">
        <v>40</v>
      </c>
      <c r="H441" s="584" t="s">
        <v>34</v>
      </c>
      <c r="I441" s="585" t="s">
        <v>430</v>
      </c>
      <c r="J441" s="16"/>
      <c r="K441" s="32">
        <f>K442+K443</f>
        <v>59054.899999999994</v>
      </c>
      <c r="L441" s="32">
        <v>0</v>
      </c>
      <c r="M441" s="32">
        <v>59054.899999999994</v>
      </c>
    </row>
    <row r="442" spans="1:13" s="123" customFormat="1" ht="56.25" customHeight="1" x14ac:dyDescent="0.35">
      <c r="A442" s="17"/>
      <c r="B442" s="30" t="s">
        <v>50</v>
      </c>
      <c r="C442" s="31" t="s">
        <v>407</v>
      </c>
      <c r="D442" s="16" t="s">
        <v>219</v>
      </c>
      <c r="E442" s="16" t="s">
        <v>34</v>
      </c>
      <c r="F442" s="583" t="s">
        <v>34</v>
      </c>
      <c r="G442" s="584" t="s">
        <v>40</v>
      </c>
      <c r="H442" s="584" t="s">
        <v>34</v>
      </c>
      <c r="I442" s="585" t="s">
        <v>430</v>
      </c>
      <c r="J442" s="16" t="s">
        <v>51</v>
      </c>
      <c r="K442" s="32">
        <f>1799+45</f>
        <v>1844</v>
      </c>
      <c r="L442" s="32">
        <v>0</v>
      </c>
      <c r="M442" s="32">
        <v>1844</v>
      </c>
    </row>
    <row r="443" spans="1:13" s="123" customFormat="1" ht="56.25" customHeight="1" x14ac:dyDescent="0.35">
      <c r="A443" s="17"/>
      <c r="B443" s="30" t="s">
        <v>71</v>
      </c>
      <c r="C443" s="31" t="s">
        <v>407</v>
      </c>
      <c r="D443" s="16" t="s">
        <v>219</v>
      </c>
      <c r="E443" s="16" t="s">
        <v>34</v>
      </c>
      <c r="F443" s="583" t="s">
        <v>34</v>
      </c>
      <c r="G443" s="584" t="s">
        <v>40</v>
      </c>
      <c r="H443" s="584" t="s">
        <v>34</v>
      </c>
      <c r="I443" s="585" t="s">
        <v>430</v>
      </c>
      <c r="J443" s="16" t="s">
        <v>72</v>
      </c>
      <c r="K443" s="32">
        <f>56105.7+1105.2</f>
        <v>57210.899999999994</v>
      </c>
      <c r="L443" s="32">
        <v>0</v>
      </c>
      <c r="M443" s="32">
        <v>57210.899999999994</v>
      </c>
    </row>
    <row r="444" spans="1:13" s="123" customFormat="1" ht="90" x14ac:dyDescent="0.35">
      <c r="A444" s="17"/>
      <c r="B444" s="30" t="s">
        <v>539</v>
      </c>
      <c r="C444" s="31" t="s">
        <v>407</v>
      </c>
      <c r="D444" s="16" t="s">
        <v>219</v>
      </c>
      <c r="E444" s="16" t="s">
        <v>34</v>
      </c>
      <c r="F444" s="583" t="s">
        <v>34</v>
      </c>
      <c r="G444" s="584" t="s">
        <v>40</v>
      </c>
      <c r="H444" s="584" t="s">
        <v>34</v>
      </c>
      <c r="I444" s="585" t="s">
        <v>538</v>
      </c>
      <c r="J444" s="16"/>
      <c r="K444" s="32">
        <f>SUM(K445:K447)</f>
        <v>12776.5</v>
      </c>
      <c r="L444" s="32">
        <v>0</v>
      </c>
      <c r="M444" s="32">
        <v>12776.5</v>
      </c>
    </row>
    <row r="445" spans="1:13" s="123" customFormat="1" ht="56.25" customHeight="1" x14ac:dyDescent="0.35">
      <c r="A445" s="17"/>
      <c r="B445" s="30" t="s">
        <v>50</v>
      </c>
      <c r="C445" s="31" t="s">
        <v>407</v>
      </c>
      <c r="D445" s="16" t="s">
        <v>219</v>
      </c>
      <c r="E445" s="16" t="s">
        <v>34</v>
      </c>
      <c r="F445" s="583" t="s">
        <v>34</v>
      </c>
      <c r="G445" s="584" t="s">
        <v>40</v>
      </c>
      <c r="H445" s="584" t="s">
        <v>34</v>
      </c>
      <c r="I445" s="585" t="s">
        <v>538</v>
      </c>
      <c r="J445" s="16" t="s">
        <v>51</v>
      </c>
      <c r="K445" s="32">
        <v>81.7</v>
      </c>
      <c r="L445" s="32">
        <v>0</v>
      </c>
      <c r="M445" s="32">
        <v>81.7</v>
      </c>
    </row>
    <row r="446" spans="1:13" s="123" customFormat="1" ht="36" x14ac:dyDescent="0.35">
      <c r="A446" s="17"/>
      <c r="B446" s="30" t="s">
        <v>115</v>
      </c>
      <c r="C446" s="31" t="s">
        <v>407</v>
      </c>
      <c r="D446" s="16" t="s">
        <v>219</v>
      </c>
      <c r="E446" s="16" t="s">
        <v>34</v>
      </c>
      <c r="F446" s="583" t="s">
        <v>34</v>
      </c>
      <c r="G446" s="584" t="s">
        <v>40</v>
      </c>
      <c r="H446" s="584" t="s">
        <v>34</v>
      </c>
      <c r="I446" s="585" t="s">
        <v>538</v>
      </c>
      <c r="J446" s="16" t="s">
        <v>116</v>
      </c>
      <c r="K446" s="32">
        <v>65.2</v>
      </c>
      <c r="L446" s="32">
        <v>0</v>
      </c>
      <c r="M446" s="32">
        <v>65.2</v>
      </c>
    </row>
    <row r="447" spans="1:13" s="123" customFormat="1" ht="56.25" customHeight="1" x14ac:dyDescent="0.35">
      <c r="A447" s="17"/>
      <c r="B447" s="30" t="s">
        <v>71</v>
      </c>
      <c r="C447" s="31" t="s">
        <v>407</v>
      </c>
      <c r="D447" s="16" t="s">
        <v>219</v>
      </c>
      <c r="E447" s="16" t="s">
        <v>34</v>
      </c>
      <c r="F447" s="583" t="s">
        <v>34</v>
      </c>
      <c r="G447" s="584" t="s">
        <v>40</v>
      </c>
      <c r="H447" s="584" t="s">
        <v>34</v>
      </c>
      <c r="I447" s="585" t="s">
        <v>538</v>
      </c>
      <c r="J447" s="16" t="s">
        <v>72</v>
      </c>
      <c r="K447" s="32">
        <v>12629.6</v>
      </c>
      <c r="L447" s="32">
        <v>0</v>
      </c>
      <c r="M447" s="32">
        <v>12629.6</v>
      </c>
    </row>
    <row r="448" spans="1:13" s="127" customFormat="1" ht="56.25" customHeight="1" x14ac:dyDescent="0.35">
      <c r="A448" s="17"/>
      <c r="B448" s="30" t="s">
        <v>207</v>
      </c>
      <c r="C448" s="31" t="s">
        <v>407</v>
      </c>
      <c r="D448" s="16" t="s">
        <v>219</v>
      </c>
      <c r="E448" s="16" t="s">
        <v>34</v>
      </c>
      <c r="F448" s="583" t="s">
        <v>34</v>
      </c>
      <c r="G448" s="584" t="s">
        <v>25</v>
      </c>
      <c r="H448" s="584" t="s">
        <v>38</v>
      </c>
      <c r="I448" s="585" t="s">
        <v>39</v>
      </c>
      <c r="J448" s="16"/>
      <c r="K448" s="32">
        <f t="shared" ref="K448:M449" si="67">K449</f>
        <v>3074.8</v>
      </c>
      <c r="L448" s="32">
        <v>0</v>
      </c>
      <c r="M448" s="32">
        <v>3074.8</v>
      </c>
    </row>
    <row r="449" spans="1:13" s="127" customFormat="1" ht="37.5" customHeight="1" x14ac:dyDescent="0.35">
      <c r="A449" s="17"/>
      <c r="B449" s="30" t="s">
        <v>270</v>
      </c>
      <c r="C449" s="31" t="s">
        <v>407</v>
      </c>
      <c r="D449" s="16" t="s">
        <v>219</v>
      </c>
      <c r="E449" s="16" t="s">
        <v>34</v>
      </c>
      <c r="F449" s="583" t="s">
        <v>34</v>
      </c>
      <c r="G449" s="584" t="s">
        <v>25</v>
      </c>
      <c r="H449" s="584" t="s">
        <v>32</v>
      </c>
      <c r="I449" s="585" t="s">
        <v>39</v>
      </c>
      <c r="J449" s="16"/>
      <c r="K449" s="32">
        <f t="shared" si="67"/>
        <v>3074.8</v>
      </c>
      <c r="L449" s="32">
        <v>0</v>
      </c>
      <c r="M449" s="32">
        <v>3074.8</v>
      </c>
    </row>
    <row r="450" spans="1:13" s="127" customFormat="1" ht="253.2" customHeight="1" x14ac:dyDescent="0.35">
      <c r="A450" s="17"/>
      <c r="B450" s="30" t="s">
        <v>412</v>
      </c>
      <c r="C450" s="31" t="s">
        <v>407</v>
      </c>
      <c r="D450" s="16" t="s">
        <v>219</v>
      </c>
      <c r="E450" s="16" t="s">
        <v>34</v>
      </c>
      <c r="F450" s="583" t="s">
        <v>34</v>
      </c>
      <c r="G450" s="584" t="s">
        <v>25</v>
      </c>
      <c r="H450" s="584" t="s">
        <v>32</v>
      </c>
      <c r="I450" s="585" t="s">
        <v>335</v>
      </c>
      <c r="J450" s="16"/>
      <c r="K450" s="32">
        <f>K451</f>
        <v>3074.8</v>
      </c>
      <c r="L450" s="32">
        <v>0</v>
      </c>
      <c r="M450" s="32">
        <v>3074.8</v>
      </c>
    </row>
    <row r="451" spans="1:13" s="127" customFormat="1" ht="56.25" customHeight="1" x14ac:dyDescent="0.35">
      <c r="A451" s="17"/>
      <c r="B451" s="30" t="s">
        <v>71</v>
      </c>
      <c r="C451" s="31" t="s">
        <v>407</v>
      </c>
      <c r="D451" s="16" t="s">
        <v>219</v>
      </c>
      <c r="E451" s="16" t="s">
        <v>34</v>
      </c>
      <c r="F451" s="583" t="s">
        <v>34</v>
      </c>
      <c r="G451" s="584" t="s">
        <v>25</v>
      </c>
      <c r="H451" s="584" t="s">
        <v>32</v>
      </c>
      <c r="I451" s="585" t="s">
        <v>335</v>
      </c>
      <c r="J451" s="16" t="s">
        <v>72</v>
      </c>
      <c r="K451" s="32">
        <f>2294.8+780</f>
        <v>3074.8</v>
      </c>
      <c r="L451" s="32">
        <v>0</v>
      </c>
      <c r="M451" s="32">
        <v>3074.8</v>
      </c>
    </row>
    <row r="452" spans="1:13" s="127" customFormat="1" ht="56.25" customHeight="1" x14ac:dyDescent="0.35">
      <c r="A452" s="17"/>
      <c r="B452" s="30" t="s">
        <v>75</v>
      </c>
      <c r="C452" s="31" t="s">
        <v>407</v>
      </c>
      <c r="D452" s="16" t="s">
        <v>219</v>
      </c>
      <c r="E452" s="16" t="s">
        <v>34</v>
      </c>
      <c r="F452" s="583" t="s">
        <v>76</v>
      </c>
      <c r="G452" s="584" t="s">
        <v>37</v>
      </c>
      <c r="H452" s="584" t="s">
        <v>38</v>
      </c>
      <c r="I452" s="585" t="s">
        <v>39</v>
      </c>
      <c r="J452" s="16"/>
      <c r="K452" s="32">
        <f t="shared" ref="K452:M454" si="68">K453</f>
        <v>7254.2</v>
      </c>
      <c r="L452" s="32">
        <v>0</v>
      </c>
      <c r="M452" s="32">
        <v>7254.2</v>
      </c>
    </row>
    <row r="453" spans="1:13" s="127" customFormat="1" ht="56.25" customHeight="1" x14ac:dyDescent="0.35">
      <c r="A453" s="17"/>
      <c r="B453" s="30" t="s">
        <v>120</v>
      </c>
      <c r="C453" s="31" t="s">
        <v>407</v>
      </c>
      <c r="D453" s="16" t="s">
        <v>219</v>
      </c>
      <c r="E453" s="16" t="s">
        <v>34</v>
      </c>
      <c r="F453" s="583" t="s">
        <v>76</v>
      </c>
      <c r="G453" s="584" t="s">
        <v>84</v>
      </c>
      <c r="H453" s="584" t="s">
        <v>38</v>
      </c>
      <c r="I453" s="585" t="s">
        <v>39</v>
      </c>
      <c r="J453" s="16"/>
      <c r="K453" s="32">
        <f t="shared" si="68"/>
        <v>7254.2</v>
      </c>
      <c r="L453" s="32">
        <v>0</v>
      </c>
      <c r="M453" s="32">
        <v>7254.2</v>
      </c>
    </row>
    <row r="454" spans="1:13" s="127" customFormat="1" ht="56.25" customHeight="1" x14ac:dyDescent="0.35">
      <c r="A454" s="17"/>
      <c r="B454" s="30" t="s">
        <v>259</v>
      </c>
      <c r="C454" s="31" t="s">
        <v>407</v>
      </c>
      <c r="D454" s="16" t="s">
        <v>219</v>
      </c>
      <c r="E454" s="16" t="s">
        <v>34</v>
      </c>
      <c r="F454" s="583" t="s">
        <v>76</v>
      </c>
      <c r="G454" s="584" t="s">
        <v>84</v>
      </c>
      <c r="H454" s="584" t="s">
        <v>32</v>
      </c>
      <c r="I454" s="585" t="s">
        <v>39</v>
      </c>
      <c r="J454" s="16"/>
      <c r="K454" s="32">
        <f t="shared" si="68"/>
        <v>7254.2</v>
      </c>
      <c r="L454" s="32">
        <v>0</v>
      </c>
      <c r="M454" s="32">
        <v>7254.2</v>
      </c>
    </row>
    <row r="455" spans="1:13" s="127" customFormat="1" ht="56.25" customHeight="1" x14ac:dyDescent="0.35">
      <c r="A455" s="17"/>
      <c r="B455" s="30" t="s">
        <v>410</v>
      </c>
      <c r="C455" s="31" t="s">
        <v>407</v>
      </c>
      <c r="D455" s="16" t="s">
        <v>219</v>
      </c>
      <c r="E455" s="16" t="s">
        <v>34</v>
      </c>
      <c r="F455" s="583" t="s">
        <v>76</v>
      </c>
      <c r="G455" s="584" t="s">
        <v>84</v>
      </c>
      <c r="H455" s="584" t="s">
        <v>32</v>
      </c>
      <c r="I455" s="585" t="s">
        <v>411</v>
      </c>
      <c r="J455" s="16"/>
      <c r="K455" s="32">
        <f>K456+K457</f>
        <v>7254.2</v>
      </c>
      <c r="L455" s="32">
        <v>0</v>
      </c>
      <c r="M455" s="32">
        <v>7254.2</v>
      </c>
    </row>
    <row r="456" spans="1:13" s="127" customFormat="1" ht="56.25" customHeight="1" x14ac:dyDescent="0.35">
      <c r="A456" s="17"/>
      <c r="B456" s="30" t="s">
        <v>50</v>
      </c>
      <c r="C456" s="31" t="s">
        <v>407</v>
      </c>
      <c r="D456" s="16" t="s">
        <v>219</v>
      </c>
      <c r="E456" s="16" t="s">
        <v>34</v>
      </c>
      <c r="F456" s="583" t="s">
        <v>76</v>
      </c>
      <c r="G456" s="584" t="s">
        <v>84</v>
      </c>
      <c r="H456" s="584" t="s">
        <v>32</v>
      </c>
      <c r="I456" s="585" t="s">
        <v>411</v>
      </c>
      <c r="J456" s="16" t="s">
        <v>51</v>
      </c>
      <c r="K456" s="32">
        <v>905.2</v>
      </c>
      <c r="L456" s="32">
        <v>0</v>
      </c>
      <c r="M456" s="32">
        <v>905.2</v>
      </c>
    </row>
    <row r="457" spans="1:13" s="127" customFormat="1" ht="56.25" customHeight="1" x14ac:dyDescent="0.35">
      <c r="A457" s="17"/>
      <c r="B457" s="30" t="s">
        <v>71</v>
      </c>
      <c r="C457" s="31" t="s">
        <v>407</v>
      </c>
      <c r="D457" s="16" t="s">
        <v>219</v>
      </c>
      <c r="E457" s="16" t="s">
        <v>34</v>
      </c>
      <c r="F457" s="583" t="s">
        <v>76</v>
      </c>
      <c r="G457" s="584" t="s">
        <v>84</v>
      </c>
      <c r="H457" s="584" t="s">
        <v>32</v>
      </c>
      <c r="I457" s="585" t="s">
        <v>411</v>
      </c>
      <c r="J457" s="16" t="s">
        <v>72</v>
      </c>
      <c r="K457" s="32">
        <v>6349</v>
      </c>
      <c r="L457" s="32">
        <v>0</v>
      </c>
      <c r="M457" s="32">
        <v>6349</v>
      </c>
    </row>
    <row r="458" spans="1:13" s="127" customFormat="1" ht="18.75" customHeight="1" x14ac:dyDescent="0.35">
      <c r="A458" s="17"/>
      <c r="B458" s="30" t="s">
        <v>338</v>
      </c>
      <c r="C458" s="31" t="s">
        <v>407</v>
      </c>
      <c r="D458" s="16" t="s">
        <v>219</v>
      </c>
      <c r="E458" s="16" t="s">
        <v>58</v>
      </c>
      <c r="F458" s="583"/>
      <c r="G458" s="584"/>
      <c r="H458" s="584"/>
      <c r="I458" s="585"/>
      <c r="J458" s="16"/>
      <c r="K458" s="32">
        <f>K459</f>
        <v>63956.799999999996</v>
      </c>
      <c r="L458" s="32">
        <v>53.985000000000127</v>
      </c>
      <c r="M458" s="32">
        <v>64010.784999999996</v>
      </c>
    </row>
    <row r="459" spans="1:13" s="127" customFormat="1" ht="56.25" customHeight="1" x14ac:dyDescent="0.35">
      <c r="A459" s="17"/>
      <c r="B459" s="92" t="s">
        <v>200</v>
      </c>
      <c r="C459" s="31" t="s">
        <v>407</v>
      </c>
      <c r="D459" s="16" t="s">
        <v>219</v>
      </c>
      <c r="E459" s="16" t="s">
        <v>58</v>
      </c>
      <c r="F459" s="583" t="s">
        <v>34</v>
      </c>
      <c r="G459" s="584" t="s">
        <v>37</v>
      </c>
      <c r="H459" s="584" t="s">
        <v>38</v>
      </c>
      <c r="I459" s="585" t="s">
        <v>39</v>
      </c>
      <c r="J459" s="16"/>
      <c r="K459" s="32">
        <f t="shared" ref="K459:M459" si="69">K460</f>
        <v>63956.799999999996</v>
      </c>
      <c r="L459" s="32">
        <v>53.985000000000127</v>
      </c>
      <c r="M459" s="32">
        <v>64010.784999999996</v>
      </c>
    </row>
    <row r="460" spans="1:13" s="127" customFormat="1" ht="24" customHeight="1" x14ac:dyDescent="0.35">
      <c r="A460" s="17"/>
      <c r="B460" s="30" t="s">
        <v>205</v>
      </c>
      <c r="C460" s="31" t="s">
        <v>407</v>
      </c>
      <c r="D460" s="16" t="s">
        <v>219</v>
      </c>
      <c r="E460" s="16" t="s">
        <v>58</v>
      </c>
      <c r="F460" s="583" t="s">
        <v>34</v>
      </c>
      <c r="G460" s="584" t="s">
        <v>84</v>
      </c>
      <c r="H460" s="584" t="s">
        <v>38</v>
      </c>
      <c r="I460" s="585" t="s">
        <v>39</v>
      </c>
      <c r="J460" s="16"/>
      <c r="K460" s="32">
        <f>K461</f>
        <v>63956.799999999996</v>
      </c>
      <c r="L460" s="32">
        <v>53.985000000000127</v>
      </c>
      <c r="M460" s="32">
        <v>64010.784999999996</v>
      </c>
    </row>
    <row r="461" spans="1:13" s="127" customFormat="1" ht="37.5" customHeight="1" x14ac:dyDescent="0.35">
      <c r="A461" s="17"/>
      <c r="B461" s="30" t="s">
        <v>264</v>
      </c>
      <c r="C461" s="31" t="s">
        <v>407</v>
      </c>
      <c r="D461" s="16" t="s">
        <v>219</v>
      </c>
      <c r="E461" s="16" t="s">
        <v>58</v>
      </c>
      <c r="F461" s="583" t="s">
        <v>34</v>
      </c>
      <c r="G461" s="584" t="s">
        <v>84</v>
      </c>
      <c r="H461" s="584" t="s">
        <v>32</v>
      </c>
      <c r="I461" s="585" t="s">
        <v>39</v>
      </c>
      <c r="J461" s="16"/>
      <c r="K461" s="32">
        <f>K462+K475+K467+K477+K470+K472</f>
        <v>63956.799999999996</v>
      </c>
      <c r="L461" s="32">
        <v>53.985000000000127</v>
      </c>
      <c r="M461" s="32">
        <v>64010.784999999996</v>
      </c>
    </row>
    <row r="462" spans="1:13" s="127" customFormat="1" ht="37.5" customHeight="1" x14ac:dyDescent="0.35">
      <c r="A462" s="17"/>
      <c r="B462" s="33" t="s">
        <v>437</v>
      </c>
      <c r="C462" s="31" t="s">
        <v>407</v>
      </c>
      <c r="D462" s="16" t="s">
        <v>219</v>
      </c>
      <c r="E462" s="16" t="s">
        <v>58</v>
      </c>
      <c r="F462" s="583" t="s">
        <v>34</v>
      </c>
      <c r="G462" s="584" t="s">
        <v>84</v>
      </c>
      <c r="H462" s="584" t="s">
        <v>32</v>
      </c>
      <c r="I462" s="585" t="s">
        <v>86</v>
      </c>
      <c r="J462" s="16"/>
      <c r="K462" s="32">
        <f>K465+K463+K464+K466</f>
        <v>47271.5</v>
      </c>
      <c r="L462" s="32">
        <v>53.985000000000127</v>
      </c>
      <c r="M462" s="32">
        <v>47325.485000000001</v>
      </c>
    </row>
    <row r="463" spans="1:13" s="127" customFormat="1" ht="112.5" customHeight="1" x14ac:dyDescent="0.35">
      <c r="A463" s="17"/>
      <c r="B463" s="30" t="s">
        <v>44</v>
      </c>
      <c r="C463" s="31" t="s">
        <v>407</v>
      </c>
      <c r="D463" s="16" t="s">
        <v>219</v>
      </c>
      <c r="E463" s="16" t="s">
        <v>58</v>
      </c>
      <c r="F463" s="583" t="s">
        <v>34</v>
      </c>
      <c r="G463" s="584" t="s">
        <v>84</v>
      </c>
      <c r="H463" s="584" t="s">
        <v>32</v>
      </c>
      <c r="I463" s="585" t="s">
        <v>86</v>
      </c>
      <c r="J463" s="16" t="s">
        <v>45</v>
      </c>
      <c r="K463" s="32">
        <f>20543.4+54.4+273.7</f>
        <v>20871.500000000004</v>
      </c>
      <c r="L463" s="32">
        <v>0</v>
      </c>
      <c r="M463" s="32">
        <v>20871.500000000004</v>
      </c>
    </row>
    <row r="464" spans="1:13" s="127" customFormat="1" ht="56.25" customHeight="1" x14ac:dyDescent="0.35">
      <c r="A464" s="17"/>
      <c r="B464" s="30" t="s">
        <v>50</v>
      </c>
      <c r="C464" s="31" t="s">
        <v>407</v>
      </c>
      <c r="D464" s="16" t="s">
        <v>219</v>
      </c>
      <c r="E464" s="16" t="s">
        <v>58</v>
      </c>
      <c r="F464" s="583" t="s">
        <v>34</v>
      </c>
      <c r="G464" s="584" t="s">
        <v>84</v>
      </c>
      <c r="H464" s="584" t="s">
        <v>32</v>
      </c>
      <c r="I464" s="585" t="s">
        <v>86</v>
      </c>
      <c r="J464" s="16" t="s">
        <v>51</v>
      </c>
      <c r="K464" s="32">
        <v>2008</v>
      </c>
      <c r="L464" s="32">
        <v>53.985000000000127</v>
      </c>
      <c r="M464" s="575">
        <v>2061.9850000000001</v>
      </c>
    </row>
    <row r="465" spans="1:13" s="127" customFormat="1" ht="56.25" customHeight="1" x14ac:dyDescent="0.35">
      <c r="A465" s="17"/>
      <c r="B465" s="30" t="s">
        <v>71</v>
      </c>
      <c r="C465" s="31" t="s">
        <v>407</v>
      </c>
      <c r="D465" s="16" t="s">
        <v>219</v>
      </c>
      <c r="E465" s="16" t="s">
        <v>58</v>
      </c>
      <c r="F465" s="583" t="s">
        <v>34</v>
      </c>
      <c r="G465" s="584" t="s">
        <v>84</v>
      </c>
      <c r="H465" s="584" t="s">
        <v>32</v>
      </c>
      <c r="I465" s="585" t="s">
        <v>86</v>
      </c>
      <c r="J465" s="16" t="s">
        <v>72</v>
      </c>
      <c r="K465" s="32">
        <f>28679.6+64.4-4465.2</f>
        <v>24278.799999999999</v>
      </c>
      <c r="L465" s="32">
        <v>0</v>
      </c>
      <c r="M465" s="32">
        <v>24278.799999999999</v>
      </c>
    </row>
    <row r="466" spans="1:13" s="127" customFormat="1" ht="18.75" customHeight="1" x14ac:dyDescent="0.35">
      <c r="A466" s="17"/>
      <c r="B466" s="30" t="s">
        <v>52</v>
      </c>
      <c r="C466" s="31" t="s">
        <v>407</v>
      </c>
      <c r="D466" s="16" t="s">
        <v>219</v>
      </c>
      <c r="E466" s="16" t="s">
        <v>58</v>
      </c>
      <c r="F466" s="583" t="s">
        <v>34</v>
      </c>
      <c r="G466" s="584" t="s">
        <v>84</v>
      </c>
      <c r="H466" s="584" t="s">
        <v>32</v>
      </c>
      <c r="I466" s="585" t="s">
        <v>86</v>
      </c>
      <c r="J466" s="16" t="s">
        <v>53</v>
      </c>
      <c r="K466" s="32">
        <v>113.2</v>
      </c>
      <c r="L466" s="32">
        <v>0</v>
      </c>
      <c r="M466" s="32">
        <v>113.2</v>
      </c>
    </row>
    <row r="467" spans="1:13" s="127" customFormat="1" ht="56.25" customHeight="1" x14ac:dyDescent="0.35">
      <c r="A467" s="17"/>
      <c r="B467" s="30" t="s">
        <v>202</v>
      </c>
      <c r="C467" s="31" t="s">
        <v>407</v>
      </c>
      <c r="D467" s="16" t="s">
        <v>219</v>
      </c>
      <c r="E467" s="16" t="s">
        <v>58</v>
      </c>
      <c r="F467" s="583" t="s">
        <v>34</v>
      </c>
      <c r="G467" s="584" t="s">
        <v>84</v>
      </c>
      <c r="H467" s="584" t="s">
        <v>32</v>
      </c>
      <c r="I467" s="585" t="s">
        <v>261</v>
      </c>
      <c r="J467" s="16"/>
      <c r="K467" s="32">
        <f>K469+K468</f>
        <v>1535</v>
      </c>
      <c r="L467" s="32">
        <v>0</v>
      </c>
      <c r="M467" s="32">
        <v>1535</v>
      </c>
    </row>
    <row r="468" spans="1:13" s="127" customFormat="1" ht="56.25" customHeight="1" x14ac:dyDescent="0.35">
      <c r="A468" s="17"/>
      <c r="B468" s="30" t="s">
        <v>50</v>
      </c>
      <c r="C468" s="31" t="s">
        <v>407</v>
      </c>
      <c r="D468" s="16" t="s">
        <v>219</v>
      </c>
      <c r="E468" s="16" t="s">
        <v>58</v>
      </c>
      <c r="F468" s="583" t="s">
        <v>34</v>
      </c>
      <c r="G468" s="584" t="s">
        <v>84</v>
      </c>
      <c r="H468" s="584" t="s">
        <v>32</v>
      </c>
      <c r="I468" s="585" t="s">
        <v>261</v>
      </c>
      <c r="J468" s="16" t="s">
        <v>51</v>
      </c>
      <c r="K468" s="32">
        <v>676.5</v>
      </c>
      <c r="L468" s="32">
        <v>0</v>
      </c>
      <c r="M468" s="32">
        <v>676.5</v>
      </c>
    </row>
    <row r="469" spans="1:13" s="127" customFormat="1" ht="56.25" customHeight="1" x14ac:dyDescent="0.35">
      <c r="A469" s="17"/>
      <c r="B469" s="92" t="s">
        <v>71</v>
      </c>
      <c r="C469" s="31" t="s">
        <v>407</v>
      </c>
      <c r="D469" s="16" t="s">
        <v>219</v>
      </c>
      <c r="E469" s="16" t="s">
        <v>58</v>
      </c>
      <c r="F469" s="583" t="s">
        <v>34</v>
      </c>
      <c r="G469" s="584" t="s">
        <v>84</v>
      </c>
      <c r="H469" s="584" t="s">
        <v>32</v>
      </c>
      <c r="I469" s="585" t="s">
        <v>261</v>
      </c>
      <c r="J469" s="16" t="s">
        <v>72</v>
      </c>
      <c r="K469" s="32">
        <v>858.5</v>
      </c>
      <c r="L469" s="32">
        <v>0</v>
      </c>
      <c r="M469" s="32">
        <v>858.5</v>
      </c>
    </row>
    <row r="470" spans="1:13" s="127" customFormat="1" ht="37.5" customHeight="1" x14ac:dyDescent="0.35">
      <c r="A470" s="17"/>
      <c r="B470" s="30" t="s">
        <v>203</v>
      </c>
      <c r="C470" s="31" t="s">
        <v>407</v>
      </c>
      <c r="D470" s="16" t="s">
        <v>219</v>
      </c>
      <c r="E470" s="16" t="s">
        <v>58</v>
      </c>
      <c r="F470" s="583" t="s">
        <v>34</v>
      </c>
      <c r="G470" s="584" t="s">
        <v>84</v>
      </c>
      <c r="H470" s="584" t="s">
        <v>32</v>
      </c>
      <c r="I470" s="585" t="s">
        <v>262</v>
      </c>
      <c r="J470" s="16"/>
      <c r="K470" s="32">
        <f>K471</f>
        <v>17</v>
      </c>
      <c r="L470" s="32">
        <v>0</v>
      </c>
      <c r="M470" s="32">
        <v>17</v>
      </c>
    </row>
    <row r="471" spans="1:13" s="127" customFormat="1" ht="56.25" customHeight="1" x14ac:dyDescent="0.35">
      <c r="A471" s="17"/>
      <c r="B471" s="92" t="s">
        <v>71</v>
      </c>
      <c r="C471" s="31" t="s">
        <v>407</v>
      </c>
      <c r="D471" s="16" t="s">
        <v>219</v>
      </c>
      <c r="E471" s="16" t="s">
        <v>58</v>
      </c>
      <c r="F471" s="583" t="s">
        <v>34</v>
      </c>
      <c r="G471" s="584" t="s">
        <v>84</v>
      </c>
      <c r="H471" s="584" t="s">
        <v>32</v>
      </c>
      <c r="I471" s="585" t="s">
        <v>262</v>
      </c>
      <c r="J471" s="16" t="s">
        <v>72</v>
      </c>
      <c r="K471" s="32">
        <v>17</v>
      </c>
      <c r="L471" s="32">
        <v>0</v>
      </c>
      <c r="M471" s="32">
        <v>17</v>
      </c>
    </row>
    <row r="472" spans="1:13" s="127" customFormat="1" ht="56.25" customHeight="1" x14ac:dyDescent="0.35">
      <c r="A472" s="17"/>
      <c r="B472" s="92" t="s">
        <v>521</v>
      </c>
      <c r="C472" s="31" t="s">
        <v>407</v>
      </c>
      <c r="D472" s="16" t="s">
        <v>219</v>
      </c>
      <c r="E472" s="16" t="s">
        <v>58</v>
      </c>
      <c r="F472" s="583" t="s">
        <v>34</v>
      </c>
      <c r="G472" s="584" t="s">
        <v>84</v>
      </c>
      <c r="H472" s="584" t="s">
        <v>32</v>
      </c>
      <c r="I472" s="585" t="s">
        <v>520</v>
      </c>
      <c r="J472" s="16"/>
      <c r="K472" s="32">
        <f>SUM(K473:K474)</f>
        <v>4940.4000000000005</v>
      </c>
      <c r="L472" s="32">
        <v>0</v>
      </c>
      <c r="M472" s="32">
        <v>4940.4000000000005</v>
      </c>
    </row>
    <row r="473" spans="1:13" s="127" customFormat="1" ht="56.25" customHeight="1" x14ac:dyDescent="0.35">
      <c r="A473" s="17"/>
      <c r="B473" s="92" t="s">
        <v>71</v>
      </c>
      <c r="C473" s="31" t="s">
        <v>407</v>
      </c>
      <c r="D473" s="16" t="s">
        <v>219</v>
      </c>
      <c r="E473" s="16" t="s">
        <v>58</v>
      </c>
      <c r="F473" s="583" t="s">
        <v>34</v>
      </c>
      <c r="G473" s="584" t="s">
        <v>84</v>
      </c>
      <c r="H473" s="584" t="s">
        <v>32</v>
      </c>
      <c r="I473" s="585" t="s">
        <v>520</v>
      </c>
      <c r="J473" s="16" t="s">
        <v>72</v>
      </c>
      <c r="K473" s="32">
        <f>4465.2+121.3+121.3+121.3</f>
        <v>4829.1000000000004</v>
      </c>
      <c r="L473" s="32">
        <v>0</v>
      </c>
      <c r="M473" s="32">
        <v>4829.1000000000004</v>
      </c>
    </row>
    <row r="474" spans="1:13" s="127" customFormat="1" ht="18" x14ac:dyDescent="0.35">
      <c r="A474" s="17"/>
      <c r="B474" s="30" t="s">
        <v>52</v>
      </c>
      <c r="C474" s="31" t="s">
        <v>407</v>
      </c>
      <c r="D474" s="16" t="s">
        <v>219</v>
      </c>
      <c r="E474" s="16" t="s">
        <v>58</v>
      </c>
      <c r="F474" s="583" t="s">
        <v>34</v>
      </c>
      <c r="G474" s="584" t="s">
        <v>84</v>
      </c>
      <c r="H474" s="584" t="s">
        <v>32</v>
      </c>
      <c r="I474" s="585" t="s">
        <v>520</v>
      </c>
      <c r="J474" s="16" t="s">
        <v>53</v>
      </c>
      <c r="K474" s="32">
        <v>111.3</v>
      </c>
      <c r="L474" s="32">
        <v>0</v>
      </c>
      <c r="M474" s="32">
        <v>111.3</v>
      </c>
    </row>
    <row r="475" spans="1:13" s="127" customFormat="1" ht="181.95" customHeight="1" x14ac:dyDescent="0.35">
      <c r="A475" s="17"/>
      <c r="B475" s="30" t="s">
        <v>256</v>
      </c>
      <c r="C475" s="31" t="s">
        <v>407</v>
      </c>
      <c r="D475" s="16" t="s">
        <v>219</v>
      </c>
      <c r="E475" s="16" t="s">
        <v>58</v>
      </c>
      <c r="F475" s="583" t="s">
        <v>34</v>
      </c>
      <c r="G475" s="584" t="s">
        <v>84</v>
      </c>
      <c r="H475" s="584" t="s">
        <v>32</v>
      </c>
      <c r="I475" s="585" t="s">
        <v>257</v>
      </c>
      <c r="J475" s="16"/>
      <c r="K475" s="32">
        <f>K476</f>
        <v>106.1</v>
      </c>
      <c r="L475" s="32">
        <v>0</v>
      </c>
      <c r="M475" s="32">
        <v>106.1</v>
      </c>
    </row>
    <row r="476" spans="1:13" s="127" customFormat="1" ht="52.95" customHeight="1" x14ac:dyDescent="0.35">
      <c r="A476" s="17"/>
      <c r="B476" s="30" t="s">
        <v>71</v>
      </c>
      <c r="C476" s="31" t="s">
        <v>407</v>
      </c>
      <c r="D476" s="16" t="s">
        <v>219</v>
      </c>
      <c r="E476" s="16" t="s">
        <v>58</v>
      </c>
      <c r="F476" s="583" t="s">
        <v>34</v>
      </c>
      <c r="G476" s="584" t="s">
        <v>84</v>
      </c>
      <c r="H476" s="584" t="s">
        <v>32</v>
      </c>
      <c r="I476" s="585" t="s">
        <v>257</v>
      </c>
      <c r="J476" s="16" t="s">
        <v>72</v>
      </c>
      <c r="K476" s="32">
        <v>106.1</v>
      </c>
      <c r="L476" s="32">
        <v>0</v>
      </c>
      <c r="M476" s="32">
        <v>106.1</v>
      </c>
    </row>
    <row r="477" spans="1:13" s="127" customFormat="1" ht="105" customHeight="1" x14ac:dyDescent="0.35">
      <c r="A477" s="17"/>
      <c r="B477" s="30" t="s">
        <v>334</v>
      </c>
      <c r="C477" s="31" t="s">
        <v>407</v>
      </c>
      <c r="D477" s="16" t="s">
        <v>219</v>
      </c>
      <c r="E477" s="16" t="s">
        <v>58</v>
      </c>
      <c r="F477" s="583" t="s">
        <v>34</v>
      </c>
      <c r="G477" s="584" t="s">
        <v>84</v>
      </c>
      <c r="H477" s="584" t="s">
        <v>32</v>
      </c>
      <c r="I477" s="585" t="s">
        <v>258</v>
      </c>
      <c r="J477" s="16"/>
      <c r="K477" s="32">
        <f>K478</f>
        <v>10086.799999999999</v>
      </c>
      <c r="L477" s="32">
        <v>0</v>
      </c>
      <c r="M477" s="32">
        <v>10086.799999999999</v>
      </c>
    </row>
    <row r="478" spans="1:13" s="127" customFormat="1" ht="56.25" customHeight="1" x14ac:dyDescent="0.35">
      <c r="A478" s="17"/>
      <c r="B478" s="30" t="s">
        <v>71</v>
      </c>
      <c r="C478" s="31" t="s">
        <v>407</v>
      </c>
      <c r="D478" s="16" t="s">
        <v>219</v>
      </c>
      <c r="E478" s="16" t="s">
        <v>58</v>
      </c>
      <c r="F478" s="583" t="s">
        <v>34</v>
      </c>
      <c r="G478" s="584" t="s">
        <v>84</v>
      </c>
      <c r="H478" s="584" t="s">
        <v>32</v>
      </c>
      <c r="I478" s="585" t="s">
        <v>258</v>
      </c>
      <c r="J478" s="16" t="s">
        <v>72</v>
      </c>
      <c r="K478" s="32">
        <v>10086.799999999999</v>
      </c>
      <c r="L478" s="32">
        <v>0</v>
      </c>
      <c r="M478" s="32">
        <v>10086.799999999999</v>
      </c>
    </row>
    <row r="479" spans="1:13" s="127" customFormat="1" ht="21" customHeight="1" x14ac:dyDescent="0.35">
      <c r="A479" s="17"/>
      <c r="B479" s="30" t="s">
        <v>339</v>
      </c>
      <c r="C479" s="31" t="s">
        <v>407</v>
      </c>
      <c r="D479" s="16" t="s">
        <v>219</v>
      </c>
      <c r="E479" s="16" t="s">
        <v>219</v>
      </c>
      <c r="F479" s="583"/>
      <c r="G479" s="584"/>
      <c r="H479" s="584"/>
      <c r="I479" s="585"/>
      <c r="J479" s="16"/>
      <c r="K479" s="32">
        <f t="shared" ref="K479:M480" si="70">K480</f>
        <v>5396.0999999999995</v>
      </c>
      <c r="L479" s="32">
        <v>0</v>
      </c>
      <c r="M479" s="32">
        <v>5396.0999999999995</v>
      </c>
    </row>
    <row r="480" spans="1:13" s="127" customFormat="1" ht="56.25" customHeight="1" x14ac:dyDescent="0.35">
      <c r="A480" s="17"/>
      <c r="B480" s="30" t="s">
        <v>200</v>
      </c>
      <c r="C480" s="31" t="s">
        <v>407</v>
      </c>
      <c r="D480" s="16" t="s">
        <v>219</v>
      </c>
      <c r="E480" s="16" t="s">
        <v>219</v>
      </c>
      <c r="F480" s="583" t="s">
        <v>34</v>
      </c>
      <c r="G480" s="584" t="s">
        <v>37</v>
      </c>
      <c r="H480" s="584" t="s">
        <v>38</v>
      </c>
      <c r="I480" s="585" t="s">
        <v>39</v>
      </c>
      <c r="J480" s="16"/>
      <c r="K480" s="32">
        <f t="shared" si="70"/>
        <v>5396.0999999999995</v>
      </c>
      <c r="L480" s="32">
        <v>0</v>
      </c>
      <c r="M480" s="32">
        <v>5396.0999999999995</v>
      </c>
    </row>
    <row r="481" spans="1:13" s="127" customFormat="1" ht="56.25" customHeight="1" x14ac:dyDescent="0.35">
      <c r="A481" s="17"/>
      <c r="B481" s="30" t="s">
        <v>207</v>
      </c>
      <c r="C481" s="31" t="s">
        <v>407</v>
      </c>
      <c r="D481" s="16" t="s">
        <v>219</v>
      </c>
      <c r="E481" s="16" t="s">
        <v>219</v>
      </c>
      <c r="F481" s="583" t="s">
        <v>34</v>
      </c>
      <c r="G481" s="584" t="s">
        <v>25</v>
      </c>
      <c r="H481" s="584" t="s">
        <v>38</v>
      </c>
      <c r="I481" s="585" t="s">
        <v>39</v>
      </c>
      <c r="J481" s="16"/>
      <c r="K481" s="32">
        <f>K482</f>
        <v>5396.0999999999995</v>
      </c>
      <c r="L481" s="32">
        <v>0</v>
      </c>
      <c r="M481" s="32">
        <v>5396.0999999999995</v>
      </c>
    </row>
    <row r="482" spans="1:13" s="127" customFormat="1" ht="56.25" customHeight="1" x14ac:dyDescent="0.35">
      <c r="A482" s="17"/>
      <c r="B482" s="30" t="s">
        <v>269</v>
      </c>
      <c r="C482" s="31" t="s">
        <v>407</v>
      </c>
      <c r="D482" s="16" t="s">
        <v>219</v>
      </c>
      <c r="E482" s="16" t="s">
        <v>219</v>
      </c>
      <c r="F482" s="583" t="s">
        <v>34</v>
      </c>
      <c r="G482" s="584" t="s">
        <v>25</v>
      </c>
      <c r="H482" s="584" t="s">
        <v>34</v>
      </c>
      <c r="I482" s="585" t="s">
        <v>39</v>
      </c>
      <c r="J482" s="16"/>
      <c r="K482" s="32">
        <f>K483+K485</f>
        <v>5396.0999999999995</v>
      </c>
      <c r="L482" s="32">
        <v>0</v>
      </c>
      <c r="M482" s="32">
        <v>5396.0999999999995</v>
      </c>
    </row>
    <row r="483" spans="1:13" s="127" customFormat="1" ht="35.25" customHeight="1" x14ac:dyDescent="0.35">
      <c r="A483" s="17"/>
      <c r="B483" s="30" t="s">
        <v>444</v>
      </c>
      <c r="C483" s="31" t="s">
        <v>407</v>
      </c>
      <c r="D483" s="16" t="s">
        <v>219</v>
      </c>
      <c r="E483" s="16" t="s">
        <v>219</v>
      </c>
      <c r="F483" s="583" t="s">
        <v>34</v>
      </c>
      <c r="G483" s="584" t="s">
        <v>25</v>
      </c>
      <c r="H483" s="584" t="s">
        <v>34</v>
      </c>
      <c r="I483" s="585" t="s">
        <v>443</v>
      </c>
      <c r="J483" s="16"/>
      <c r="K483" s="32">
        <f>K484</f>
        <v>1258.8</v>
      </c>
      <c r="L483" s="32">
        <v>0</v>
      </c>
      <c r="M483" s="32">
        <v>1258.8</v>
      </c>
    </row>
    <row r="484" spans="1:13" s="127" customFormat="1" ht="56.25" customHeight="1" x14ac:dyDescent="0.35">
      <c r="A484" s="17"/>
      <c r="B484" s="30" t="s">
        <v>71</v>
      </c>
      <c r="C484" s="31" t="s">
        <v>407</v>
      </c>
      <c r="D484" s="16" t="s">
        <v>219</v>
      </c>
      <c r="E484" s="16" t="s">
        <v>219</v>
      </c>
      <c r="F484" s="583" t="s">
        <v>34</v>
      </c>
      <c r="G484" s="584" t="s">
        <v>25</v>
      </c>
      <c r="H484" s="584" t="s">
        <v>34</v>
      </c>
      <c r="I484" s="585" t="s">
        <v>443</v>
      </c>
      <c r="J484" s="16" t="s">
        <v>72</v>
      </c>
      <c r="K484" s="32">
        <v>1258.8</v>
      </c>
      <c r="L484" s="32">
        <v>0</v>
      </c>
      <c r="M484" s="32">
        <v>1258.8</v>
      </c>
    </row>
    <row r="485" spans="1:13" s="127" customFormat="1" ht="102" customHeight="1" x14ac:dyDescent="0.35">
      <c r="A485" s="17"/>
      <c r="B485" s="30" t="s">
        <v>418</v>
      </c>
      <c r="C485" s="31" t="s">
        <v>407</v>
      </c>
      <c r="D485" s="16" t="s">
        <v>219</v>
      </c>
      <c r="E485" s="16" t="s">
        <v>219</v>
      </c>
      <c r="F485" s="583" t="s">
        <v>34</v>
      </c>
      <c r="G485" s="584" t="s">
        <v>25</v>
      </c>
      <c r="H485" s="584" t="s">
        <v>34</v>
      </c>
      <c r="I485" s="585" t="s">
        <v>417</v>
      </c>
      <c r="J485" s="16"/>
      <c r="K485" s="32">
        <f>K486</f>
        <v>4137.2999999999993</v>
      </c>
      <c r="L485" s="32">
        <v>0</v>
      </c>
      <c r="M485" s="32">
        <v>4137.2999999999993</v>
      </c>
    </row>
    <row r="486" spans="1:13" s="127" customFormat="1" ht="56.25" customHeight="1" x14ac:dyDescent="0.35">
      <c r="A486" s="17"/>
      <c r="B486" s="30" t="s">
        <v>71</v>
      </c>
      <c r="C486" s="31" t="s">
        <v>407</v>
      </c>
      <c r="D486" s="16" t="s">
        <v>219</v>
      </c>
      <c r="E486" s="16" t="s">
        <v>219</v>
      </c>
      <c r="F486" s="583" t="s">
        <v>34</v>
      </c>
      <c r="G486" s="584" t="s">
        <v>25</v>
      </c>
      <c r="H486" s="584" t="s">
        <v>34</v>
      </c>
      <c r="I486" s="585" t="s">
        <v>417</v>
      </c>
      <c r="J486" s="16" t="s">
        <v>72</v>
      </c>
      <c r="K486" s="32">
        <f>6749.9-2612.6</f>
        <v>4137.2999999999993</v>
      </c>
      <c r="L486" s="32">
        <v>0</v>
      </c>
      <c r="M486" s="32">
        <v>4137.2999999999993</v>
      </c>
    </row>
    <row r="487" spans="1:13" s="127" customFormat="1" ht="18.75" customHeight="1" x14ac:dyDescent="0.35">
      <c r="A487" s="17"/>
      <c r="B487" s="30" t="s">
        <v>181</v>
      </c>
      <c r="C487" s="31" t="s">
        <v>407</v>
      </c>
      <c r="D487" s="16" t="s">
        <v>219</v>
      </c>
      <c r="E487" s="16" t="s">
        <v>74</v>
      </c>
      <c r="F487" s="583"/>
      <c r="G487" s="584"/>
      <c r="H487" s="584"/>
      <c r="I487" s="585"/>
      <c r="J487" s="16"/>
      <c r="K487" s="32">
        <f>K488</f>
        <v>72299.7</v>
      </c>
      <c r="L487" s="32">
        <v>24.166999999999803</v>
      </c>
      <c r="M487" s="32">
        <v>72323.866999999984</v>
      </c>
    </row>
    <row r="488" spans="1:13" s="127" customFormat="1" ht="56.25" customHeight="1" x14ac:dyDescent="0.35">
      <c r="A488" s="17"/>
      <c r="B488" s="30" t="s">
        <v>200</v>
      </c>
      <c r="C488" s="31" t="s">
        <v>407</v>
      </c>
      <c r="D488" s="16" t="s">
        <v>219</v>
      </c>
      <c r="E488" s="16" t="s">
        <v>74</v>
      </c>
      <c r="F488" s="583" t="s">
        <v>34</v>
      </c>
      <c r="G488" s="584" t="s">
        <v>37</v>
      </c>
      <c r="H488" s="584" t="s">
        <v>38</v>
      </c>
      <c r="I488" s="585" t="s">
        <v>39</v>
      </c>
      <c r="J488" s="16"/>
      <c r="K488" s="32">
        <f>K493+K489</f>
        <v>72299.7</v>
      </c>
      <c r="L488" s="32">
        <v>24.166999999999803</v>
      </c>
      <c r="M488" s="32">
        <v>72323.866999999984</v>
      </c>
    </row>
    <row r="489" spans="1:13" s="127" customFormat="1" ht="25.5" customHeight="1" x14ac:dyDescent="0.35">
      <c r="A489" s="17"/>
      <c r="B489" s="30" t="s">
        <v>205</v>
      </c>
      <c r="C489" s="31" t="s">
        <v>407</v>
      </c>
      <c r="D489" s="16" t="s">
        <v>219</v>
      </c>
      <c r="E489" s="16" t="s">
        <v>74</v>
      </c>
      <c r="F489" s="583" t="s">
        <v>34</v>
      </c>
      <c r="G489" s="584" t="s">
        <v>84</v>
      </c>
      <c r="H489" s="584" t="s">
        <v>38</v>
      </c>
      <c r="I489" s="585" t="s">
        <v>39</v>
      </c>
      <c r="J489" s="16"/>
      <c r="K489" s="32">
        <f t="shared" ref="K489:M491" si="71">K490</f>
        <v>54</v>
      </c>
      <c r="L489" s="32">
        <v>0</v>
      </c>
      <c r="M489" s="32">
        <v>54</v>
      </c>
    </row>
    <row r="490" spans="1:13" s="127" customFormat="1" ht="18.75" customHeight="1" x14ac:dyDescent="0.35">
      <c r="A490" s="17"/>
      <c r="B490" s="30" t="s">
        <v>265</v>
      </c>
      <c r="C490" s="31" t="s">
        <v>407</v>
      </c>
      <c r="D490" s="16" t="s">
        <v>219</v>
      </c>
      <c r="E490" s="16" t="s">
        <v>74</v>
      </c>
      <c r="F490" s="583" t="s">
        <v>34</v>
      </c>
      <c r="G490" s="584" t="s">
        <v>84</v>
      </c>
      <c r="H490" s="584" t="s">
        <v>34</v>
      </c>
      <c r="I490" s="585" t="s">
        <v>39</v>
      </c>
      <c r="J490" s="16"/>
      <c r="K490" s="32">
        <f t="shared" si="71"/>
        <v>54</v>
      </c>
      <c r="L490" s="32">
        <v>0</v>
      </c>
      <c r="M490" s="32">
        <v>54</v>
      </c>
    </row>
    <row r="491" spans="1:13" s="127" customFormat="1" ht="58.2" customHeight="1" x14ac:dyDescent="0.35">
      <c r="A491" s="17"/>
      <c r="B491" s="30" t="s">
        <v>266</v>
      </c>
      <c r="C491" s="31" t="s">
        <v>407</v>
      </c>
      <c r="D491" s="16" t="s">
        <v>219</v>
      </c>
      <c r="E491" s="16" t="s">
        <v>74</v>
      </c>
      <c r="F491" s="583" t="s">
        <v>34</v>
      </c>
      <c r="G491" s="584" t="s">
        <v>84</v>
      </c>
      <c r="H491" s="584" t="s">
        <v>34</v>
      </c>
      <c r="I491" s="585" t="s">
        <v>267</v>
      </c>
      <c r="J491" s="16"/>
      <c r="K491" s="32">
        <f t="shared" si="71"/>
        <v>54</v>
      </c>
      <c r="L491" s="32">
        <v>0</v>
      </c>
      <c r="M491" s="32">
        <v>54</v>
      </c>
    </row>
    <row r="492" spans="1:13" s="127" customFormat="1" ht="37.5" customHeight="1" x14ac:dyDescent="0.35">
      <c r="A492" s="17"/>
      <c r="B492" s="30" t="s">
        <v>115</v>
      </c>
      <c r="C492" s="31" t="s">
        <v>407</v>
      </c>
      <c r="D492" s="16" t="s">
        <v>219</v>
      </c>
      <c r="E492" s="16" t="s">
        <v>74</v>
      </c>
      <c r="F492" s="583" t="s">
        <v>34</v>
      </c>
      <c r="G492" s="584" t="s">
        <v>84</v>
      </c>
      <c r="H492" s="584" t="s">
        <v>34</v>
      </c>
      <c r="I492" s="585" t="s">
        <v>267</v>
      </c>
      <c r="J492" s="16" t="s">
        <v>116</v>
      </c>
      <c r="K492" s="32">
        <v>54</v>
      </c>
      <c r="L492" s="32">
        <v>0</v>
      </c>
      <c r="M492" s="32">
        <v>54</v>
      </c>
    </row>
    <row r="493" spans="1:13" s="127" customFormat="1" ht="56.25" customHeight="1" x14ac:dyDescent="0.35">
      <c r="A493" s="17"/>
      <c r="B493" s="30" t="s">
        <v>207</v>
      </c>
      <c r="C493" s="31" t="s">
        <v>407</v>
      </c>
      <c r="D493" s="16" t="s">
        <v>219</v>
      </c>
      <c r="E493" s="16" t="s">
        <v>74</v>
      </c>
      <c r="F493" s="583" t="s">
        <v>34</v>
      </c>
      <c r="G493" s="584" t="s">
        <v>25</v>
      </c>
      <c r="H493" s="584" t="s">
        <v>38</v>
      </c>
      <c r="I493" s="585" t="s">
        <v>39</v>
      </c>
      <c r="J493" s="16"/>
      <c r="K493" s="32">
        <f t="shared" ref="K493:M493" si="72">K494</f>
        <v>72245.7</v>
      </c>
      <c r="L493" s="32">
        <v>24.166999999999803</v>
      </c>
      <c r="M493" s="32">
        <v>72269.866999999984</v>
      </c>
    </row>
    <row r="494" spans="1:13" s="127" customFormat="1" ht="37.5" customHeight="1" x14ac:dyDescent="0.35">
      <c r="A494" s="17"/>
      <c r="B494" s="30" t="s">
        <v>270</v>
      </c>
      <c r="C494" s="31" t="s">
        <v>407</v>
      </c>
      <c r="D494" s="16" t="s">
        <v>219</v>
      </c>
      <c r="E494" s="16" t="s">
        <v>74</v>
      </c>
      <c r="F494" s="583" t="s">
        <v>34</v>
      </c>
      <c r="G494" s="584" t="s">
        <v>25</v>
      </c>
      <c r="H494" s="584" t="s">
        <v>32</v>
      </c>
      <c r="I494" s="585" t="s">
        <v>39</v>
      </c>
      <c r="J494" s="16"/>
      <c r="K494" s="32">
        <f>K495+K499+K504+K508+K506</f>
        <v>72245.7</v>
      </c>
      <c r="L494" s="32">
        <v>24.166999999999803</v>
      </c>
      <c r="M494" s="32">
        <v>72269.866999999984</v>
      </c>
    </row>
    <row r="495" spans="1:13" s="127" customFormat="1" ht="37.5" customHeight="1" x14ac:dyDescent="0.35">
      <c r="A495" s="17"/>
      <c r="B495" s="30" t="s">
        <v>42</v>
      </c>
      <c r="C495" s="31" t="s">
        <v>407</v>
      </c>
      <c r="D495" s="16" t="s">
        <v>219</v>
      </c>
      <c r="E495" s="16" t="s">
        <v>74</v>
      </c>
      <c r="F495" s="583" t="s">
        <v>34</v>
      </c>
      <c r="G495" s="584" t="s">
        <v>25</v>
      </c>
      <c r="H495" s="584" t="s">
        <v>32</v>
      </c>
      <c r="I495" s="585" t="s">
        <v>43</v>
      </c>
      <c r="J495" s="16"/>
      <c r="K495" s="32">
        <f>K496+K497+K498</f>
        <v>11695.9</v>
      </c>
      <c r="L495" s="32">
        <v>4.7279999999999518</v>
      </c>
      <c r="M495" s="32">
        <v>11700.627999999999</v>
      </c>
    </row>
    <row r="496" spans="1:13" s="127" customFormat="1" ht="112.5" customHeight="1" x14ac:dyDescent="0.35">
      <c r="A496" s="17"/>
      <c r="B496" s="30" t="s">
        <v>44</v>
      </c>
      <c r="C496" s="31" t="s">
        <v>407</v>
      </c>
      <c r="D496" s="16" t="s">
        <v>219</v>
      </c>
      <c r="E496" s="16" t="s">
        <v>74</v>
      </c>
      <c r="F496" s="583" t="s">
        <v>34</v>
      </c>
      <c r="G496" s="584" t="s">
        <v>25</v>
      </c>
      <c r="H496" s="584" t="s">
        <v>32</v>
      </c>
      <c r="I496" s="585" t="s">
        <v>43</v>
      </c>
      <c r="J496" s="16" t="s">
        <v>45</v>
      </c>
      <c r="K496" s="32">
        <f>9369.4+1541.8</f>
        <v>10911.199999999999</v>
      </c>
      <c r="L496" s="32">
        <v>0</v>
      </c>
      <c r="M496" s="32">
        <v>10911.199999999999</v>
      </c>
    </row>
    <row r="497" spans="1:13" s="127" customFormat="1" ht="56.25" customHeight="1" x14ac:dyDescent="0.35">
      <c r="A497" s="17"/>
      <c r="B497" s="30" t="s">
        <v>50</v>
      </c>
      <c r="C497" s="31" t="s">
        <v>407</v>
      </c>
      <c r="D497" s="16" t="s">
        <v>219</v>
      </c>
      <c r="E497" s="16" t="s">
        <v>74</v>
      </c>
      <c r="F497" s="583" t="s">
        <v>34</v>
      </c>
      <c r="G497" s="584" t="s">
        <v>25</v>
      </c>
      <c r="H497" s="584" t="s">
        <v>32</v>
      </c>
      <c r="I497" s="585" t="s">
        <v>43</v>
      </c>
      <c r="J497" s="16" t="s">
        <v>51</v>
      </c>
      <c r="K497" s="32">
        <v>767.7</v>
      </c>
      <c r="L497" s="32">
        <v>4.7279999999999518</v>
      </c>
      <c r="M497" s="575">
        <v>772.428</v>
      </c>
    </row>
    <row r="498" spans="1:13" s="127" customFormat="1" ht="18.75" customHeight="1" x14ac:dyDescent="0.35">
      <c r="A498" s="17"/>
      <c r="B498" s="30" t="s">
        <v>52</v>
      </c>
      <c r="C498" s="31" t="s">
        <v>407</v>
      </c>
      <c r="D498" s="16" t="s">
        <v>219</v>
      </c>
      <c r="E498" s="16" t="s">
        <v>74</v>
      </c>
      <c r="F498" s="583" t="s">
        <v>34</v>
      </c>
      <c r="G498" s="584" t="s">
        <v>25</v>
      </c>
      <c r="H498" s="584" t="s">
        <v>32</v>
      </c>
      <c r="I498" s="585" t="s">
        <v>43</v>
      </c>
      <c r="J498" s="16" t="s">
        <v>53</v>
      </c>
      <c r="K498" s="32">
        <v>17</v>
      </c>
      <c r="L498" s="32">
        <v>0</v>
      </c>
      <c r="M498" s="32">
        <v>17</v>
      </c>
    </row>
    <row r="499" spans="1:13" s="127" customFormat="1" ht="35.25" customHeight="1" x14ac:dyDescent="0.35">
      <c r="A499" s="17"/>
      <c r="B499" s="33" t="s">
        <v>437</v>
      </c>
      <c r="C499" s="31" t="s">
        <v>407</v>
      </c>
      <c r="D499" s="16" t="s">
        <v>219</v>
      </c>
      <c r="E499" s="16" t="s">
        <v>74</v>
      </c>
      <c r="F499" s="583" t="s">
        <v>34</v>
      </c>
      <c r="G499" s="584" t="s">
        <v>25</v>
      </c>
      <c r="H499" s="584" t="s">
        <v>32</v>
      </c>
      <c r="I499" s="585" t="s">
        <v>86</v>
      </c>
      <c r="J499" s="16"/>
      <c r="K499" s="32">
        <f>K500+K501+K503+K502</f>
        <v>53799</v>
      </c>
      <c r="L499" s="32">
        <v>19.438999999999851</v>
      </c>
      <c r="M499" s="32">
        <v>53818.438999999998</v>
      </c>
    </row>
    <row r="500" spans="1:13" s="127" customFormat="1" ht="112.5" customHeight="1" x14ac:dyDescent="0.35">
      <c r="A500" s="17"/>
      <c r="B500" s="30" t="s">
        <v>44</v>
      </c>
      <c r="C500" s="31" t="s">
        <v>407</v>
      </c>
      <c r="D500" s="16" t="s">
        <v>219</v>
      </c>
      <c r="E500" s="16" t="s">
        <v>74</v>
      </c>
      <c r="F500" s="583" t="s">
        <v>34</v>
      </c>
      <c r="G500" s="584" t="s">
        <v>25</v>
      </c>
      <c r="H500" s="584" t="s">
        <v>32</v>
      </c>
      <c r="I500" s="585" t="s">
        <v>86</v>
      </c>
      <c r="J500" s="16" t="s">
        <v>45</v>
      </c>
      <c r="K500" s="32">
        <f>27291.4+3965.9+29.9+162.6</f>
        <v>31449.800000000003</v>
      </c>
      <c r="L500" s="32">
        <v>0</v>
      </c>
      <c r="M500" s="32">
        <v>31449.800000000003</v>
      </c>
    </row>
    <row r="501" spans="1:13" s="127" customFormat="1" ht="56.25" customHeight="1" x14ac:dyDescent="0.35">
      <c r="A501" s="17"/>
      <c r="B501" s="30" t="s">
        <v>50</v>
      </c>
      <c r="C501" s="31" t="s">
        <v>407</v>
      </c>
      <c r="D501" s="16" t="s">
        <v>219</v>
      </c>
      <c r="E501" s="16" t="s">
        <v>74</v>
      </c>
      <c r="F501" s="583" t="s">
        <v>34</v>
      </c>
      <c r="G501" s="584" t="s">
        <v>25</v>
      </c>
      <c r="H501" s="584" t="s">
        <v>32</v>
      </c>
      <c r="I501" s="585" t="s">
        <v>86</v>
      </c>
      <c r="J501" s="16" t="s">
        <v>51</v>
      </c>
      <c r="K501" s="32">
        <v>3043.9</v>
      </c>
      <c r="L501" s="32">
        <v>19.438999999999851</v>
      </c>
      <c r="M501" s="575">
        <v>3063.3389999999999</v>
      </c>
    </row>
    <row r="502" spans="1:13" s="127" customFormat="1" ht="56.25" customHeight="1" x14ac:dyDescent="0.35">
      <c r="A502" s="17"/>
      <c r="B502" s="30" t="s">
        <v>71</v>
      </c>
      <c r="C502" s="31" t="s">
        <v>407</v>
      </c>
      <c r="D502" s="16" t="s">
        <v>219</v>
      </c>
      <c r="E502" s="16" t="s">
        <v>74</v>
      </c>
      <c r="F502" s="583" t="s">
        <v>34</v>
      </c>
      <c r="G502" s="584" t="s">
        <v>25</v>
      </c>
      <c r="H502" s="584" t="s">
        <v>32</v>
      </c>
      <c r="I502" s="585" t="s">
        <v>86</v>
      </c>
      <c r="J502" s="16" t="s">
        <v>72</v>
      </c>
      <c r="K502" s="32">
        <f>18895.6+403.5</f>
        <v>19299.099999999999</v>
      </c>
      <c r="L502" s="32">
        <v>0</v>
      </c>
      <c r="M502" s="32">
        <v>19299.099999999999</v>
      </c>
    </row>
    <row r="503" spans="1:13" s="127" customFormat="1" ht="18.75" customHeight="1" x14ac:dyDescent="0.35">
      <c r="A503" s="17"/>
      <c r="B503" s="30" t="s">
        <v>52</v>
      </c>
      <c r="C503" s="31" t="s">
        <v>407</v>
      </c>
      <c r="D503" s="16" t="s">
        <v>219</v>
      </c>
      <c r="E503" s="16" t="s">
        <v>74</v>
      </c>
      <c r="F503" s="583" t="s">
        <v>34</v>
      </c>
      <c r="G503" s="584" t="s">
        <v>25</v>
      </c>
      <c r="H503" s="584" t="s">
        <v>32</v>
      </c>
      <c r="I503" s="585" t="s">
        <v>86</v>
      </c>
      <c r="J503" s="16" t="s">
        <v>53</v>
      </c>
      <c r="K503" s="32">
        <v>6.2</v>
      </c>
      <c r="L503" s="32">
        <v>0</v>
      </c>
      <c r="M503" s="32">
        <v>6.2</v>
      </c>
    </row>
    <row r="504" spans="1:13" s="127" customFormat="1" ht="18.75" customHeight="1" x14ac:dyDescent="0.35">
      <c r="A504" s="17"/>
      <c r="B504" s="30" t="s">
        <v>438</v>
      </c>
      <c r="C504" s="31" t="s">
        <v>407</v>
      </c>
      <c r="D504" s="16" t="s">
        <v>219</v>
      </c>
      <c r="E504" s="16" t="s">
        <v>74</v>
      </c>
      <c r="F504" s="583" t="s">
        <v>34</v>
      </c>
      <c r="G504" s="584" t="s">
        <v>25</v>
      </c>
      <c r="H504" s="584" t="s">
        <v>32</v>
      </c>
      <c r="I504" s="585" t="s">
        <v>376</v>
      </c>
      <c r="J504" s="16"/>
      <c r="K504" s="32">
        <f>K505</f>
        <v>550.9</v>
      </c>
      <c r="L504" s="32">
        <v>0</v>
      </c>
      <c r="M504" s="32">
        <v>550.9</v>
      </c>
    </row>
    <row r="505" spans="1:13" s="127" customFormat="1" ht="56.25" customHeight="1" x14ac:dyDescent="0.35">
      <c r="A505" s="17"/>
      <c r="B505" s="30" t="s">
        <v>50</v>
      </c>
      <c r="C505" s="31" t="s">
        <v>407</v>
      </c>
      <c r="D505" s="16" t="s">
        <v>219</v>
      </c>
      <c r="E505" s="16" t="s">
        <v>74</v>
      </c>
      <c r="F505" s="583" t="s">
        <v>34</v>
      </c>
      <c r="G505" s="584" t="s">
        <v>25</v>
      </c>
      <c r="H505" s="584" t="s">
        <v>32</v>
      </c>
      <c r="I505" s="585" t="s">
        <v>376</v>
      </c>
      <c r="J505" s="16" t="s">
        <v>51</v>
      </c>
      <c r="K505" s="32">
        <v>550.9</v>
      </c>
      <c r="L505" s="32">
        <v>0</v>
      </c>
      <c r="M505" s="32">
        <v>550.9</v>
      </c>
    </row>
    <row r="506" spans="1:13" s="127" customFormat="1" ht="34.5" customHeight="1" x14ac:dyDescent="0.35">
      <c r="A506" s="17"/>
      <c r="B506" s="30" t="s">
        <v>203</v>
      </c>
      <c r="C506" s="31" t="s">
        <v>407</v>
      </c>
      <c r="D506" s="16" t="s">
        <v>219</v>
      </c>
      <c r="E506" s="16" t="s">
        <v>74</v>
      </c>
      <c r="F506" s="583" t="s">
        <v>34</v>
      </c>
      <c r="G506" s="584" t="s">
        <v>25</v>
      </c>
      <c r="H506" s="584" t="s">
        <v>32</v>
      </c>
      <c r="I506" s="585" t="s">
        <v>262</v>
      </c>
      <c r="J506" s="16"/>
      <c r="K506" s="32">
        <f>K507</f>
        <v>10</v>
      </c>
      <c r="L506" s="32">
        <v>0</v>
      </c>
      <c r="M506" s="32">
        <v>10</v>
      </c>
    </row>
    <row r="507" spans="1:13" s="127" customFormat="1" ht="57" customHeight="1" x14ac:dyDescent="0.35">
      <c r="A507" s="17"/>
      <c r="B507" s="30" t="s">
        <v>50</v>
      </c>
      <c r="C507" s="31" t="s">
        <v>407</v>
      </c>
      <c r="D507" s="16" t="s">
        <v>219</v>
      </c>
      <c r="E507" s="16" t="s">
        <v>74</v>
      </c>
      <c r="F507" s="583" t="s">
        <v>34</v>
      </c>
      <c r="G507" s="584" t="s">
        <v>25</v>
      </c>
      <c r="H507" s="584" t="s">
        <v>32</v>
      </c>
      <c r="I507" s="585" t="s">
        <v>262</v>
      </c>
      <c r="J507" s="16" t="s">
        <v>51</v>
      </c>
      <c r="K507" s="32">
        <v>10</v>
      </c>
      <c r="L507" s="32">
        <v>0</v>
      </c>
      <c r="M507" s="32">
        <v>10</v>
      </c>
    </row>
    <row r="508" spans="1:13" s="127" customFormat="1" ht="111" customHeight="1" x14ac:dyDescent="0.35">
      <c r="A508" s="17"/>
      <c r="B508" s="30" t="s">
        <v>334</v>
      </c>
      <c r="C508" s="31" t="s">
        <v>407</v>
      </c>
      <c r="D508" s="16" t="s">
        <v>219</v>
      </c>
      <c r="E508" s="16" t="s">
        <v>74</v>
      </c>
      <c r="F508" s="583" t="s">
        <v>34</v>
      </c>
      <c r="G508" s="584" t="s">
        <v>25</v>
      </c>
      <c r="H508" s="584" t="s">
        <v>32</v>
      </c>
      <c r="I508" s="585" t="s">
        <v>258</v>
      </c>
      <c r="J508" s="16"/>
      <c r="K508" s="32">
        <f>K509</f>
        <v>6189.9</v>
      </c>
      <c r="L508" s="32">
        <v>0</v>
      </c>
      <c r="M508" s="32">
        <v>6189.9</v>
      </c>
    </row>
    <row r="509" spans="1:13" s="127" customFormat="1" ht="112.5" customHeight="1" x14ac:dyDescent="0.35">
      <c r="A509" s="17"/>
      <c r="B509" s="30" t="s">
        <v>44</v>
      </c>
      <c r="C509" s="31" t="s">
        <v>407</v>
      </c>
      <c r="D509" s="16" t="s">
        <v>219</v>
      </c>
      <c r="E509" s="16" t="s">
        <v>74</v>
      </c>
      <c r="F509" s="583" t="s">
        <v>34</v>
      </c>
      <c r="G509" s="584" t="s">
        <v>25</v>
      </c>
      <c r="H509" s="584" t="s">
        <v>32</v>
      </c>
      <c r="I509" s="585" t="s">
        <v>258</v>
      </c>
      <c r="J509" s="16" t="s">
        <v>45</v>
      </c>
      <c r="K509" s="32">
        <v>6189.9</v>
      </c>
      <c r="L509" s="32">
        <v>0</v>
      </c>
      <c r="M509" s="32">
        <v>6189.9</v>
      </c>
    </row>
    <row r="510" spans="1:13" s="127" customFormat="1" ht="18.75" customHeight="1" x14ac:dyDescent="0.35">
      <c r="A510" s="17"/>
      <c r="B510" s="35" t="s">
        <v>114</v>
      </c>
      <c r="C510" s="31" t="s">
        <v>407</v>
      </c>
      <c r="D510" s="16" t="s">
        <v>99</v>
      </c>
      <c r="E510" s="16"/>
      <c r="F510" s="583"/>
      <c r="G510" s="584"/>
      <c r="H510" s="584"/>
      <c r="I510" s="585"/>
      <c r="J510" s="16"/>
      <c r="K510" s="32">
        <f t="shared" ref="K510:M511" si="73">K511</f>
        <v>5452.5</v>
      </c>
      <c r="L510" s="32">
        <v>0</v>
      </c>
      <c r="M510" s="32">
        <v>5452.5</v>
      </c>
    </row>
    <row r="511" spans="1:13" s="127" customFormat="1" ht="18.75" customHeight="1" x14ac:dyDescent="0.35">
      <c r="A511" s="17"/>
      <c r="B511" s="35" t="s">
        <v>188</v>
      </c>
      <c r="C511" s="31" t="s">
        <v>407</v>
      </c>
      <c r="D511" s="16" t="s">
        <v>99</v>
      </c>
      <c r="E511" s="16" t="s">
        <v>47</v>
      </c>
      <c r="F511" s="583"/>
      <c r="G511" s="584"/>
      <c r="H511" s="584"/>
      <c r="I511" s="585"/>
      <c r="J511" s="16"/>
      <c r="K511" s="32">
        <f t="shared" si="73"/>
        <v>5452.5</v>
      </c>
      <c r="L511" s="32">
        <v>0</v>
      </c>
      <c r="M511" s="32">
        <v>5452.5</v>
      </c>
    </row>
    <row r="512" spans="1:13" s="127" customFormat="1" ht="56.25" customHeight="1" x14ac:dyDescent="0.35">
      <c r="A512" s="17"/>
      <c r="B512" s="30" t="s">
        <v>200</v>
      </c>
      <c r="C512" s="31" t="s">
        <v>407</v>
      </c>
      <c r="D512" s="16" t="s">
        <v>99</v>
      </c>
      <c r="E512" s="16" t="s">
        <v>47</v>
      </c>
      <c r="F512" s="583" t="s">
        <v>34</v>
      </c>
      <c r="G512" s="584" t="s">
        <v>37</v>
      </c>
      <c r="H512" s="584" t="s">
        <v>38</v>
      </c>
      <c r="I512" s="585" t="s">
        <v>39</v>
      </c>
      <c r="J512" s="16"/>
      <c r="K512" s="32">
        <f t="shared" ref="K512:M514" si="74">K513</f>
        <v>5452.5</v>
      </c>
      <c r="L512" s="32">
        <v>0</v>
      </c>
      <c r="M512" s="32">
        <v>5452.5</v>
      </c>
    </row>
    <row r="513" spans="1:13" s="127" customFormat="1" ht="37.5" customHeight="1" x14ac:dyDescent="0.35">
      <c r="A513" s="17"/>
      <c r="B513" s="30" t="s">
        <v>201</v>
      </c>
      <c r="C513" s="31" t="s">
        <v>407</v>
      </c>
      <c r="D513" s="16" t="s">
        <v>99</v>
      </c>
      <c r="E513" s="16" t="s">
        <v>47</v>
      </c>
      <c r="F513" s="583" t="s">
        <v>34</v>
      </c>
      <c r="G513" s="584" t="s">
        <v>40</v>
      </c>
      <c r="H513" s="584" t="s">
        <v>38</v>
      </c>
      <c r="I513" s="585" t="s">
        <v>39</v>
      </c>
      <c r="J513" s="16"/>
      <c r="K513" s="32">
        <f t="shared" si="74"/>
        <v>5452.5</v>
      </c>
      <c r="L513" s="32">
        <v>0</v>
      </c>
      <c r="M513" s="32">
        <v>5452.5</v>
      </c>
    </row>
    <row r="514" spans="1:13" s="127" customFormat="1" ht="37.5" customHeight="1" x14ac:dyDescent="0.35">
      <c r="A514" s="17"/>
      <c r="B514" s="30" t="s">
        <v>255</v>
      </c>
      <c r="C514" s="31" t="s">
        <v>407</v>
      </c>
      <c r="D514" s="16" t="s">
        <v>99</v>
      </c>
      <c r="E514" s="16" t="s">
        <v>47</v>
      </c>
      <c r="F514" s="583" t="s">
        <v>34</v>
      </c>
      <c r="G514" s="584" t="s">
        <v>40</v>
      </c>
      <c r="H514" s="584" t="s">
        <v>32</v>
      </c>
      <c r="I514" s="585" t="s">
        <v>39</v>
      </c>
      <c r="J514" s="16"/>
      <c r="K514" s="32">
        <f t="shared" si="74"/>
        <v>5452.5</v>
      </c>
      <c r="L514" s="32">
        <v>0</v>
      </c>
      <c r="M514" s="32">
        <v>5452.5</v>
      </c>
    </row>
    <row r="515" spans="1:13" s="127" customFormat="1" ht="127.2" customHeight="1" x14ac:dyDescent="0.35">
      <c r="A515" s="17"/>
      <c r="B515" s="30" t="s">
        <v>271</v>
      </c>
      <c r="C515" s="31" t="s">
        <v>407</v>
      </c>
      <c r="D515" s="16" t="s">
        <v>99</v>
      </c>
      <c r="E515" s="16" t="s">
        <v>47</v>
      </c>
      <c r="F515" s="583" t="s">
        <v>34</v>
      </c>
      <c r="G515" s="584" t="s">
        <v>40</v>
      </c>
      <c r="H515" s="584" t="s">
        <v>32</v>
      </c>
      <c r="I515" s="585" t="s">
        <v>272</v>
      </c>
      <c r="J515" s="16"/>
      <c r="K515" s="32">
        <f>K516+K517</f>
        <v>5452.5</v>
      </c>
      <c r="L515" s="32">
        <v>0</v>
      </c>
      <c r="M515" s="32">
        <v>5452.5</v>
      </c>
    </row>
    <row r="516" spans="1:13" s="127" customFormat="1" ht="56.25" customHeight="1" x14ac:dyDescent="0.35">
      <c r="A516" s="17"/>
      <c r="B516" s="30" t="s">
        <v>50</v>
      </c>
      <c r="C516" s="31" t="s">
        <v>407</v>
      </c>
      <c r="D516" s="16" t="s">
        <v>99</v>
      </c>
      <c r="E516" s="16" t="s">
        <v>47</v>
      </c>
      <c r="F516" s="583" t="s">
        <v>34</v>
      </c>
      <c r="G516" s="584" t="s">
        <v>40</v>
      </c>
      <c r="H516" s="584" t="s">
        <v>32</v>
      </c>
      <c r="I516" s="585" t="s">
        <v>272</v>
      </c>
      <c r="J516" s="16" t="s">
        <v>51</v>
      </c>
      <c r="K516" s="32">
        <v>80.5</v>
      </c>
      <c r="L516" s="32">
        <v>0</v>
      </c>
      <c r="M516" s="32">
        <v>80.5</v>
      </c>
    </row>
    <row r="517" spans="1:13" s="127" customFormat="1" ht="37.5" customHeight="1" x14ac:dyDescent="0.35">
      <c r="A517" s="17"/>
      <c r="B517" s="34" t="s">
        <v>115</v>
      </c>
      <c r="C517" s="31" t="s">
        <v>407</v>
      </c>
      <c r="D517" s="16" t="s">
        <v>99</v>
      </c>
      <c r="E517" s="16" t="s">
        <v>47</v>
      </c>
      <c r="F517" s="583" t="s">
        <v>34</v>
      </c>
      <c r="G517" s="584" t="s">
        <v>40</v>
      </c>
      <c r="H517" s="584" t="s">
        <v>32</v>
      </c>
      <c r="I517" s="585" t="s">
        <v>272</v>
      </c>
      <c r="J517" s="16" t="s">
        <v>116</v>
      </c>
      <c r="K517" s="32">
        <v>5372</v>
      </c>
      <c r="L517" s="32">
        <v>0</v>
      </c>
      <c r="M517" s="32">
        <v>5372</v>
      </c>
    </row>
    <row r="518" spans="1:13" s="144" customFormat="1" ht="18.75" customHeight="1" x14ac:dyDescent="0.35">
      <c r="A518" s="139"/>
      <c r="B518" s="113"/>
      <c r="C518" s="173"/>
      <c r="D518" s="174"/>
      <c r="E518" s="174"/>
      <c r="F518" s="175"/>
      <c r="G518" s="176"/>
      <c r="H518" s="176"/>
      <c r="I518" s="177"/>
      <c r="J518" s="174"/>
      <c r="K518" s="143"/>
      <c r="L518" s="143"/>
      <c r="M518" s="143"/>
    </row>
    <row r="519" spans="1:13" s="123" customFormat="1" ht="56.25" customHeight="1" x14ac:dyDescent="0.3">
      <c r="A519" s="122">
        <v>6</v>
      </c>
      <c r="B519" s="160" t="s">
        <v>7</v>
      </c>
      <c r="C519" s="25" t="s">
        <v>301</v>
      </c>
      <c r="D519" s="26"/>
      <c r="E519" s="26"/>
      <c r="F519" s="27"/>
      <c r="G519" s="28"/>
      <c r="H519" s="28"/>
      <c r="I519" s="29"/>
      <c r="J519" s="26"/>
      <c r="K519" s="46">
        <f>K527+K550+K520</f>
        <v>101296.59999999999</v>
      </c>
      <c r="L519" s="46">
        <v>1700</v>
      </c>
      <c r="M519" s="46">
        <v>102996.59999999999</v>
      </c>
    </row>
    <row r="520" spans="1:13" s="123" customFormat="1" ht="24.75" customHeight="1" x14ac:dyDescent="0.35">
      <c r="A520" s="122"/>
      <c r="B520" s="30" t="s">
        <v>31</v>
      </c>
      <c r="C520" s="31" t="s">
        <v>301</v>
      </c>
      <c r="D520" s="41" t="s">
        <v>32</v>
      </c>
      <c r="E520" s="26"/>
      <c r="F520" s="27"/>
      <c r="G520" s="28"/>
      <c r="H520" s="28"/>
      <c r="I520" s="29"/>
      <c r="J520" s="26"/>
      <c r="K520" s="230">
        <f t="shared" ref="K520:M525" si="75">K521</f>
        <v>53.3</v>
      </c>
      <c r="L520" s="230">
        <v>0</v>
      </c>
      <c r="M520" s="230">
        <v>53.3</v>
      </c>
    </row>
    <row r="521" spans="1:13" s="123" customFormat="1" ht="20.25" customHeight="1" x14ac:dyDescent="0.35">
      <c r="A521" s="122"/>
      <c r="B521" s="30" t="s">
        <v>65</v>
      </c>
      <c r="C521" s="31" t="s">
        <v>301</v>
      </c>
      <c r="D521" s="41" t="s">
        <v>32</v>
      </c>
      <c r="E521" s="41" t="s">
        <v>66</v>
      </c>
      <c r="F521" s="27"/>
      <c r="G521" s="28"/>
      <c r="H521" s="28"/>
      <c r="I521" s="29"/>
      <c r="J521" s="26"/>
      <c r="K521" s="230">
        <f>K523</f>
        <v>53.3</v>
      </c>
      <c r="L521" s="230">
        <v>0</v>
      </c>
      <c r="M521" s="230">
        <v>53.3</v>
      </c>
    </row>
    <row r="522" spans="1:13" s="123" customFormat="1" ht="56.25" customHeight="1" x14ac:dyDescent="0.35">
      <c r="A522" s="122"/>
      <c r="B522" s="36" t="s">
        <v>208</v>
      </c>
      <c r="C522" s="31" t="s">
        <v>301</v>
      </c>
      <c r="D522" s="16" t="s">
        <v>32</v>
      </c>
      <c r="E522" s="16" t="s">
        <v>66</v>
      </c>
      <c r="F522" s="583" t="s">
        <v>58</v>
      </c>
      <c r="G522" s="584" t="s">
        <v>37</v>
      </c>
      <c r="H522" s="584" t="s">
        <v>38</v>
      </c>
      <c r="I522" s="585" t="s">
        <v>39</v>
      </c>
      <c r="J522" s="26"/>
      <c r="K522" s="230">
        <f t="shared" ref="K522:M523" si="76">K523</f>
        <v>53.3</v>
      </c>
      <c r="L522" s="230">
        <v>0</v>
      </c>
      <c r="M522" s="230">
        <v>53.3</v>
      </c>
    </row>
    <row r="523" spans="1:13" s="123" customFormat="1" ht="56.25" customHeight="1" x14ac:dyDescent="0.35">
      <c r="A523" s="122"/>
      <c r="B523" s="30" t="s">
        <v>211</v>
      </c>
      <c r="C523" s="31" t="s">
        <v>301</v>
      </c>
      <c r="D523" s="41" t="s">
        <v>32</v>
      </c>
      <c r="E523" s="41" t="s">
        <v>66</v>
      </c>
      <c r="F523" s="227" t="s">
        <v>58</v>
      </c>
      <c r="G523" s="228" t="s">
        <v>25</v>
      </c>
      <c r="H523" s="228" t="s">
        <v>38</v>
      </c>
      <c r="I523" s="229" t="s">
        <v>39</v>
      </c>
      <c r="J523" s="26"/>
      <c r="K523" s="230">
        <f t="shared" si="76"/>
        <v>53.3</v>
      </c>
      <c r="L523" s="230">
        <v>0</v>
      </c>
      <c r="M523" s="230">
        <v>53.3</v>
      </c>
    </row>
    <row r="524" spans="1:13" s="123" customFormat="1" ht="37.5" customHeight="1" x14ac:dyDescent="0.35">
      <c r="A524" s="122"/>
      <c r="B524" s="30" t="s">
        <v>340</v>
      </c>
      <c r="C524" s="31" t="s">
        <v>301</v>
      </c>
      <c r="D524" s="41" t="s">
        <v>32</v>
      </c>
      <c r="E524" s="41" t="s">
        <v>66</v>
      </c>
      <c r="F524" s="227" t="s">
        <v>58</v>
      </c>
      <c r="G524" s="228" t="s">
        <v>25</v>
      </c>
      <c r="H524" s="228" t="s">
        <v>34</v>
      </c>
      <c r="I524" s="229" t="s">
        <v>39</v>
      </c>
      <c r="J524" s="26"/>
      <c r="K524" s="230">
        <f t="shared" si="75"/>
        <v>53.3</v>
      </c>
      <c r="L524" s="230">
        <v>0</v>
      </c>
      <c r="M524" s="230">
        <v>53.3</v>
      </c>
    </row>
    <row r="525" spans="1:13" s="123" customFormat="1" ht="54.75" customHeight="1" x14ac:dyDescent="0.35">
      <c r="A525" s="122"/>
      <c r="B525" s="30" t="s">
        <v>341</v>
      </c>
      <c r="C525" s="31" t="s">
        <v>301</v>
      </c>
      <c r="D525" s="41" t="s">
        <v>32</v>
      </c>
      <c r="E525" s="41" t="s">
        <v>66</v>
      </c>
      <c r="F525" s="227" t="s">
        <v>58</v>
      </c>
      <c r="G525" s="228" t="s">
        <v>25</v>
      </c>
      <c r="H525" s="228" t="s">
        <v>34</v>
      </c>
      <c r="I525" s="229" t="s">
        <v>100</v>
      </c>
      <c r="J525" s="26"/>
      <c r="K525" s="230">
        <f t="shared" si="75"/>
        <v>53.3</v>
      </c>
      <c r="L525" s="230">
        <v>0</v>
      </c>
      <c r="M525" s="230">
        <v>53.3</v>
      </c>
    </row>
    <row r="526" spans="1:13" s="123" customFormat="1" ht="56.25" customHeight="1" x14ac:dyDescent="0.35">
      <c r="A526" s="122"/>
      <c r="B526" s="30" t="s">
        <v>50</v>
      </c>
      <c r="C526" s="31" t="s">
        <v>301</v>
      </c>
      <c r="D526" s="41" t="s">
        <v>32</v>
      </c>
      <c r="E526" s="41" t="s">
        <v>66</v>
      </c>
      <c r="F526" s="227" t="s">
        <v>58</v>
      </c>
      <c r="G526" s="228" t="s">
        <v>25</v>
      </c>
      <c r="H526" s="228" t="s">
        <v>34</v>
      </c>
      <c r="I526" s="229" t="s">
        <v>100</v>
      </c>
      <c r="J526" s="41" t="s">
        <v>51</v>
      </c>
      <c r="K526" s="230">
        <v>53.3</v>
      </c>
      <c r="L526" s="32">
        <v>0</v>
      </c>
      <c r="M526" s="230">
        <v>53.3</v>
      </c>
    </row>
    <row r="527" spans="1:13" s="13" customFormat="1" ht="18.75" customHeight="1" x14ac:dyDescent="0.35">
      <c r="A527" s="17"/>
      <c r="B527" s="36" t="s">
        <v>174</v>
      </c>
      <c r="C527" s="31" t="s">
        <v>301</v>
      </c>
      <c r="D527" s="16" t="s">
        <v>219</v>
      </c>
      <c r="E527" s="16"/>
      <c r="F527" s="583"/>
      <c r="G527" s="584"/>
      <c r="H527" s="584"/>
      <c r="I527" s="585"/>
      <c r="J527" s="16"/>
      <c r="K527" s="32">
        <f>K528+K544+K538</f>
        <v>59468.7</v>
      </c>
      <c r="L527" s="32">
        <v>0</v>
      </c>
      <c r="M527" s="32">
        <v>59468.7</v>
      </c>
    </row>
    <row r="528" spans="1:13" s="123" customFormat="1" ht="18.75" customHeight="1" x14ac:dyDescent="0.35">
      <c r="A528" s="17"/>
      <c r="B528" s="36" t="s">
        <v>338</v>
      </c>
      <c r="C528" s="31" t="s">
        <v>301</v>
      </c>
      <c r="D528" s="16" t="s">
        <v>219</v>
      </c>
      <c r="E528" s="16" t="s">
        <v>58</v>
      </c>
      <c r="F528" s="583"/>
      <c r="G528" s="584"/>
      <c r="H528" s="584"/>
      <c r="I528" s="585"/>
      <c r="J528" s="16"/>
      <c r="K528" s="32">
        <f t="shared" ref="K528:M529" si="77">K529</f>
        <v>58954.7</v>
      </c>
      <c r="L528" s="32">
        <v>0</v>
      </c>
      <c r="M528" s="32">
        <v>58954.7</v>
      </c>
    </row>
    <row r="529" spans="1:13" s="123" customFormat="1" ht="56.25" customHeight="1" x14ac:dyDescent="0.35">
      <c r="A529" s="17"/>
      <c r="B529" s="36" t="s">
        <v>208</v>
      </c>
      <c r="C529" s="31" t="s">
        <v>301</v>
      </c>
      <c r="D529" s="16" t="s">
        <v>219</v>
      </c>
      <c r="E529" s="16" t="s">
        <v>58</v>
      </c>
      <c r="F529" s="583" t="s">
        <v>58</v>
      </c>
      <c r="G529" s="584" t="s">
        <v>37</v>
      </c>
      <c r="H529" s="584" t="s">
        <v>38</v>
      </c>
      <c r="I529" s="585" t="s">
        <v>39</v>
      </c>
      <c r="J529" s="16"/>
      <c r="K529" s="32">
        <f t="shared" si="77"/>
        <v>58954.7</v>
      </c>
      <c r="L529" s="32">
        <v>0</v>
      </c>
      <c r="M529" s="32">
        <v>58954.7</v>
      </c>
    </row>
    <row r="530" spans="1:13" s="123" customFormat="1" ht="75" customHeight="1" x14ac:dyDescent="0.35">
      <c r="A530" s="17"/>
      <c r="B530" s="36" t="s">
        <v>209</v>
      </c>
      <c r="C530" s="31" t="s">
        <v>301</v>
      </c>
      <c r="D530" s="16" t="s">
        <v>219</v>
      </c>
      <c r="E530" s="16" t="s">
        <v>58</v>
      </c>
      <c r="F530" s="583" t="s">
        <v>58</v>
      </c>
      <c r="G530" s="584" t="s">
        <v>40</v>
      </c>
      <c r="H530" s="584" t="s">
        <v>38</v>
      </c>
      <c r="I530" s="585" t="s">
        <v>39</v>
      </c>
      <c r="J530" s="16"/>
      <c r="K530" s="32">
        <f>K531</f>
        <v>58954.7</v>
      </c>
      <c r="L530" s="32">
        <v>0</v>
      </c>
      <c r="M530" s="32">
        <v>58954.7</v>
      </c>
    </row>
    <row r="531" spans="1:13" s="123" customFormat="1" ht="37.5" customHeight="1" x14ac:dyDescent="0.35">
      <c r="A531" s="17"/>
      <c r="B531" s="36" t="s">
        <v>264</v>
      </c>
      <c r="C531" s="31" t="s">
        <v>301</v>
      </c>
      <c r="D531" s="16" t="s">
        <v>219</v>
      </c>
      <c r="E531" s="16" t="s">
        <v>58</v>
      </c>
      <c r="F531" s="583" t="s">
        <v>58</v>
      </c>
      <c r="G531" s="584" t="s">
        <v>40</v>
      </c>
      <c r="H531" s="584" t="s">
        <v>32</v>
      </c>
      <c r="I531" s="585" t="s">
        <v>39</v>
      </c>
      <c r="J531" s="16"/>
      <c r="K531" s="32">
        <f>K532+K536+K534</f>
        <v>58954.7</v>
      </c>
      <c r="L531" s="32">
        <v>0</v>
      </c>
      <c r="M531" s="32">
        <v>58954.7</v>
      </c>
    </row>
    <row r="532" spans="1:13" s="123" customFormat="1" ht="37.5" customHeight="1" x14ac:dyDescent="0.35">
      <c r="A532" s="17"/>
      <c r="B532" s="33" t="s">
        <v>437</v>
      </c>
      <c r="C532" s="31" t="s">
        <v>301</v>
      </c>
      <c r="D532" s="16" t="s">
        <v>219</v>
      </c>
      <c r="E532" s="16" t="s">
        <v>58</v>
      </c>
      <c r="F532" s="583" t="s">
        <v>58</v>
      </c>
      <c r="G532" s="584" t="s">
        <v>40</v>
      </c>
      <c r="H532" s="584" t="s">
        <v>32</v>
      </c>
      <c r="I532" s="585" t="s">
        <v>86</v>
      </c>
      <c r="J532" s="16"/>
      <c r="K532" s="32">
        <f>K533</f>
        <v>55802.799999999996</v>
      </c>
      <c r="L532" s="32">
        <v>0</v>
      </c>
      <c r="M532" s="32">
        <v>55802.799999999996</v>
      </c>
    </row>
    <row r="533" spans="1:13" s="13" customFormat="1" ht="56.25" customHeight="1" x14ac:dyDescent="0.35">
      <c r="A533" s="17"/>
      <c r="B533" s="34" t="s">
        <v>71</v>
      </c>
      <c r="C533" s="31" t="s">
        <v>301</v>
      </c>
      <c r="D533" s="16" t="s">
        <v>219</v>
      </c>
      <c r="E533" s="16" t="s">
        <v>58</v>
      </c>
      <c r="F533" s="583" t="s">
        <v>58</v>
      </c>
      <c r="G533" s="584" t="s">
        <v>40</v>
      </c>
      <c r="H533" s="584" t="s">
        <v>32</v>
      </c>
      <c r="I533" s="585" t="s">
        <v>86</v>
      </c>
      <c r="J533" s="16" t="s">
        <v>72</v>
      </c>
      <c r="K533" s="32">
        <f>56186.1-425.8+162.1-119.6</f>
        <v>55802.799999999996</v>
      </c>
      <c r="L533" s="32">
        <v>0</v>
      </c>
      <c r="M533" s="32">
        <v>55802.799999999996</v>
      </c>
    </row>
    <row r="534" spans="1:13" s="13" customFormat="1" ht="21" customHeight="1" x14ac:dyDescent="0.35">
      <c r="A534" s="17"/>
      <c r="B534" s="34" t="s">
        <v>438</v>
      </c>
      <c r="C534" s="31" t="s">
        <v>301</v>
      </c>
      <c r="D534" s="16" t="s">
        <v>219</v>
      </c>
      <c r="E534" s="16" t="s">
        <v>58</v>
      </c>
      <c r="F534" s="583" t="s">
        <v>58</v>
      </c>
      <c r="G534" s="584" t="s">
        <v>40</v>
      </c>
      <c r="H534" s="584" t="s">
        <v>32</v>
      </c>
      <c r="I534" s="585" t="s">
        <v>376</v>
      </c>
      <c r="J534" s="16"/>
      <c r="K534" s="32">
        <f>K535</f>
        <v>1168.5999999999999</v>
      </c>
      <c r="L534" s="32">
        <v>0</v>
      </c>
      <c r="M534" s="32">
        <v>1168.5999999999999</v>
      </c>
    </row>
    <row r="535" spans="1:13" s="13" customFormat="1" ht="56.25" customHeight="1" x14ac:dyDescent="0.35">
      <c r="A535" s="17"/>
      <c r="B535" s="34" t="s">
        <v>71</v>
      </c>
      <c r="C535" s="31" t="s">
        <v>301</v>
      </c>
      <c r="D535" s="16" t="s">
        <v>219</v>
      </c>
      <c r="E535" s="16" t="s">
        <v>58</v>
      </c>
      <c r="F535" s="583" t="s">
        <v>58</v>
      </c>
      <c r="G535" s="584" t="s">
        <v>40</v>
      </c>
      <c r="H535" s="584" t="s">
        <v>32</v>
      </c>
      <c r="I535" s="585" t="s">
        <v>376</v>
      </c>
      <c r="J535" s="16" t="s">
        <v>72</v>
      </c>
      <c r="K535" s="32">
        <v>1168.5999999999999</v>
      </c>
      <c r="L535" s="32">
        <v>0</v>
      </c>
      <c r="M535" s="32">
        <v>1168.5999999999999</v>
      </c>
    </row>
    <row r="536" spans="1:13" s="13" customFormat="1" ht="37.5" customHeight="1" x14ac:dyDescent="0.35">
      <c r="A536" s="17"/>
      <c r="B536" s="34" t="s">
        <v>302</v>
      </c>
      <c r="C536" s="31" t="s">
        <v>301</v>
      </c>
      <c r="D536" s="16" t="s">
        <v>219</v>
      </c>
      <c r="E536" s="16" t="s">
        <v>58</v>
      </c>
      <c r="F536" s="583" t="s">
        <v>58</v>
      </c>
      <c r="G536" s="584" t="s">
        <v>40</v>
      </c>
      <c r="H536" s="584" t="s">
        <v>32</v>
      </c>
      <c r="I536" s="585" t="s">
        <v>303</v>
      </c>
      <c r="J536" s="16"/>
      <c r="K536" s="32">
        <f>K537</f>
        <v>1983.3</v>
      </c>
      <c r="L536" s="32">
        <v>0</v>
      </c>
      <c r="M536" s="32">
        <v>1983.3</v>
      </c>
    </row>
    <row r="537" spans="1:13" s="13" customFormat="1" ht="56.25" customHeight="1" x14ac:dyDescent="0.35">
      <c r="A537" s="17"/>
      <c r="B537" s="34" t="s">
        <v>71</v>
      </c>
      <c r="C537" s="31" t="s">
        <v>301</v>
      </c>
      <c r="D537" s="16" t="s">
        <v>219</v>
      </c>
      <c r="E537" s="16" t="s">
        <v>58</v>
      </c>
      <c r="F537" s="583" t="s">
        <v>58</v>
      </c>
      <c r="G537" s="584" t="s">
        <v>40</v>
      </c>
      <c r="H537" s="584" t="s">
        <v>32</v>
      </c>
      <c r="I537" s="585" t="s">
        <v>303</v>
      </c>
      <c r="J537" s="16" t="s">
        <v>72</v>
      </c>
      <c r="K537" s="32">
        <v>1983.3</v>
      </c>
      <c r="L537" s="32">
        <v>0</v>
      </c>
      <c r="M537" s="32">
        <v>1983.3</v>
      </c>
    </row>
    <row r="538" spans="1:13" s="13" customFormat="1" ht="22.5" customHeight="1" x14ac:dyDescent="0.35">
      <c r="A538" s="17"/>
      <c r="B538" s="34" t="s">
        <v>442</v>
      </c>
      <c r="C538" s="31" t="s">
        <v>301</v>
      </c>
      <c r="D538" s="16" t="s">
        <v>219</v>
      </c>
      <c r="E538" s="16" t="s">
        <v>219</v>
      </c>
      <c r="F538" s="583"/>
      <c r="G538" s="584"/>
      <c r="H538" s="584"/>
      <c r="I538" s="585"/>
      <c r="J538" s="16"/>
      <c r="K538" s="32">
        <f t="shared" ref="K538:M542" si="78">K539</f>
        <v>289</v>
      </c>
      <c r="L538" s="32">
        <v>0</v>
      </c>
      <c r="M538" s="32">
        <v>289</v>
      </c>
    </row>
    <row r="539" spans="1:13" s="13" customFormat="1" ht="56.25" customHeight="1" x14ac:dyDescent="0.35">
      <c r="A539" s="17"/>
      <c r="B539" s="36" t="s">
        <v>208</v>
      </c>
      <c r="C539" s="31" t="s">
        <v>301</v>
      </c>
      <c r="D539" s="16" t="s">
        <v>219</v>
      </c>
      <c r="E539" s="16" t="s">
        <v>219</v>
      </c>
      <c r="F539" s="583" t="s">
        <v>58</v>
      </c>
      <c r="G539" s="584" t="s">
        <v>37</v>
      </c>
      <c r="H539" s="584" t="s">
        <v>38</v>
      </c>
      <c r="I539" s="585" t="s">
        <v>39</v>
      </c>
      <c r="J539" s="16"/>
      <c r="K539" s="32">
        <f t="shared" si="78"/>
        <v>289</v>
      </c>
      <c r="L539" s="32">
        <v>0</v>
      </c>
      <c r="M539" s="32">
        <v>289</v>
      </c>
    </row>
    <row r="540" spans="1:13" s="13" customFormat="1" ht="74.25" customHeight="1" x14ac:dyDescent="0.35">
      <c r="A540" s="17"/>
      <c r="B540" s="36" t="s">
        <v>209</v>
      </c>
      <c r="C540" s="31" t="s">
        <v>301</v>
      </c>
      <c r="D540" s="16" t="s">
        <v>219</v>
      </c>
      <c r="E540" s="16" t="s">
        <v>219</v>
      </c>
      <c r="F540" s="583" t="s">
        <v>58</v>
      </c>
      <c r="G540" s="584" t="s">
        <v>40</v>
      </c>
      <c r="H540" s="584" t="s">
        <v>38</v>
      </c>
      <c r="I540" s="585" t="s">
        <v>39</v>
      </c>
      <c r="J540" s="16"/>
      <c r="K540" s="32">
        <f t="shared" si="78"/>
        <v>289</v>
      </c>
      <c r="L540" s="32">
        <v>0</v>
      </c>
      <c r="M540" s="32">
        <v>289</v>
      </c>
    </row>
    <row r="541" spans="1:13" s="13" customFormat="1" ht="54.75" customHeight="1" x14ac:dyDescent="0.35">
      <c r="A541" s="17"/>
      <c r="B541" s="34" t="s">
        <v>269</v>
      </c>
      <c r="C541" s="31" t="s">
        <v>301</v>
      </c>
      <c r="D541" s="16" t="s">
        <v>219</v>
      </c>
      <c r="E541" s="16" t="s">
        <v>219</v>
      </c>
      <c r="F541" s="583" t="s">
        <v>58</v>
      </c>
      <c r="G541" s="584" t="s">
        <v>40</v>
      </c>
      <c r="H541" s="584" t="s">
        <v>60</v>
      </c>
      <c r="I541" s="585" t="s">
        <v>39</v>
      </c>
      <c r="J541" s="16"/>
      <c r="K541" s="32">
        <f t="shared" si="78"/>
        <v>289</v>
      </c>
      <c r="L541" s="32">
        <v>0</v>
      </c>
      <c r="M541" s="32">
        <v>289</v>
      </c>
    </row>
    <row r="542" spans="1:13" s="13" customFormat="1" ht="36.75" customHeight="1" x14ac:dyDescent="0.35">
      <c r="A542" s="17"/>
      <c r="B542" s="34" t="s">
        <v>444</v>
      </c>
      <c r="C542" s="31" t="s">
        <v>301</v>
      </c>
      <c r="D542" s="16" t="s">
        <v>219</v>
      </c>
      <c r="E542" s="16" t="s">
        <v>219</v>
      </c>
      <c r="F542" s="583" t="s">
        <v>58</v>
      </c>
      <c r="G542" s="584" t="s">
        <v>40</v>
      </c>
      <c r="H542" s="584" t="s">
        <v>60</v>
      </c>
      <c r="I542" s="585" t="s">
        <v>443</v>
      </c>
      <c r="J542" s="16"/>
      <c r="K542" s="32">
        <f t="shared" si="78"/>
        <v>289</v>
      </c>
      <c r="L542" s="32">
        <v>0</v>
      </c>
      <c r="M542" s="32">
        <v>289</v>
      </c>
    </row>
    <row r="543" spans="1:13" s="13" customFormat="1" ht="56.25" customHeight="1" x14ac:dyDescent="0.35">
      <c r="A543" s="17"/>
      <c r="B543" s="34" t="s">
        <v>71</v>
      </c>
      <c r="C543" s="31" t="s">
        <v>301</v>
      </c>
      <c r="D543" s="16" t="s">
        <v>219</v>
      </c>
      <c r="E543" s="16" t="s">
        <v>219</v>
      </c>
      <c r="F543" s="583" t="s">
        <v>58</v>
      </c>
      <c r="G543" s="584" t="s">
        <v>40</v>
      </c>
      <c r="H543" s="584" t="s">
        <v>60</v>
      </c>
      <c r="I543" s="585" t="s">
        <v>443</v>
      </c>
      <c r="J543" s="16" t="s">
        <v>72</v>
      </c>
      <c r="K543" s="32">
        <v>289</v>
      </c>
      <c r="L543" s="32">
        <v>0</v>
      </c>
      <c r="M543" s="32">
        <v>289</v>
      </c>
    </row>
    <row r="544" spans="1:13" s="13" customFormat="1" ht="18.75" customHeight="1" x14ac:dyDescent="0.35">
      <c r="A544" s="17"/>
      <c r="B544" s="30" t="s">
        <v>181</v>
      </c>
      <c r="C544" s="31" t="s">
        <v>301</v>
      </c>
      <c r="D544" s="16" t="s">
        <v>219</v>
      </c>
      <c r="E544" s="16" t="s">
        <v>74</v>
      </c>
      <c r="F544" s="583"/>
      <c r="G544" s="584"/>
      <c r="H544" s="584"/>
      <c r="I544" s="585"/>
      <c r="J544" s="16"/>
      <c r="K544" s="32">
        <f t="shared" ref="K544:M548" si="79">K545</f>
        <v>225</v>
      </c>
      <c r="L544" s="32">
        <v>0</v>
      </c>
      <c r="M544" s="32">
        <v>225</v>
      </c>
    </row>
    <row r="545" spans="1:13" s="13" customFormat="1" ht="56.25" customHeight="1" x14ac:dyDescent="0.35">
      <c r="A545" s="17"/>
      <c r="B545" s="36" t="s">
        <v>208</v>
      </c>
      <c r="C545" s="31" t="s">
        <v>301</v>
      </c>
      <c r="D545" s="16" t="s">
        <v>219</v>
      </c>
      <c r="E545" s="16" t="s">
        <v>74</v>
      </c>
      <c r="F545" s="583" t="s">
        <v>58</v>
      </c>
      <c r="G545" s="584" t="s">
        <v>37</v>
      </c>
      <c r="H545" s="584" t="s">
        <v>38</v>
      </c>
      <c r="I545" s="585" t="s">
        <v>39</v>
      </c>
      <c r="J545" s="16"/>
      <c r="K545" s="32">
        <f t="shared" si="79"/>
        <v>225</v>
      </c>
      <c r="L545" s="32">
        <v>0</v>
      </c>
      <c r="M545" s="32">
        <v>225</v>
      </c>
    </row>
    <row r="546" spans="1:13" s="13" customFormat="1" ht="75" customHeight="1" x14ac:dyDescent="0.35">
      <c r="A546" s="17"/>
      <c r="B546" s="36" t="s">
        <v>209</v>
      </c>
      <c r="C546" s="31" t="s">
        <v>301</v>
      </c>
      <c r="D546" s="16" t="s">
        <v>219</v>
      </c>
      <c r="E546" s="16" t="s">
        <v>74</v>
      </c>
      <c r="F546" s="583" t="s">
        <v>58</v>
      </c>
      <c r="G546" s="584" t="s">
        <v>40</v>
      </c>
      <c r="H546" s="584" t="s">
        <v>38</v>
      </c>
      <c r="I546" s="585" t="s">
        <v>39</v>
      </c>
      <c r="J546" s="16"/>
      <c r="K546" s="32">
        <f t="shared" si="79"/>
        <v>225</v>
      </c>
      <c r="L546" s="32">
        <v>0</v>
      </c>
      <c r="M546" s="32">
        <v>225</v>
      </c>
    </row>
    <row r="547" spans="1:13" s="13" customFormat="1" ht="18.75" customHeight="1" x14ac:dyDescent="0.35">
      <c r="A547" s="17"/>
      <c r="B547" s="34" t="s">
        <v>265</v>
      </c>
      <c r="C547" s="31" t="s">
        <v>301</v>
      </c>
      <c r="D547" s="16" t="s">
        <v>219</v>
      </c>
      <c r="E547" s="16" t="s">
        <v>74</v>
      </c>
      <c r="F547" s="583" t="s">
        <v>58</v>
      </c>
      <c r="G547" s="584" t="s">
        <v>40</v>
      </c>
      <c r="H547" s="584" t="s">
        <v>34</v>
      </c>
      <c r="I547" s="585" t="s">
        <v>39</v>
      </c>
      <c r="J547" s="16"/>
      <c r="K547" s="32">
        <f t="shared" si="79"/>
        <v>225</v>
      </c>
      <c r="L547" s="32">
        <v>0</v>
      </c>
      <c r="M547" s="32">
        <v>225</v>
      </c>
    </row>
    <row r="548" spans="1:13" s="13" customFormat="1" ht="58.95" customHeight="1" x14ac:dyDescent="0.35">
      <c r="A548" s="17"/>
      <c r="B548" s="34" t="s">
        <v>206</v>
      </c>
      <c r="C548" s="31" t="s">
        <v>301</v>
      </c>
      <c r="D548" s="16" t="s">
        <v>219</v>
      </c>
      <c r="E548" s="16" t="s">
        <v>74</v>
      </c>
      <c r="F548" s="583" t="s">
        <v>58</v>
      </c>
      <c r="G548" s="584" t="s">
        <v>40</v>
      </c>
      <c r="H548" s="584" t="s">
        <v>34</v>
      </c>
      <c r="I548" s="585" t="s">
        <v>267</v>
      </c>
      <c r="J548" s="16"/>
      <c r="K548" s="32">
        <f t="shared" si="79"/>
        <v>225</v>
      </c>
      <c r="L548" s="32">
        <v>0</v>
      </c>
      <c r="M548" s="32">
        <v>225</v>
      </c>
    </row>
    <row r="549" spans="1:13" s="13" customFormat="1" ht="37.5" customHeight="1" x14ac:dyDescent="0.35">
      <c r="A549" s="17"/>
      <c r="B549" s="34" t="s">
        <v>115</v>
      </c>
      <c r="C549" s="31" t="s">
        <v>301</v>
      </c>
      <c r="D549" s="16" t="s">
        <v>219</v>
      </c>
      <c r="E549" s="16" t="s">
        <v>74</v>
      </c>
      <c r="F549" s="583" t="s">
        <v>58</v>
      </c>
      <c r="G549" s="584" t="s">
        <v>40</v>
      </c>
      <c r="H549" s="584" t="s">
        <v>34</v>
      </c>
      <c r="I549" s="585" t="s">
        <v>267</v>
      </c>
      <c r="J549" s="16" t="s">
        <v>116</v>
      </c>
      <c r="K549" s="32">
        <v>225</v>
      </c>
      <c r="L549" s="32">
        <v>0</v>
      </c>
      <c r="M549" s="32">
        <v>225</v>
      </c>
    </row>
    <row r="550" spans="1:13" s="13" customFormat="1" ht="18.75" customHeight="1" x14ac:dyDescent="0.35">
      <c r="A550" s="17"/>
      <c r="B550" s="30" t="s">
        <v>183</v>
      </c>
      <c r="C550" s="31" t="s">
        <v>301</v>
      </c>
      <c r="D550" s="16" t="s">
        <v>221</v>
      </c>
      <c r="E550" s="16"/>
      <c r="F550" s="583"/>
      <c r="G550" s="584"/>
      <c r="H550" s="584"/>
      <c r="I550" s="585"/>
      <c r="J550" s="16"/>
      <c r="K550" s="32">
        <f>K551+K577</f>
        <v>41774.6</v>
      </c>
      <c r="L550" s="32">
        <v>1700</v>
      </c>
      <c r="M550" s="32">
        <v>43474.6</v>
      </c>
    </row>
    <row r="551" spans="1:13" s="13" customFormat="1" ht="18.75" customHeight="1" x14ac:dyDescent="0.35">
      <c r="A551" s="17"/>
      <c r="B551" s="30" t="s">
        <v>185</v>
      </c>
      <c r="C551" s="31" t="s">
        <v>301</v>
      </c>
      <c r="D551" s="16" t="s">
        <v>221</v>
      </c>
      <c r="E551" s="16" t="s">
        <v>32</v>
      </c>
      <c r="F551" s="583"/>
      <c r="G551" s="584"/>
      <c r="H551" s="584"/>
      <c r="I551" s="585"/>
      <c r="J551" s="16"/>
      <c r="K551" s="32">
        <f>K552</f>
        <v>30046.5</v>
      </c>
      <c r="L551" s="32">
        <v>1700</v>
      </c>
      <c r="M551" s="32">
        <v>31746.5</v>
      </c>
    </row>
    <row r="552" spans="1:13" s="13" customFormat="1" ht="56.25" customHeight="1" x14ac:dyDescent="0.35">
      <c r="A552" s="17"/>
      <c r="B552" s="36" t="s">
        <v>208</v>
      </c>
      <c r="C552" s="31" t="s">
        <v>301</v>
      </c>
      <c r="D552" s="16" t="s">
        <v>221</v>
      </c>
      <c r="E552" s="16" t="s">
        <v>32</v>
      </c>
      <c r="F552" s="583" t="s">
        <v>58</v>
      </c>
      <c r="G552" s="584" t="s">
        <v>37</v>
      </c>
      <c r="H552" s="584" t="s">
        <v>38</v>
      </c>
      <c r="I552" s="585" t="s">
        <v>39</v>
      </c>
      <c r="J552" s="16"/>
      <c r="K552" s="32">
        <f>K553+K570</f>
        <v>30046.5</v>
      </c>
      <c r="L552" s="32">
        <v>1700</v>
      </c>
      <c r="M552" s="32">
        <v>31746.5</v>
      </c>
    </row>
    <row r="553" spans="1:13" s="13" customFormat="1" ht="75" customHeight="1" x14ac:dyDescent="0.35">
      <c r="A553" s="17"/>
      <c r="B553" s="36" t="s">
        <v>209</v>
      </c>
      <c r="C553" s="31" t="s">
        <v>301</v>
      </c>
      <c r="D553" s="16" t="s">
        <v>221</v>
      </c>
      <c r="E553" s="16" t="s">
        <v>32</v>
      </c>
      <c r="F553" s="40" t="s">
        <v>58</v>
      </c>
      <c r="G553" s="97" t="s">
        <v>40</v>
      </c>
      <c r="H553" s="97" t="s">
        <v>38</v>
      </c>
      <c r="I553" s="98" t="s">
        <v>39</v>
      </c>
      <c r="J553" s="99"/>
      <c r="K553" s="32">
        <f>K554+K561</f>
        <v>29697.011999999999</v>
      </c>
      <c r="L553" s="32">
        <v>1700</v>
      </c>
      <c r="M553" s="32">
        <v>31397.011999999999</v>
      </c>
    </row>
    <row r="554" spans="1:13" s="13" customFormat="1" ht="18.75" customHeight="1" x14ac:dyDescent="0.35">
      <c r="A554" s="17"/>
      <c r="B554" s="30" t="s">
        <v>304</v>
      </c>
      <c r="C554" s="31" t="s">
        <v>301</v>
      </c>
      <c r="D554" s="16" t="s">
        <v>221</v>
      </c>
      <c r="E554" s="16" t="s">
        <v>32</v>
      </c>
      <c r="F554" s="40" t="s">
        <v>58</v>
      </c>
      <c r="G554" s="97" t="s">
        <v>40</v>
      </c>
      <c r="H554" s="97" t="s">
        <v>58</v>
      </c>
      <c r="I554" s="98" t="s">
        <v>39</v>
      </c>
      <c r="J554" s="99"/>
      <c r="K554" s="32">
        <f>K555+K557+K559</f>
        <v>12204.5</v>
      </c>
      <c r="L554" s="32">
        <v>0</v>
      </c>
      <c r="M554" s="32">
        <v>12204.5</v>
      </c>
    </row>
    <row r="555" spans="1:13" s="13" customFormat="1" ht="35.25" customHeight="1" x14ac:dyDescent="0.35">
      <c r="A555" s="17"/>
      <c r="B555" s="33" t="s">
        <v>437</v>
      </c>
      <c r="C555" s="31" t="s">
        <v>301</v>
      </c>
      <c r="D555" s="16" t="s">
        <v>221</v>
      </c>
      <c r="E555" s="16" t="s">
        <v>32</v>
      </c>
      <c r="F555" s="40" t="s">
        <v>58</v>
      </c>
      <c r="G555" s="97" t="s">
        <v>40</v>
      </c>
      <c r="H555" s="97" t="s">
        <v>58</v>
      </c>
      <c r="I555" s="98" t="s">
        <v>86</v>
      </c>
      <c r="J555" s="99"/>
      <c r="K555" s="32">
        <f>K556</f>
        <v>11475.3</v>
      </c>
      <c r="L555" s="32">
        <v>0</v>
      </c>
      <c r="M555" s="32">
        <v>11475.3</v>
      </c>
    </row>
    <row r="556" spans="1:13" s="13" customFormat="1" ht="56.25" customHeight="1" x14ac:dyDescent="0.35">
      <c r="A556" s="17"/>
      <c r="B556" s="34" t="s">
        <v>71</v>
      </c>
      <c r="C556" s="31" t="s">
        <v>301</v>
      </c>
      <c r="D556" s="16" t="s">
        <v>221</v>
      </c>
      <c r="E556" s="16" t="s">
        <v>32</v>
      </c>
      <c r="F556" s="583" t="s">
        <v>58</v>
      </c>
      <c r="G556" s="584" t="s">
        <v>40</v>
      </c>
      <c r="H556" s="584" t="s">
        <v>58</v>
      </c>
      <c r="I556" s="585" t="s">
        <v>86</v>
      </c>
      <c r="J556" s="16" t="s">
        <v>72</v>
      </c>
      <c r="K556" s="32">
        <f>11234+219.5+21.8</f>
        <v>11475.3</v>
      </c>
      <c r="L556" s="32">
        <v>0</v>
      </c>
      <c r="M556" s="32">
        <v>11475.3</v>
      </c>
    </row>
    <row r="557" spans="1:13" s="13" customFormat="1" ht="37.5" customHeight="1" x14ac:dyDescent="0.35">
      <c r="A557" s="17"/>
      <c r="B557" s="34" t="s">
        <v>302</v>
      </c>
      <c r="C557" s="31" t="s">
        <v>301</v>
      </c>
      <c r="D557" s="16" t="s">
        <v>221</v>
      </c>
      <c r="E557" s="16" t="s">
        <v>32</v>
      </c>
      <c r="F557" s="40" t="s">
        <v>58</v>
      </c>
      <c r="G557" s="97" t="s">
        <v>40</v>
      </c>
      <c r="H557" s="97" t="s">
        <v>58</v>
      </c>
      <c r="I557" s="98" t="s">
        <v>303</v>
      </c>
      <c r="J557" s="99"/>
      <c r="K557" s="32">
        <f>K558</f>
        <v>258.2</v>
      </c>
      <c r="L557" s="32">
        <v>0</v>
      </c>
      <c r="M557" s="32">
        <v>258.2</v>
      </c>
    </row>
    <row r="558" spans="1:13" s="13" customFormat="1" ht="56.25" customHeight="1" x14ac:dyDescent="0.35">
      <c r="A558" s="17"/>
      <c r="B558" s="34" t="s">
        <v>71</v>
      </c>
      <c r="C558" s="31" t="s">
        <v>301</v>
      </c>
      <c r="D558" s="16" t="s">
        <v>221</v>
      </c>
      <c r="E558" s="16" t="s">
        <v>32</v>
      </c>
      <c r="F558" s="40" t="s">
        <v>58</v>
      </c>
      <c r="G558" s="97" t="s">
        <v>40</v>
      </c>
      <c r="H558" s="97" t="s">
        <v>58</v>
      </c>
      <c r="I558" s="98" t="s">
        <v>303</v>
      </c>
      <c r="J558" s="99" t="s">
        <v>72</v>
      </c>
      <c r="K558" s="32">
        <v>258.2</v>
      </c>
      <c r="L558" s="32">
        <v>0</v>
      </c>
      <c r="M558" s="32">
        <v>258.2</v>
      </c>
    </row>
    <row r="559" spans="1:13" s="13" customFormat="1" ht="56.25" customHeight="1" x14ac:dyDescent="0.35">
      <c r="A559" s="17"/>
      <c r="B559" s="34" t="s">
        <v>210</v>
      </c>
      <c r="C559" s="31" t="s">
        <v>301</v>
      </c>
      <c r="D559" s="16" t="s">
        <v>221</v>
      </c>
      <c r="E559" s="16" t="s">
        <v>32</v>
      </c>
      <c r="F559" s="583" t="s">
        <v>58</v>
      </c>
      <c r="G559" s="584" t="s">
        <v>40</v>
      </c>
      <c r="H559" s="584" t="s">
        <v>58</v>
      </c>
      <c r="I559" s="585" t="s">
        <v>305</v>
      </c>
      <c r="J559" s="16"/>
      <c r="K559" s="32">
        <f>K560</f>
        <v>471</v>
      </c>
      <c r="L559" s="32">
        <v>0</v>
      </c>
      <c r="M559" s="32">
        <v>471</v>
      </c>
    </row>
    <row r="560" spans="1:13" s="13" customFormat="1" ht="56.25" customHeight="1" x14ac:dyDescent="0.35">
      <c r="A560" s="17"/>
      <c r="B560" s="34" t="s">
        <v>71</v>
      </c>
      <c r="C560" s="31" t="s">
        <v>301</v>
      </c>
      <c r="D560" s="16" t="s">
        <v>221</v>
      </c>
      <c r="E560" s="16" t="s">
        <v>32</v>
      </c>
      <c r="F560" s="583" t="s">
        <v>58</v>
      </c>
      <c r="G560" s="584" t="s">
        <v>40</v>
      </c>
      <c r="H560" s="584" t="s">
        <v>58</v>
      </c>
      <c r="I560" s="585" t="s">
        <v>305</v>
      </c>
      <c r="J560" s="16" t="s">
        <v>72</v>
      </c>
      <c r="K560" s="32">
        <v>471</v>
      </c>
      <c r="L560" s="32">
        <v>0</v>
      </c>
      <c r="M560" s="32">
        <v>471</v>
      </c>
    </row>
    <row r="561" spans="1:13" s="13" customFormat="1" ht="37.5" customHeight="1" x14ac:dyDescent="0.35">
      <c r="A561" s="17"/>
      <c r="B561" s="34" t="s">
        <v>306</v>
      </c>
      <c r="C561" s="31" t="s">
        <v>301</v>
      </c>
      <c r="D561" s="16" t="s">
        <v>221</v>
      </c>
      <c r="E561" s="16" t="s">
        <v>32</v>
      </c>
      <c r="F561" s="40" t="s">
        <v>58</v>
      </c>
      <c r="G561" s="97" t="s">
        <v>40</v>
      </c>
      <c r="H561" s="97" t="s">
        <v>47</v>
      </c>
      <c r="I561" s="585" t="s">
        <v>39</v>
      </c>
      <c r="J561" s="16"/>
      <c r="K561" s="32">
        <f>K562+K566+K568</f>
        <v>17492.511999999999</v>
      </c>
      <c r="L561" s="32">
        <v>1700</v>
      </c>
      <c r="M561" s="32">
        <v>19192.511999999999</v>
      </c>
    </row>
    <row r="562" spans="1:13" s="13" customFormat="1" ht="44.25" customHeight="1" x14ac:dyDescent="0.35">
      <c r="A562" s="17"/>
      <c r="B562" s="33" t="s">
        <v>437</v>
      </c>
      <c r="C562" s="31" t="s">
        <v>301</v>
      </c>
      <c r="D562" s="16" t="s">
        <v>221</v>
      </c>
      <c r="E562" s="16" t="s">
        <v>32</v>
      </c>
      <c r="F562" s="40" t="s">
        <v>58</v>
      </c>
      <c r="G562" s="97" t="s">
        <v>40</v>
      </c>
      <c r="H562" s="97" t="s">
        <v>47</v>
      </c>
      <c r="I562" s="98" t="s">
        <v>86</v>
      </c>
      <c r="J562" s="99"/>
      <c r="K562" s="32">
        <f>K563+K564+K565</f>
        <v>13245.4</v>
      </c>
      <c r="L562" s="32">
        <v>0</v>
      </c>
      <c r="M562" s="32">
        <v>13245.4</v>
      </c>
    </row>
    <row r="563" spans="1:13" s="13" customFormat="1" ht="87" customHeight="1" x14ac:dyDescent="0.35">
      <c r="A563" s="17"/>
      <c r="B563" s="30" t="s">
        <v>44</v>
      </c>
      <c r="C563" s="31" t="s">
        <v>301</v>
      </c>
      <c r="D563" s="16" t="s">
        <v>221</v>
      </c>
      <c r="E563" s="16" t="s">
        <v>32</v>
      </c>
      <c r="F563" s="583" t="s">
        <v>58</v>
      </c>
      <c r="G563" s="584" t="s">
        <v>40</v>
      </c>
      <c r="H563" s="584" t="s">
        <v>47</v>
      </c>
      <c r="I563" s="585" t="s">
        <v>86</v>
      </c>
      <c r="J563" s="16" t="s">
        <v>45</v>
      </c>
      <c r="K563" s="32">
        <f>11895.6+206.3+39.2</f>
        <v>12141.1</v>
      </c>
      <c r="L563" s="32">
        <v>0</v>
      </c>
      <c r="M563" s="32">
        <v>12141.1</v>
      </c>
    </row>
    <row r="564" spans="1:13" s="13" customFormat="1" ht="53.4" customHeight="1" x14ac:dyDescent="0.35">
      <c r="A564" s="17"/>
      <c r="B564" s="30" t="s">
        <v>50</v>
      </c>
      <c r="C564" s="31" t="s">
        <v>301</v>
      </c>
      <c r="D564" s="16" t="s">
        <v>221</v>
      </c>
      <c r="E564" s="16" t="s">
        <v>32</v>
      </c>
      <c r="F564" s="583" t="s">
        <v>58</v>
      </c>
      <c r="G564" s="584" t="s">
        <v>40</v>
      </c>
      <c r="H564" s="584" t="s">
        <v>47</v>
      </c>
      <c r="I564" s="585" t="s">
        <v>86</v>
      </c>
      <c r="J564" s="16" t="s">
        <v>51</v>
      </c>
      <c r="K564" s="32">
        <v>1057.3</v>
      </c>
      <c r="L564" s="32">
        <v>0</v>
      </c>
      <c r="M564" s="32">
        <v>1057.3</v>
      </c>
    </row>
    <row r="565" spans="1:13" s="13" customFormat="1" ht="18.75" customHeight="1" x14ac:dyDescent="0.35">
      <c r="A565" s="17"/>
      <c r="B565" s="30" t="s">
        <v>52</v>
      </c>
      <c r="C565" s="31" t="s">
        <v>301</v>
      </c>
      <c r="D565" s="16" t="s">
        <v>221</v>
      </c>
      <c r="E565" s="16" t="s">
        <v>32</v>
      </c>
      <c r="F565" s="583" t="s">
        <v>58</v>
      </c>
      <c r="G565" s="584" t="s">
        <v>40</v>
      </c>
      <c r="H565" s="584" t="s">
        <v>47</v>
      </c>
      <c r="I565" s="585" t="s">
        <v>86</v>
      </c>
      <c r="J565" s="16" t="s">
        <v>53</v>
      </c>
      <c r="K565" s="32">
        <v>47</v>
      </c>
      <c r="L565" s="32">
        <v>0</v>
      </c>
      <c r="M565" s="32">
        <v>47</v>
      </c>
    </row>
    <row r="566" spans="1:13" s="13" customFormat="1" ht="18.75" customHeight="1" x14ac:dyDescent="0.35">
      <c r="A566" s="17"/>
      <c r="B566" s="590" t="s">
        <v>438</v>
      </c>
      <c r="C566" s="591" t="s">
        <v>301</v>
      </c>
      <c r="D566" s="592" t="s">
        <v>221</v>
      </c>
      <c r="E566" s="592" t="s">
        <v>32</v>
      </c>
      <c r="F566" s="593" t="s">
        <v>58</v>
      </c>
      <c r="G566" s="594" t="s">
        <v>40</v>
      </c>
      <c r="H566" s="594" t="s">
        <v>47</v>
      </c>
      <c r="I566" s="595" t="s">
        <v>376</v>
      </c>
      <c r="J566" s="592"/>
      <c r="K566" s="575">
        <f>K567</f>
        <v>0</v>
      </c>
      <c r="L566" s="575">
        <v>1700</v>
      </c>
      <c r="M566" s="575">
        <v>1700</v>
      </c>
    </row>
    <row r="567" spans="1:13" s="13" customFormat="1" ht="54.6" customHeight="1" x14ac:dyDescent="0.35">
      <c r="A567" s="17"/>
      <c r="B567" s="590" t="s">
        <v>50</v>
      </c>
      <c r="C567" s="591" t="s">
        <v>301</v>
      </c>
      <c r="D567" s="592" t="s">
        <v>221</v>
      </c>
      <c r="E567" s="592" t="s">
        <v>32</v>
      </c>
      <c r="F567" s="593" t="s">
        <v>58</v>
      </c>
      <c r="G567" s="594" t="s">
        <v>40</v>
      </c>
      <c r="H567" s="594" t="s">
        <v>47</v>
      </c>
      <c r="I567" s="595" t="s">
        <v>376</v>
      </c>
      <c r="J567" s="592" t="s">
        <v>51</v>
      </c>
      <c r="K567" s="575"/>
      <c r="L567" s="575">
        <v>1700</v>
      </c>
      <c r="M567" s="575">
        <v>1700</v>
      </c>
    </row>
    <row r="568" spans="1:13" s="13" customFormat="1" ht="90.6" customHeight="1" x14ac:dyDescent="0.35">
      <c r="A568" s="17"/>
      <c r="B568" s="30" t="s">
        <v>526</v>
      </c>
      <c r="C568" s="31" t="s">
        <v>301</v>
      </c>
      <c r="D568" s="16" t="s">
        <v>221</v>
      </c>
      <c r="E568" s="16" t="s">
        <v>32</v>
      </c>
      <c r="F568" s="583" t="s">
        <v>58</v>
      </c>
      <c r="G568" s="584" t="s">
        <v>40</v>
      </c>
      <c r="H568" s="584" t="s">
        <v>47</v>
      </c>
      <c r="I568" s="585" t="s">
        <v>527</v>
      </c>
      <c r="J568" s="16"/>
      <c r="K568" s="32">
        <f t="shared" ref="K568:M568" si="80">K569</f>
        <v>4247.1120000000001</v>
      </c>
      <c r="L568" s="32">
        <v>0</v>
      </c>
      <c r="M568" s="32">
        <v>4247.1120000000001</v>
      </c>
    </row>
    <row r="569" spans="1:13" s="13" customFormat="1" ht="56.25" customHeight="1" x14ac:dyDescent="0.35">
      <c r="A569" s="17"/>
      <c r="B569" s="30" t="s">
        <v>50</v>
      </c>
      <c r="C569" s="31" t="s">
        <v>301</v>
      </c>
      <c r="D569" s="16" t="s">
        <v>221</v>
      </c>
      <c r="E569" s="16" t="s">
        <v>32</v>
      </c>
      <c r="F569" s="583" t="s">
        <v>58</v>
      </c>
      <c r="G569" s="584" t="s">
        <v>40</v>
      </c>
      <c r="H569" s="584" t="s">
        <v>47</v>
      </c>
      <c r="I569" s="585" t="s">
        <v>527</v>
      </c>
      <c r="J569" s="16" t="s">
        <v>51</v>
      </c>
      <c r="K569" s="32">
        <v>4247.1120000000001</v>
      </c>
      <c r="L569" s="32">
        <v>0</v>
      </c>
      <c r="M569" s="32">
        <v>4247.1120000000001</v>
      </c>
    </row>
    <row r="570" spans="1:13" s="13" customFormat="1" ht="52.95" customHeight="1" x14ac:dyDescent="0.35">
      <c r="A570" s="17"/>
      <c r="B570" s="30" t="s">
        <v>315</v>
      </c>
      <c r="C570" s="31" t="s">
        <v>301</v>
      </c>
      <c r="D570" s="16" t="s">
        <v>221</v>
      </c>
      <c r="E570" s="16" t="s">
        <v>32</v>
      </c>
      <c r="F570" s="40" t="s">
        <v>58</v>
      </c>
      <c r="G570" s="97" t="s">
        <v>84</v>
      </c>
      <c r="H570" s="97" t="s">
        <v>38</v>
      </c>
      <c r="I570" s="585" t="s">
        <v>39</v>
      </c>
      <c r="J570" s="16"/>
      <c r="K570" s="32">
        <f>K571</f>
        <v>349.488</v>
      </c>
      <c r="L570" s="32">
        <v>0</v>
      </c>
      <c r="M570" s="32">
        <v>349.488</v>
      </c>
    </row>
    <row r="571" spans="1:13" s="13" customFormat="1" ht="92.25" customHeight="1" x14ac:dyDescent="0.35">
      <c r="A571" s="17"/>
      <c r="B571" s="34" t="s">
        <v>307</v>
      </c>
      <c r="C571" s="31" t="s">
        <v>301</v>
      </c>
      <c r="D571" s="16" t="s">
        <v>221</v>
      </c>
      <c r="E571" s="16" t="s">
        <v>32</v>
      </c>
      <c r="F571" s="40" t="s">
        <v>58</v>
      </c>
      <c r="G571" s="97" t="s">
        <v>84</v>
      </c>
      <c r="H571" s="97" t="s">
        <v>58</v>
      </c>
      <c r="I571" s="585" t="s">
        <v>39</v>
      </c>
      <c r="J571" s="16"/>
      <c r="K571" s="32">
        <f>K572+K575</f>
        <v>349.488</v>
      </c>
      <c r="L571" s="32">
        <v>0</v>
      </c>
      <c r="M571" s="32">
        <v>349.488</v>
      </c>
    </row>
    <row r="572" spans="1:13" s="13" customFormat="1" ht="37.5" customHeight="1" x14ac:dyDescent="0.35">
      <c r="A572" s="17"/>
      <c r="B572" s="34" t="s">
        <v>302</v>
      </c>
      <c r="C572" s="31" t="s">
        <v>301</v>
      </c>
      <c r="D572" s="16" t="s">
        <v>221</v>
      </c>
      <c r="E572" s="16" t="s">
        <v>32</v>
      </c>
      <c r="F572" s="40" t="s">
        <v>58</v>
      </c>
      <c r="G572" s="97" t="s">
        <v>84</v>
      </c>
      <c r="H572" s="97" t="s">
        <v>58</v>
      </c>
      <c r="I572" s="98" t="s">
        <v>303</v>
      </c>
      <c r="J572" s="99"/>
      <c r="K572" s="32">
        <f t="shared" ref="K572:M572" si="81">K574+K573</f>
        <v>307.38799999999998</v>
      </c>
      <c r="L572" s="32">
        <v>0</v>
      </c>
      <c r="M572" s="32">
        <v>307.38799999999998</v>
      </c>
    </row>
    <row r="573" spans="1:13" s="13" customFormat="1" ht="51.6" customHeight="1" x14ac:dyDescent="0.35">
      <c r="A573" s="17"/>
      <c r="B573" s="34" t="s">
        <v>50</v>
      </c>
      <c r="C573" s="31" t="s">
        <v>301</v>
      </c>
      <c r="D573" s="16" t="s">
        <v>221</v>
      </c>
      <c r="E573" s="16" t="s">
        <v>32</v>
      </c>
      <c r="F573" s="40" t="s">
        <v>58</v>
      </c>
      <c r="G573" s="97" t="s">
        <v>84</v>
      </c>
      <c r="H573" s="97" t="s">
        <v>58</v>
      </c>
      <c r="I573" s="98" t="s">
        <v>303</v>
      </c>
      <c r="J573" s="99" t="s">
        <v>51</v>
      </c>
      <c r="K573" s="32">
        <v>289.488</v>
      </c>
      <c r="L573" s="32">
        <v>0</v>
      </c>
      <c r="M573" s="32">
        <v>289.488</v>
      </c>
    </row>
    <row r="574" spans="1:13" s="13" customFormat="1" ht="56.25" customHeight="1" x14ac:dyDescent="0.35">
      <c r="A574" s="17"/>
      <c r="B574" s="34" t="s">
        <v>71</v>
      </c>
      <c r="C574" s="31" t="s">
        <v>301</v>
      </c>
      <c r="D574" s="16" t="s">
        <v>221</v>
      </c>
      <c r="E574" s="16" t="s">
        <v>32</v>
      </c>
      <c r="F574" s="583" t="s">
        <v>58</v>
      </c>
      <c r="G574" s="584" t="s">
        <v>84</v>
      </c>
      <c r="H574" s="584" t="s">
        <v>58</v>
      </c>
      <c r="I574" s="585" t="s">
        <v>303</v>
      </c>
      <c r="J574" s="16" t="s">
        <v>72</v>
      </c>
      <c r="K574" s="32">
        <v>17.899999999999999</v>
      </c>
      <c r="L574" s="32">
        <v>0</v>
      </c>
      <c r="M574" s="32">
        <v>17.899999999999999</v>
      </c>
    </row>
    <row r="575" spans="1:13" s="13" customFormat="1" ht="56.25" customHeight="1" x14ac:dyDescent="0.35">
      <c r="A575" s="17"/>
      <c r="B575" s="34" t="s">
        <v>401</v>
      </c>
      <c r="C575" s="31" t="s">
        <v>301</v>
      </c>
      <c r="D575" s="16" t="s">
        <v>221</v>
      </c>
      <c r="E575" s="16" t="s">
        <v>32</v>
      </c>
      <c r="F575" s="583" t="s">
        <v>58</v>
      </c>
      <c r="G575" s="584" t="s">
        <v>84</v>
      </c>
      <c r="H575" s="584" t="s">
        <v>58</v>
      </c>
      <c r="I575" s="585" t="s">
        <v>402</v>
      </c>
      <c r="J575" s="16"/>
      <c r="K575" s="32">
        <f>K576</f>
        <v>42.1</v>
      </c>
      <c r="L575" s="32">
        <v>0</v>
      </c>
      <c r="M575" s="32">
        <v>42.1</v>
      </c>
    </row>
    <row r="576" spans="1:13" s="13" customFormat="1" ht="56.25" customHeight="1" x14ac:dyDescent="0.35">
      <c r="A576" s="17"/>
      <c r="B576" s="34" t="s">
        <v>71</v>
      </c>
      <c r="C576" s="31" t="s">
        <v>301</v>
      </c>
      <c r="D576" s="16" t="s">
        <v>221</v>
      </c>
      <c r="E576" s="16" t="s">
        <v>32</v>
      </c>
      <c r="F576" s="583" t="s">
        <v>58</v>
      </c>
      <c r="G576" s="584" t="s">
        <v>84</v>
      </c>
      <c r="H576" s="584" t="s">
        <v>58</v>
      </c>
      <c r="I576" s="585" t="s">
        <v>402</v>
      </c>
      <c r="J576" s="16" t="s">
        <v>72</v>
      </c>
      <c r="K576" s="32">
        <v>42.1</v>
      </c>
      <c r="L576" s="32">
        <v>0</v>
      </c>
      <c r="M576" s="32">
        <v>42.1</v>
      </c>
    </row>
    <row r="577" spans="1:13" s="13" customFormat="1" ht="37.5" customHeight="1" x14ac:dyDescent="0.35">
      <c r="A577" s="17"/>
      <c r="B577" s="30" t="s">
        <v>308</v>
      </c>
      <c r="C577" s="31" t="s">
        <v>301</v>
      </c>
      <c r="D577" s="16" t="s">
        <v>221</v>
      </c>
      <c r="E577" s="16" t="s">
        <v>47</v>
      </c>
      <c r="F577" s="40"/>
      <c r="G577" s="97"/>
      <c r="H577" s="97"/>
      <c r="I577" s="98"/>
      <c r="J577" s="99"/>
      <c r="K577" s="32">
        <f>K578</f>
        <v>11728.1</v>
      </c>
      <c r="L577" s="32">
        <v>0</v>
      </c>
      <c r="M577" s="32">
        <v>11728.1</v>
      </c>
    </row>
    <row r="578" spans="1:13" s="13" customFormat="1" ht="56.25" customHeight="1" x14ac:dyDescent="0.35">
      <c r="A578" s="17"/>
      <c r="B578" s="36" t="s">
        <v>208</v>
      </c>
      <c r="C578" s="31" t="s">
        <v>301</v>
      </c>
      <c r="D578" s="16" t="s">
        <v>221</v>
      </c>
      <c r="E578" s="16" t="s">
        <v>47</v>
      </c>
      <c r="F578" s="40" t="s">
        <v>58</v>
      </c>
      <c r="G578" s="97" t="s">
        <v>37</v>
      </c>
      <c r="H578" s="97" t="s">
        <v>38</v>
      </c>
      <c r="I578" s="98" t="s">
        <v>39</v>
      </c>
      <c r="J578" s="99"/>
      <c r="K578" s="32">
        <f>K583+K579</f>
        <v>11728.1</v>
      </c>
      <c r="L578" s="32">
        <v>0</v>
      </c>
      <c r="M578" s="32">
        <v>11728.1</v>
      </c>
    </row>
    <row r="579" spans="1:13" s="13" customFormat="1" ht="56.25" customHeight="1" x14ac:dyDescent="0.35">
      <c r="A579" s="17"/>
      <c r="B579" s="30" t="s">
        <v>315</v>
      </c>
      <c r="C579" s="31" t="s">
        <v>301</v>
      </c>
      <c r="D579" s="16" t="s">
        <v>221</v>
      </c>
      <c r="E579" s="16" t="s">
        <v>47</v>
      </c>
      <c r="F579" s="583" t="s">
        <v>58</v>
      </c>
      <c r="G579" s="584" t="s">
        <v>84</v>
      </c>
      <c r="H579" s="584" t="s">
        <v>38</v>
      </c>
      <c r="I579" s="585" t="s">
        <v>39</v>
      </c>
      <c r="J579" s="16"/>
      <c r="K579" s="32">
        <f t="shared" ref="K579:M581" si="82">K580</f>
        <v>589.4</v>
      </c>
      <c r="L579" s="32">
        <v>0</v>
      </c>
      <c r="M579" s="32">
        <v>589.4</v>
      </c>
    </row>
    <row r="580" spans="1:13" s="13" customFormat="1" ht="87" customHeight="1" x14ac:dyDescent="0.35">
      <c r="A580" s="17"/>
      <c r="B580" s="86" t="s">
        <v>307</v>
      </c>
      <c r="C580" s="31" t="s">
        <v>301</v>
      </c>
      <c r="D580" s="16" t="s">
        <v>221</v>
      </c>
      <c r="E580" s="16" t="s">
        <v>47</v>
      </c>
      <c r="F580" s="583" t="s">
        <v>58</v>
      </c>
      <c r="G580" s="584" t="s">
        <v>84</v>
      </c>
      <c r="H580" s="584" t="s">
        <v>58</v>
      </c>
      <c r="I580" s="585" t="s">
        <v>39</v>
      </c>
      <c r="J580" s="16"/>
      <c r="K580" s="32">
        <f t="shared" si="82"/>
        <v>589.4</v>
      </c>
      <c r="L580" s="32">
        <v>0</v>
      </c>
      <c r="M580" s="32">
        <v>589.4</v>
      </c>
    </row>
    <row r="581" spans="1:13" s="13" customFormat="1" ht="37.5" customHeight="1" x14ac:dyDescent="0.35">
      <c r="A581" s="17"/>
      <c r="B581" s="34" t="s">
        <v>302</v>
      </c>
      <c r="C581" s="31" t="s">
        <v>301</v>
      </c>
      <c r="D581" s="16" t="s">
        <v>221</v>
      </c>
      <c r="E581" s="16" t="s">
        <v>47</v>
      </c>
      <c r="F581" s="583" t="s">
        <v>58</v>
      </c>
      <c r="G581" s="584" t="s">
        <v>84</v>
      </c>
      <c r="H581" s="584" t="s">
        <v>58</v>
      </c>
      <c r="I581" s="585" t="s">
        <v>303</v>
      </c>
      <c r="J581" s="16"/>
      <c r="K581" s="32">
        <f t="shared" si="82"/>
        <v>589.4</v>
      </c>
      <c r="L581" s="32">
        <v>0</v>
      </c>
      <c r="M581" s="32">
        <v>589.4</v>
      </c>
    </row>
    <row r="582" spans="1:13" s="13" customFormat="1" ht="50.25" customHeight="1" x14ac:dyDescent="0.35">
      <c r="A582" s="17"/>
      <c r="B582" s="30" t="s">
        <v>50</v>
      </c>
      <c r="C582" s="31" t="s">
        <v>301</v>
      </c>
      <c r="D582" s="16" t="s">
        <v>221</v>
      </c>
      <c r="E582" s="16" t="s">
        <v>47</v>
      </c>
      <c r="F582" s="583" t="s">
        <v>58</v>
      </c>
      <c r="G582" s="584" t="s">
        <v>84</v>
      </c>
      <c r="H582" s="584" t="s">
        <v>58</v>
      </c>
      <c r="I582" s="585" t="s">
        <v>303</v>
      </c>
      <c r="J582" s="16" t="s">
        <v>51</v>
      </c>
      <c r="K582" s="32">
        <v>589.4</v>
      </c>
      <c r="L582" s="32">
        <v>0</v>
      </c>
      <c r="M582" s="32">
        <v>589.4</v>
      </c>
    </row>
    <row r="583" spans="1:13" s="13" customFormat="1" ht="56.25" customHeight="1" x14ac:dyDescent="0.35">
      <c r="A583" s="17"/>
      <c r="B583" s="30" t="s">
        <v>211</v>
      </c>
      <c r="C583" s="31" t="s">
        <v>301</v>
      </c>
      <c r="D583" s="16" t="s">
        <v>221</v>
      </c>
      <c r="E583" s="16" t="s">
        <v>47</v>
      </c>
      <c r="F583" s="583" t="s">
        <v>58</v>
      </c>
      <c r="G583" s="584" t="s">
        <v>25</v>
      </c>
      <c r="H583" s="584" t="s">
        <v>38</v>
      </c>
      <c r="I583" s="585" t="s">
        <v>39</v>
      </c>
      <c r="J583" s="16"/>
      <c r="K583" s="32">
        <f>K584</f>
        <v>11138.7</v>
      </c>
      <c r="L583" s="32">
        <v>0</v>
      </c>
      <c r="M583" s="32">
        <v>11138.7</v>
      </c>
    </row>
    <row r="584" spans="1:13" s="13" customFormat="1" ht="37.5" customHeight="1" x14ac:dyDescent="0.35">
      <c r="A584" s="17"/>
      <c r="B584" s="30" t="s">
        <v>270</v>
      </c>
      <c r="C584" s="31" t="s">
        <v>301</v>
      </c>
      <c r="D584" s="16" t="s">
        <v>221</v>
      </c>
      <c r="E584" s="16" t="s">
        <v>47</v>
      </c>
      <c r="F584" s="583" t="s">
        <v>58</v>
      </c>
      <c r="G584" s="584" t="s">
        <v>25</v>
      </c>
      <c r="H584" s="584" t="s">
        <v>32</v>
      </c>
      <c r="I584" s="585" t="s">
        <v>39</v>
      </c>
      <c r="J584" s="16"/>
      <c r="K584" s="32">
        <f>K585+K589+K593</f>
        <v>11138.7</v>
      </c>
      <c r="L584" s="32">
        <v>0</v>
      </c>
      <c r="M584" s="32">
        <v>11138.7</v>
      </c>
    </row>
    <row r="585" spans="1:13" s="13" customFormat="1" ht="37.5" customHeight="1" x14ac:dyDescent="0.35">
      <c r="A585" s="17"/>
      <c r="B585" s="30" t="s">
        <v>42</v>
      </c>
      <c r="C585" s="31" t="s">
        <v>301</v>
      </c>
      <c r="D585" s="16" t="s">
        <v>221</v>
      </c>
      <c r="E585" s="16" t="s">
        <v>47</v>
      </c>
      <c r="F585" s="583" t="s">
        <v>58</v>
      </c>
      <c r="G585" s="584" t="s">
        <v>25</v>
      </c>
      <c r="H585" s="584" t="s">
        <v>32</v>
      </c>
      <c r="I585" s="585" t="s">
        <v>43</v>
      </c>
      <c r="J585" s="99"/>
      <c r="K585" s="32">
        <f>K586+K587+K588</f>
        <v>3290.1</v>
      </c>
      <c r="L585" s="32">
        <v>0</v>
      </c>
      <c r="M585" s="32">
        <v>3290.1</v>
      </c>
    </row>
    <row r="586" spans="1:13" s="13" customFormat="1" ht="112.5" customHeight="1" x14ac:dyDescent="0.35">
      <c r="A586" s="17"/>
      <c r="B586" s="30" t="s">
        <v>44</v>
      </c>
      <c r="C586" s="31" t="s">
        <v>301</v>
      </c>
      <c r="D586" s="16" t="s">
        <v>221</v>
      </c>
      <c r="E586" s="16" t="s">
        <v>47</v>
      </c>
      <c r="F586" s="583" t="s">
        <v>58</v>
      </c>
      <c r="G586" s="584" t="s">
        <v>25</v>
      </c>
      <c r="H586" s="584" t="s">
        <v>32</v>
      </c>
      <c r="I586" s="585" t="s">
        <v>43</v>
      </c>
      <c r="J586" s="99" t="s">
        <v>45</v>
      </c>
      <c r="K586" s="32">
        <f>2633.6+402.7</f>
        <v>3036.2999999999997</v>
      </c>
      <c r="L586" s="32">
        <v>0</v>
      </c>
      <c r="M586" s="32">
        <v>3036.2999999999997</v>
      </c>
    </row>
    <row r="587" spans="1:13" s="13" customFormat="1" ht="56.25" customHeight="1" x14ac:dyDescent="0.35">
      <c r="A587" s="17"/>
      <c r="B587" s="30" t="s">
        <v>50</v>
      </c>
      <c r="C587" s="31" t="s">
        <v>301</v>
      </c>
      <c r="D587" s="16" t="s">
        <v>221</v>
      </c>
      <c r="E587" s="16" t="s">
        <v>47</v>
      </c>
      <c r="F587" s="583" t="s">
        <v>58</v>
      </c>
      <c r="G587" s="584" t="s">
        <v>25</v>
      </c>
      <c r="H587" s="584" t="s">
        <v>32</v>
      </c>
      <c r="I587" s="585" t="s">
        <v>43</v>
      </c>
      <c r="J587" s="99" t="s">
        <v>51</v>
      </c>
      <c r="K587" s="32">
        <v>249.4</v>
      </c>
      <c r="L587" s="32">
        <v>0</v>
      </c>
      <c r="M587" s="32">
        <v>249.4</v>
      </c>
    </row>
    <row r="588" spans="1:13" s="13" customFormat="1" ht="18.75" customHeight="1" x14ac:dyDescent="0.35">
      <c r="A588" s="17"/>
      <c r="B588" s="30" t="s">
        <v>52</v>
      </c>
      <c r="C588" s="31" t="s">
        <v>301</v>
      </c>
      <c r="D588" s="16" t="s">
        <v>221</v>
      </c>
      <c r="E588" s="16" t="s">
        <v>47</v>
      </c>
      <c r="F588" s="583" t="s">
        <v>58</v>
      </c>
      <c r="G588" s="584" t="s">
        <v>25</v>
      </c>
      <c r="H588" s="584" t="s">
        <v>32</v>
      </c>
      <c r="I588" s="585" t="s">
        <v>43</v>
      </c>
      <c r="J588" s="16" t="s">
        <v>53</v>
      </c>
      <c r="K588" s="32">
        <v>4.4000000000000004</v>
      </c>
      <c r="L588" s="32">
        <v>0</v>
      </c>
      <c r="M588" s="32">
        <v>4.4000000000000004</v>
      </c>
    </row>
    <row r="589" spans="1:13" s="13" customFormat="1" ht="39" customHeight="1" x14ac:dyDescent="0.35">
      <c r="A589" s="17"/>
      <c r="B589" s="33" t="s">
        <v>437</v>
      </c>
      <c r="C589" s="31" t="s">
        <v>301</v>
      </c>
      <c r="D589" s="16" t="s">
        <v>221</v>
      </c>
      <c r="E589" s="16" t="s">
        <v>47</v>
      </c>
      <c r="F589" s="583" t="s">
        <v>58</v>
      </c>
      <c r="G589" s="584" t="s">
        <v>25</v>
      </c>
      <c r="H589" s="584" t="s">
        <v>32</v>
      </c>
      <c r="I589" s="585" t="s">
        <v>86</v>
      </c>
      <c r="J589" s="16"/>
      <c r="K589" s="32">
        <f>K590+K591+K592</f>
        <v>7537.1</v>
      </c>
      <c r="L589" s="32">
        <v>0</v>
      </c>
      <c r="M589" s="32">
        <v>7537.1</v>
      </c>
    </row>
    <row r="590" spans="1:13" s="13" customFormat="1" ht="112.5" customHeight="1" x14ac:dyDescent="0.35">
      <c r="A590" s="17"/>
      <c r="B590" s="30" t="s">
        <v>44</v>
      </c>
      <c r="C590" s="161" t="s">
        <v>301</v>
      </c>
      <c r="D590" s="99" t="s">
        <v>221</v>
      </c>
      <c r="E590" s="99" t="s">
        <v>47</v>
      </c>
      <c r="F590" s="583" t="s">
        <v>58</v>
      </c>
      <c r="G590" s="584" t="s">
        <v>25</v>
      </c>
      <c r="H590" s="584" t="s">
        <v>32</v>
      </c>
      <c r="I590" s="585" t="s">
        <v>86</v>
      </c>
      <c r="J590" s="99" t="s">
        <v>45</v>
      </c>
      <c r="K590" s="32">
        <f>5944.1+1006.2+38.6</f>
        <v>6988.9000000000005</v>
      </c>
      <c r="L590" s="32">
        <v>0</v>
      </c>
      <c r="M590" s="32">
        <v>6988.9000000000005</v>
      </c>
    </row>
    <row r="591" spans="1:13" s="13" customFormat="1" ht="56.25" customHeight="1" x14ac:dyDescent="0.35">
      <c r="A591" s="17"/>
      <c r="B591" s="30" t="s">
        <v>50</v>
      </c>
      <c r="C591" s="161" t="s">
        <v>301</v>
      </c>
      <c r="D591" s="99" t="s">
        <v>221</v>
      </c>
      <c r="E591" s="99" t="s">
        <v>47</v>
      </c>
      <c r="F591" s="583" t="s">
        <v>58</v>
      </c>
      <c r="G591" s="584" t="s">
        <v>25</v>
      </c>
      <c r="H591" s="584" t="s">
        <v>32</v>
      </c>
      <c r="I591" s="585" t="s">
        <v>86</v>
      </c>
      <c r="J591" s="99" t="s">
        <v>51</v>
      </c>
      <c r="K591" s="32">
        <v>546.5</v>
      </c>
      <c r="L591" s="32">
        <v>0</v>
      </c>
      <c r="M591" s="32">
        <v>546.5</v>
      </c>
    </row>
    <row r="592" spans="1:13" s="13" customFormat="1" ht="18.75" customHeight="1" x14ac:dyDescent="0.35">
      <c r="A592" s="17"/>
      <c r="B592" s="30" t="s">
        <v>52</v>
      </c>
      <c r="C592" s="161" t="s">
        <v>301</v>
      </c>
      <c r="D592" s="99" t="s">
        <v>221</v>
      </c>
      <c r="E592" s="99" t="s">
        <v>47</v>
      </c>
      <c r="F592" s="583" t="s">
        <v>58</v>
      </c>
      <c r="G592" s="584" t="s">
        <v>25</v>
      </c>
      <c r="H592" s="584" t="s">
        <v>32</v>
      </c>
      <c r="I592" s="585" t="s">
        <v>86</v>
      </c>
      <c r="J592" s="16" t="s">
        <v>53</v>
      </c>
      <c r="K592" s="32">
        <v>1.7</v>
      </c>
      <c r="L592" s="32">
        <v>0</v>
      </c>
      <c r="M592" s="32">
        <v>1.7</v>
      </c>
    </row>
    <row r="593" spans="1:13" s="144" customFormat="1" ht="18.75" customHeight="1" x14ac:dyDescent="0.35">
      <c r="A593" s="236"/>
      <c r="B593" s="237" t="s">
        <v>438</v>
      </c>
      <c r="C593" s="161" t="s">
        <v>301</v>
      </c>
      <c r="D593" s="99" t="s">
        <v>221</v>
      </c>
      <c r="E593" s="99" t="s">
        <v>47</v>
      </c>
      <c r="F593" s="583" t="s">
        <v>58</v>
      </c>
      <c r="G593" s="584" t="s">
        <v>25</v>
      </c>
      <c r="H593" s="584" t="s">
        <v>32</v>
      </c>
      <c r="I593" s="177" t="s">
        <v>376</v>
      </c>
      <c r="J593" s="233"/>
      <c r="K593" s="216">
        <f>K594</f>
        <v>311.5</v>
      </c>
      <c r="L593" s="216">
        <v>0</v>
      </c>
      <c r="M593" s="216">
        <v>311.5</v>
      </c>
    </row>
    <row r="594" spans="1:13" s="144" customFormat="1" ht="55.5" customHeight="1" x14ac:dyDescent="0.35">
      <c r="A594" s="238"/>
      <c r="B594" s="30" t="s">
        <v>50</v>
      </c>
      <c r="C594" s="161" t="s">
        <v>301</v>
      </c>
      <c r="D594" s="99" t="s">
        <v>221</v>
      </c>
      <c r="E594" s="99" t="s">
        <v>47</v>
      </c>
      <c r="F594" s="583" t="s">
        <v>58</v>
      </c>
      <c r="G594" s="584" t="s">
        <v>25</v>
      </c>
      <c r="H594" s="584" t="s">
        <v>32</v>
      </c>
      <c r="I594" s="235" t="s">
        <v>376</v>
      </c>
      <c r="J594" s="234" t="s">
        <v>51</v>
      </c>
      <c r="K594" s="296">
        <v>311.5</v>
      </c>
      <c r="L594" s="32">
        <v>0</v>
      </c>
      <c r="M594" s="296">
        <v>311.5</v>
      </c>
    </row>
    <row r="595" spans="1:13" s="144" customFormat="1" ht="18.75" customHeight="1" x14ac:dyDescent="0.35">
      <c r="A595" s="238"/>
      <c r="B595" s="231"/>
      <c r="C595" s="161"/>
      <c r="D595" s="99"/>
      <c r="E595" s="99"/>
      <c r="F595" s="583"/>
      <c r="G595" s="584"/>
      <c r="H595" s="584"/>
      <c r="I595" s="232"/>
      <c r="J595" s="234"/>
      <c r="K595" s="296"/>
      <c r="L595" s="296"/>
      <c r="M595" s="296"/>
    </row>
    <row r="596" spans="1:13" s="123" customFormat="1" ht="56.25" customHeight="1" x14ac:dyDescent="0.3">
      <c r="A596" s="122">
        <v>7</v>
      </c>
      <c r="B596" s="24" t="s">
        <v>8</v>
      </c>
      <c r="C596" s="25" t="s">
        <v>279</v>
      </c>
      <c r="D596" s="26"/>
      <c r="E596" s="26"/>
      <c r="F596" s="27"/>
      <c r="G596" s="28"/>
      <c r="H596" s="28"/>
      <c r="I596" s="29"/>
      <c r="J596" s="26"/>
      <c r="K596" s="46">
        <f>K604+K597</f>
        <v>44438.2</v>
      </c>
      <c r="L596" s="46">
        <v>1416.5</v>
      </c>
      <c r="M596" s="46">
        <v>45854.7</v>
      </c>
    </row>
    <row r="597" spans="1:13" s="123" customFormat="1" ht="29.25" customHeight="1" x14ac:dyDescent="0.35">
      <c r="A597" s="122"/>
      <c r="B597" s="240" t="s">
        <v>31</v>
      </c>
      <c r="C597" s="241" t="s">
        <v>279</v>
      </c>
      <c r="D597" s="41" t="s">
        <v>32</v>
      </c>
      <c r="E597" s="41"/>
      <c r="F597" s="227"/>
      <c r="G597" s="228"/>
      <c r="H597" s="228"/>
      <c r="I597" s="229"/>
      <c r="J597" s="41"/>
      <c r="K597" s="230">
        <f t="shared" ref="K597:M601" si="83">K598</f>
        <v>35.6</v>
      </c>
      <c r="L597" s="230">
        <v>0</v>
      </c>
      <c r="M597" s="230">
        <v>35.6</v>
      </c>
    </row>
    <row r="598" spans="1:13" s="123" customFormat="1" ht="23.25" customHeight="1" x14ac:dyDescent="0.35">
      <c r="A598" s="122"/>
      <c r="B598" s="240" t="s">
        <v>65</v>
      </c>
      <c r="C598" s="241" t="s">
        <v>279</v>
      </c>
      <c r="D598" s="41" t="s">
        <v>32</v>
      </c>
      <c r="E598" s="41" t="s">
        <v>66</v>
      </c>
      <c r="F598" s="227"/>
      <c r="G598" s="228"/>
      <c r="H598" s="228"/>
      <c r="I598" s="229"/>
      <c r="J598" s="41"/>
      <c r="K598" s="230">
        <f t="shared" si="83"/>
        <v>35.6</v>
      </c>
      <c r="L598" s="230">
        <v>0</v>
      </c>
      <c r="M598" s="230">
        <v>35.6</v>
      </c>
    </row>
    <row r="599" spans="1:13" s="123" customFormat="1" ht="56.25" customHeight="1" x14ac:dyDescent="0.35">
      <c r="A599" s="122"/>
      <c r="B599" s="30" t="s">
        <v>212</v>
      </c>
      <c r="C599" s="241" t="s">
        <v>279</v>
      </c>
      <c r="D599" s="41" t="s">
        <v>32</v>
      </c>
      <c r="E599" s="41" t="s">
        <v>66</v>
      </c>
      <c r="F599" s="227" t="s">
        <v>47</v>
      </c>
      <c r="G599" s="228" t="s">
        <v>37</v>
      </c>
      <c r="H599" s="228" t="s">
        <v>38</v>
      </c>
      <c r="I599" s="229" t="s">
        <v>39</v>
      </c>
      <c r="J599" s="41"/>
      <c r="K599" s="230">
        <f t="shared" si="83"/>
        <v>35.6</v>
      </c>
      <c r="L599" s="230">
        <v>0</v>
      </c>
      <c r="M599" s="230">
        <v>35.6</v>
      </c>
    </row>
    <row r="600" spans="1:13" s="123" customFormat="1" ht="37.5" customHeight="1" x14ac:dyDescent="0.35">
      <c r="A600" s="122"/>
      <c r="B600" s="30" t="s">
        <v>215</v>
      </c>
      <c r="C600" s="241" t="s">
        <v>279</v>
      </c>
      <c r="D600" s="41" t="s">
        <v>32</v>
      </c>
      <c r="E600" s="41" t="s">
        <v>66</v>
      </c>
      <c r="F600" s="227" t="s">
        <v>47</v>
      </c>
      <c r="G600" s="228" t="s">
        <v>84</v>
      </c>
      <c r="H600" s="228" t="s">
        <v>38</v>
      </c>
      <c r="I600" s="229" t="s">
        <v>39</v>
      </c>
      <c r="J600" s="41"/>
      <c r="K600" s="230">
        <f t="shared" si="83"/>
        <v>35.6</v>
      </c>
      <c r="L600" s="230">
        <v>0</v>
      </c>
      <c r="M600" s="230">
        <v>35.6</v>
      </c>
    </row>
    <row r="601" spans="1:13" s="123" customFormat="1" ht="41.25" customHeight="1" x14ac:dyDescent="0.35">
      <c r="A601" s="122"/>
      <c r="B601" s="240" t="s">
        <v>340</v>
      </c>
      <c r="C601" s="241" t="s">
        <v>279</v>
      </c>
      <c r="D601" s="41" t="s">
        <v>32</v>
      </c>
      <c r="E601" s="41" t="s">
        <v>66</v>
      </c>
      <c r="F601" s="227" t="s">
        <v>47</v>
      </c>
      <c r="G601" s="228" t="s">
        <v>84</v>
      </c>
      <c r="H601" s="228" t="s">
        <v>58</v>
      </c>
      <c r="I601" s="229" t="s">
        <v>39</v>
      </c>
      <c r="J601" s="41"/>
      <c r="K601" s="230">
        <f t="shared" si="83"/>
        <v>35.6</v>
      </c>
      <c r="L601" s="230">
        <v>0</v>
      </c>
      <c r="M601" s="230">
        <v>35.6</v>
      </c>
    </row>
    <row r="602" spans="1:13" s="123" customFormat="1" ht="56.25" customHeight="1" x14ac:dyDescent="0.35">
      <c r="A602" s="122"/>
      <c r="B602" s="265" t="s">
        <v>341</v>
      </c>
      <c r="C602" s="241" t="s">
        <v>279</v>
      </c>
      <c r="D602" s="41" t="s">
        <v>32</v>
      </c>
      <c r="E602" s="41" t="s">
        <v>66</v>
      </c>
      <c r="F602" s="227" t="s">
        <v>47</v>
      </c>
      <c r="G602" s="228" t="s">
        <v>84</v>
      </c>
      <c r="H602" s="228" t="s">
        <v>58</v>
      </c>
      <c r="I602" s="229" t="s">
        <v>100</v>
      </c>
      <c r="J602" s="41"/>
      <c r="K602" s="230">
        <f>K603</f>
        <v>35.6</v>
      </c>
      <c r="L602" s="230">
        <v>0</v>
      </c>
      <c r="M602" s="230">
        <v>35.6</v>
      </c>
    </row>
    <row r="603" spans="1:13" s="123" customFormat="1" ht="56.25" customHeight="1" x14ac:dyDescent="0.35">
      <c r="A603" s="122"/>
      <c r="B603" s="30" t="s">
        <v>50</v>
      </c>
      <c r="C603" s="241" t="s">
        <v>279</v>
      </c>
      <c r="D603" s="41" t="s">
        <v>32</v>
      </c>
      <c r="E603" s="41" t="s">
        <v>66</v>
      </c>
      <c r="F603" s="227" t="s">
        <v>47</v>
      </c>
      <c r="G603" s="228" t="s">
        <v>84</v>
      </c>
      <c r="H603" s="228" t="s">
        <v>58</v>
      </c>
      <c r="I603" s="229" t="s">
        <v>100</v>
      </c>
      <c r="J603" s="41" t="s">
        <v>51</v>
      </c>
      <c r="K603" s="230">
        <v>35.6</v>
      </c>
      <c r="L603" s="32">
        <v>0</v>
      </c>
      <c r="M603" s="230">
        <v>35.6</v>
      </c>
    </row>
    <row r="604" spans="1:13" s="13" customFormat="1" ht="18.75" customHeight="1" x14ac:dyDescent="0.35">
      <c r="A604" s="17"/>
      <c r="B604" s="36" t="s">
        <v>309</v>
      </c>
      <c r="C604" s="31" t="s">
        <v>279</v>
      </c>
      <c r="D604" s="16" t="s">
        <v>62</v>
      </c>
      <c r="E604" s="16"/>
      <c r="F604" s="583"/>
      <c r="G604" s="584"/>
      <c r="H604" s="584"/>
      <c r="I604" s="585"/>
      <c r="J604" s="16"/>
      <c r="K604" s="32">
        <f>K605+K636+K642</f>
        <v>44402.6</v>
      </c>
      <c r="L604" s="32">
        <v>1416.5</v>
      </c>
      <c r="M604" s="32">
        <v>45819.1</v>
      </c>
    </row>
    <row r="605" spans="1:13" s="123" customFormat="1" ht="18.75" customHeight="1" x14ac:dyDescent="0.35">
      <c r="A605" s="17"/>
      <c r="B605" s="36" t="s">
        <v>349</v>
      </c>
      <c r="C605" s="31" t="s">
        <v>279</v>
      </c>
      <c r="D605" s="16" t="s">
        <v>62</v>
      </c>
      <c r="E605" s="16" t="s">
        <v>32</v>
      </c>
      <c r="F605" s="583"/>
      <c r="G605" s="584"/>
      <c r="H605" s="584"/>
      <c r="I605" s="585"/>
      <c r="J605" s="16"/>
      <c r="K605" s="32">
        <f>K606</f>
        <v>40914.800000000003</v>
      </c>
      <c r="L605" s="32">
        <v>1416.5</v>
      </c>
      <c r="M605" s="32">
        <v>42331.3</v>
      </c>
    </row>
    <row r="606" spans="1:13" s="123" customFormat="1" ht="57" customHeight="1" x14ac:dyDescent="0.35">
      <c r="A606" s="17"/>
      <c r="B606" s="30" t="s">
        <v>212</v>
      </c>
      <c r="C606" s="31" t="s">
        <v>279</v>
      </c>
      <c r="D606" s="16" t="s">
        <v>62</v>
      </c>
      <c r="E606" s="16" t="s">
        <v>32</v>
      </c>
      <c r="F606" s="583" t="s">
        <v>47</v>
      </c>
      <c r="G606" s="584" t="s">
        <v>37</v>
      </c>
      <c r="H606" s="584" t="s">
        <v>38</v>
      </c>
      <c r="I606" s="585" t="s">
        <v>39</v>
      </c>
      <c r="J606" s="16"/>
      <c r="K606" s="32">
        <f>K607+K611+K632</f>
        <v>40914.800000000003</v>
      </c>
      <c r="L606" s="32">
        <v>1416.5</v>
      </c>
      <c r="M606" s="32">
        <v>42331.3</v>
      </c>
    </row>
    <row r="607" spans="1:13" s="123" customFormat="1" ht="37.5" customHeight="1" x14ac:dyDescent="0.35">
      <c r="A607" s="17"/>
      <c r="B607" s="36" t="s">
        <v>213</v>
      </c>
      <c r="C607" s="31" t="s">
        <v>279</v>
      </c>
      <c r="D607" s="16" t="s">
        <v>62</v>
      </c>
      <c r="E607" s="16" t="s">
        <v>32</v>
      </c>
      <c r="F607" s="583" t="s">
        <v>47</v>
      </c>
      <c r="G607" s="584" t="s">
        <v>40</v>
      </c>
      <c r="H607" s="584" t="s">
        <v>38</v>
      </c>
      <c r="I607" s="585" t="s">
        <v>39</v>
      </c>
      <c r="J607" s="16"/>
      <c r="K607" s="32">
        <f>K608</f>
        <v>171</v>
      </c>
      <c r="L607" s="32">
        <v>0</v>
      </c>
      <c r="M607" s="32">
        <v>171</v>
      </c>
    </row>
    <row r="608" spans="1:13" s="123" customFormat="1" ht="18.75" customHeight="1" x14ac:dyDescent="0.35">
      <c r="A608" s="17"/>
      <c r="B608" s="30" t="s">
        <v>265</v>
      </c>
      <c r="C608" s="31" t="s">
        <v>279</v>
      </c>
      <c r="D608" s="16" t="s">
        <v>62</v>
      </c>
      <c r="E608" s="16" t="s">
        <v>32</v>
      </c>
      <c r="F608" s="583" t="s">
        <v>47</v>
      </c>
      <c r="G608" s="584" t="s">
        <v>40</v>
      </c>
      <c r="H608" s="584" t="s">
        <v>32</v>
      </c>
      <c r="I608" s="585" t="s">
        <v>39</v>
      </c>
      <c r="J608" s="16"/>
      <c r="K608" s="32">
        <f t="shared" ref="K608:M609" si="84">K609</f>
        <v>171</v>
      </c>
      <c r="L608" s="32">
        <v>0</v>
      </c>
      <c r="M608" s="32">
        <v>171</v>
      </c>
    </row>
    <row r="609" spans="1:13" s="123" customFormat="1" ht="36" x14ac:dyDescent="0.35">
      <c r="A609" s="17"/>
      <c r="B609" s="30" t="s">
        <v>266</v>
      </c>
      <c r="C609" s="31" t="s">
        <v>279</v>
      </c>
      <c r="D609" s="16" t="s">
        <v>62</v>
      </c>
      <c r="E609" s="16" t="s">
        <v>32</v>
      </c>
      <c r="F609" s="583" t="s">
        <v>47</v>
      </c>
      <c r="G609" s="584" t="s">
        <v>40</v>
      </c>
      <c r="H609" s="584" t="s">
        <v>32</v>
      </c>
      <c r="I609" s="585" t="s">
        <v>267</v>
      </c>
      <c r="J609" s="16"/>
      <c r="K609" s="32">
        <f t="shared" si="84"/>
        <v>171</v>
      </c>
      <c r="L609" s="32">
        <v>0</v>
      </c>
      <c r="M609" s="32">
        <v>171</v>
      </c>
    </row>
    <row r="610" spans="1:13" s="123" customFormat="1" ht="37.5" customHeight="1" x14ac:dyDescent="0.35">
      <c r="A610" s="17"/>
      <c r="B610" s="30" t="s">
        <v>115</v>
      </c>
      <c r="C610" s="31" t="s">
        <v>279</v>
      </c>
      <c r="D610" s="16" t="s">
        <v>62</v>
      </c>
      <c r="E610" s="16" t="s">
        <v>32</v>
      </c>
      <c r="F610" s="583" t="s">
        <v>47</v>
      </c>
      <c r="G610" s="584" t="s">
        <v>40</v>
      </c>
      <c r="H610" s="584" t="s">
        <v>32</v>
      </c>
      <c r="I610" s="585" t="s">
        <v>267</v>
      </c>
      <c r="J610" s="16" t="s">
        <v>116</v>
      </c>
      <c r="K610" s="32">
        <v>171</v>
      </c>
      <c r="L610" s="32">
        <v>0</v>
      </c>
      <c r="M610" s="32">
        <v>171</v>
      </c>
    </row>
    <row r="611" spans="1:13" s="13" customFormat="1" ht="37.5" customHeight="1" x14ac:dyDescent="0.35">
      <c r="A611" s="17"/>
      <c r="B611" s="30" t="s">
        <v>215</v>
      </c>
      <c r="C611" s="31" t="s">
        <v>279</v>
      </c>
      <c r="D611" s="16" t="s">
        <v>62</v>
      </c>
      <c r="E611" s="16" t="s">
        <v>32</v>
      </c>
      <c r="F611" s="583" t="s">
        <v>47</v>
      </c>
      <c r="G611" s="584" t="s">
        <v>84</v>
      </c>
      <c r="H611" s="584" t="s">
        <v>38</v>
      </c>
      <c r="I611" s="585" t="s">
        <v>39</v>
      </c>
      <c r="J611" s="16"/>
      <c r="K611" s="32">
        <f>K612+K625</f>
        <v>39669.5</v>
      </c>
      <c r="L611" s="32">
        <v>1416.5</v>
      </c>
      <c r="M611" s="32">
        <v>41086</v>
      </c>
    </row>
    <row r="612" spans="1:13" s="123" customFormat="1" ht="36.6" customHeight="1" x14ac:dyDescent="0.35">
      <c r="A612" s="17"/>
      <c r="B612" s="30" t="s">
        <v>350</v>
      </c>
      <c r="C612" s="31" t="s">
        <v>279</v>
      </c>
      <c r="D612" s="16" t="s">
        <v>62</v>
      </c>
      <c r="E612" s="16" t="s">
        <v>32</v>
      </c>
      <c r="F612" s="583" t="s">
        <v>47</v>
      </c>
      <c r="G612" s="584" t="s">
        <v>84</v>
      </c>
      <c r="H612" s="584" t="s">
        <v>34</v>
      </c>
      <c r="I612" s="585" t="s">
        <v>39</v>
      </c>
      <c r="J612" s="16"/>
      <c r="K612" s="32">
        <f>K613+K617+K623+K619+K621</f>
        <v>35659.1</v>
      </c>
      <c r="L612" s="32">
        <v>1416.5</v>
      </c>
      <c r="M612" s="32">
        <v>37075.599999999999</v>
      </c>
    </row>
    <row r="613" spans="1:13" s="123" customFormat="1" ht="39" customHeight="1" x14ac:dyDescent="0.35">
      <c r="A613" s="17"/>
      <c r="B613" s="33" t="s">
        <v>437</v>
      </c>
      <c r="C613" s="31" t="s">
        <v>279</v>
      </c>
      <c r="D613" s="16" t="s">
        <v>62</v>
      </c>
      <c r="E613" s="16" t="s">
        <v>32</v>
      </c>
      <c r="F613" s="583" t="s">
        <v>47</v>
      </c>
      <c r="G613" s="584" t="s">
        <v>84</v>
      </c>
      <c r="H613" s="584" t="s">
        <v>34</v>
      </c>
      <c r="I613" s="585" t="s">
        <v>86</v>
      </c>
      <c r="J613" s="16"/>
      <c r="K613" s="32">
        <f>K614+K615+K616</f>
        <v>23966.3</v>
      </c>
      <c r="L613" s="32">
        <v>0</v>
      </c>
      <c r="M613" s="32">
        <v>23966.3</v>
      </c>
    </row>
    <row r="614" spans="1:13" s="123" customFormat="1" ht="112.5" customHeight="1" x14ac:dyDescent="0.35">
      <c r="A614" s="17"/>
      <c r="B614" s="30" t="s">
        <v>44</v>
      </c>
      <c r="C614" s="31" t="s">
        <v>279</v>
      </c>
      <c r="D614" s="16" t="s">
        <v>62</v>
      </c>
      <c r="E614" s="16" t="s">
        <v>32</v>
      </c>
      <c r="F614" s="583" t="s">
        <v>47</v>
      </c>
      <c r="G614" s="584" t="s">
        <v>84</v>
      </c>
      <c r="H614" s="584" t="s">
        <v>34</v>
      </c>
      <c r="I614" s="585" t="s">
        <v>86</v>
      </c>
      <c r="J614" s="16" t="s">
        <v>45</v>
      </c>
      <c r="K614" s="32">
        <f>17974.3+25.6+213.9</f>
        <v>18213.8</v>
      </c>
      <c r="L614" s="32">
        <v>0</v>
      </c>
      <c r="M614" s="32">
        <v>18213.8</v>
      </c>
    </row>
    <row r="615" spans="1:13" s="13" customFormat="1" ht="56.25" customHeight="1" x14ac:dyDescent="0.35">
      <c r="A615" s="17"/>
      <c r="B615" s="30" t="s">
        <v>50</v>
      </c>
      <c r="C615" s="31" t="s">
        <v>279</v>
      </c>
      <c r="D615" s="16" t="s">
        <v>62</v>
      </c>
      <c r="E615" s="16" t="s">
        <v>32</v>
      </c>
      <c r="F615" s="583" t="s">
        <v>47</v>
      </c>
      <c r="G615" s="584" t="s">
        <v>84</v>
      </c>
      <c r="H615" s="584" t="s">
        <v>34</v>
      </c>
      <c r="I615" s="585" t="s">
        <v>86</v>
      </c>
      <c r="J615" s="16" t="s">
        <v>51</v>
      </c>
      <c r="K615" s="32">
        <v>5686.2</v>
      </c>
      <c r="L615" s="32">
        <v>0</v>
      </c>
      <c r="M615" s="32">
        <v>5686.2</v>
      </c>
    </row>
    <row r="616" spans="1:13" s="123" customFormat="1" ht="18.75" customHeight="1" x14ac:dyDescent="0.35">
      <c r="A616" s="17"/>
      <c r="B616" s="30" t="s">
        <v>52</v>
      </c>
      <c r="C616" s="31" t="s">
        <v>279</v>
      </c>
      <c r="D616" s="16" t="s">
        <v>62</v>
      </c>
      <c r="E616" s="16" t="s">
        <v>32</v>
      </c>
      <c r="F616" s="583" t="s">
        <v>47</v>
      </c>
      <c r="G616" s="584" t="s">
        <v>84</v>
      </c>
      <c r="H616" s="584" t="s">
        <v>34</v>
      </c>
      <c r="I616" s="585" t="s">
        <v>86</v>
      </c>
      <c r="J616" s="16" t="s">
        <v>53</v>
      </c>
      <c r="K616" s="32">
        <v>66.3</v>
      </c>
      <c r="L616" s="32">
        <v>0</v>
      </c>
      <c r="M616" s="32">
        <v>66.3</v>
      </c>
    </row>
    <row r="617" spans="1:13" s="123" customFormat="1" ht="22.5" customHeight="1" x14ac:dyDescent="0.35">
      <c r="A617" s="17"/>
      <c r="B617" s="30" t="s">
        <v>438</v>
      </c>
      <c r="C617" s="31" t="s">
        <v>279</v>
      </c>
      <c r="D617" s="16" t="s">
        <v>62</v>
      </c>
      <c r="E617" s="16" t="s">
        <v>32</v>
      </c>
      <c r="F617" s="583" t="s">
        <v>47</v>
      </c>
      <c r="G617" s="584" t="s">
        <v>84</v>
      </c>
      <c r="H617" s="584" t="s">
        <v>34</v>
      </c>
      <c r="I617" s="585" t="s">
        <v>376</v>
      </c>
      <c r="J617" s="16"/>
      <c r="K617" s="32">
        <f>K618</f>
        <v>5058.8</v>
      </c>
      <c r="L617" s="32">
        <v>0</v>
      </c>
      <c r="M617" s="32">
        <v>5058.8</v>
      </c>
    </row>
    <row r="618" spans="1:13" s="123" customFormat="1" ht="56.25" customHeight="1" x14ac:dyDescent="0.35">
      <c r="A618" s="17"/>
      <c r="B618" s="30" t="s">
        <v>50</v>
      </c>
      <c r="C618" s="31" t="s">
        <v>279</v>
      </c>
      <c r="D618" s="16" t="s">
        <v>62</v>
      </c>
      <c r="E618" s="16" t="s">
        <v>32</v>
      </c>
      <c r="F618" s="583" t="s">
        <v>47</v>
      </c>
      <c r="G618" s="584" t="s">
        <v>84</v>
      </c>
      <c r="H618" s="584" t="s">
        <v>34</v>
      </c>
      <c r="I618" s="585" t="s">
        <v>376</v>
      </c>
      <c r="J618" s="16" t="s">
        <v>51</v>
      </c>
      <c r="K618" s="32">
        <v>5058.8</v>
      </c>
      <c r="L618" s="32">
        <v>0</v>
      </c>
      <c r="M618" s="32">
        <v>5058.8</v>
      </c>
    </row>
    <row r="619" spans="1:13" s="123" customFormat="1" ht="56.25" customHeight="1" x14ac:dyDescent="0.35">
      <c r="A619" s="17"/>
      <c r="B619" s="30" t="s">
        <v>214</v>
      </c>
      <c r="C619" s="31" t="s">
        <v>279</v>
      </c>
      <c r="D619" s="16" t="s">
        <v>62</v>
      </c>
      <c r="E619" s="16" t="s">
        <v>32</v>
      </c>
      <c r="F619" s="583" t="s">
        <v>47</v>
      </c>
      <c r="G619" s="584" t="s">
        <v>84</v>
      </c>
      <c r="H619" s="584" t="s">
        <v>34</v>
      </c>
      <c r="I619" s="585" t="s">
        <v>281</v>
      </c>
      <c r="J619" s="16"/>
      <c r="K619" s="32">
        <f t="shared" ref="K619:M619" si="85">K620</f>
        <v>5384.7</v>
      </c>
      <c r="L619" s="32">
        <v>1416.5</v>
      </c>
      <c r="M619" s="32">
        <v>6801.2</v>
      </c>
    </row>
    <row r="620" spans="1:13" s="123" customFormat="1" ht="56.25" customHeight="1" x14ac:dyDescent="0.35">
      <c r="A620" s="17"/>
      <c r="B620" s="30" t="s">
        <v>50</v>
      </c>
      <c r="C620" s="31" t="s">
        <v>279</v>
      </c>
      <c r="D620" s="16" t="s">
        <v>62</v>
      </c>
      <c r="E620" s="16" t="s">
        <v>32</v>
      </c>
      <c r="F620" s="583" t="s">
        <v>47</v>
      </c>
      <c r="G620" s="584" t="s">
        <v>84</v>
      </c>
      <c r="H620" s="584" t="s">
        <v>34</v>
      </c>
      <c r="I620" s="585" t="s">
        <v>281</v>
      </c>
      <c r="J620" s="16" t="s">
        <v>51</v>
      </c>
      <c r="K620" s="32">
        <f>2375.5+1356.4+1734.5-81.7</f>
        <v>5384.7</v>
      </c>
      <c r="L620" s="32">
        <v>1416.5</v>
      </c>
      <c r="M620" s="575">
        <v>6801.2</v>
      </c>
    </row>
    <row r="621" spans="1:13" s="123" customFormat="1" ht="181.95" customHeight="1" x14ac:dyDescent="0.35">
      <c r="A621" s="17"/>
      <c r="B621" s="30" t="s">
        <v>414</v>
      </c>
      <c r="C621" s="31" t="s">
        <v>279</v>
      </c>
      <c r="D621" s="16" t="s">
        <v>62</v>
      </c>
      <c r="E621" s="16" t="s">
        <v>32</v>
      </c>
      <c r="F621" s="583" t="s">
        <v>47</v>
      </c>
      <c r="G621" s="584" t="s">
        <v>84</v>
      </c>
      <c r="H621" s="584" t="s">
        <v>34</v>
      </c>
      <c r="I621" s="585" t="s">
        <v>389</v>
      </c>
      <c r="J621" s="16"/>
      <c r="K621" s="32">
        <f>K622</f>
        <v>250</v>
      </c>
      <c r="L621" s="32">
        <v>0</v>
      </c>
      <c r="M621" s="32">
        <v>250</v>
      </c>
    </row>
    <row r="622" spans="1:13" s="123" customFormat="1" ht="109.5" customHeight="1" x14ac:dyDescent="0.35">
      <c r="A622" s="17"/>
      <c r="B622" s="30" t="s">
        <v>44</v>
      </c>
      <c r="C622" s="31" t="s">
        <v>279</v>
      </c>
      <c r="D622" s="16" t="s">
        <v>62</v>
      </c>
      <c r="E622" s="16" t="s">
        <v>32</v>
      </c>
      <c r="F622" s="583" t="s">
        <v>47</v>
      </c>
      <c r="G622" s="584" t="s">
        <v>84</v>
      </c>
      <c r="H622" s="584" t="s">
        <v>34</v>
      </c>
      <c r="I622" s="585" t="s">
        <v>389</v>
      </c>
      <c r="J622" s="16" t="s">
        <v>45</v>
      </c>
      <c r="K622" s="32">
        <v>250</v>
      </c>
      <c r="L622" s="32">
        <v>0</v>
      </c>
      <c r="M622" s="32">
        <v>250</v>
      </c>
    </row>
    <row r="623" spans="1:13" s="123" customFormat="1" ht="58.5" customHeight="1" x14ac:dyDescent="0.35">
      <c r="A623" s="17"/>
      <c r="B623" s="30" t="s">
        <v>416</v>
      </c>
      <c r="C623" s="31" t="s">
        <v>279</v>
      </c>
      <c r="D623" s="16" t="s">
        <v>62</v>
      </c>
      <c r="E623" s="16" t="s">
        <v>32</v>
      </c>
      <c r="F623" s="583" t="s">
        <v>47</v>
      </c>
      <c r="G623" s="584" t="s">
        <v>84</v>
      </c>
      <c r="H623" s="584" t="s">
        <v>34</v>
      </c>
      <c r="I623" s="585" t="s">
        <v>398</v>
      </c>
      <c r="J623" s="16"/>
      <c r="K623" s="32">
        <f>K624</f>
        <v>999.3</v>
      </c>
      <c r="L623" s="32">
        <v>0</v>
      </c>
      <c r="M623" s="32">
        <v>999.3</v>
      </c>
    </row>
    <row r="624" spans="1:13" s="123" customFormat="1" ht="112.5" customHeight="1" x14ac:dyDescent="0.35">
      <c r="A624" s="17"/>
      <c r="B624" s="30" t="s">
        <v>44</v>
      </c>
      <c r="C624" s="31" t="s">
        <v>279</v>
      </c>
      <c r="D624" s="16" t="s">
        <v>62</v>
      </c>
      <c r="E624" s="16" t="s">
        <v>32</v>
      </c>
      <c r="F624" s="583" t="s">
        <v>47</v>
      </c>
      <c r="G624" s="584" t="s">
        <v>84</v>
      </c>
      <c r="H624" s="584" t="s">
        <v>34</v>
      </c>
      <c r="I624" s="585" t="s">
        <v>398</v>
      </c>
      <c r="J624" s="16" t="s">
        <v>45</v>
      </c>
      <c r="K624" s="32">
        <v>999.3</v>
      </c>
      <c r="L624" s="32">
        <v>0</v>
      </c>
      <c r="M624" s="32">
        <v>999.3</v>
      </c>
    </row>
    <row r="625" spans="1:14" s="123" customFormat="1" ht="36" x14ac:dyDescent="0.35">
      <c r="A625" s="17"/>
      <c r="B625" s="30" t="s">
        <v>555</v>
      </c>
      <c r="C625" s="31" t="s">
        <v>279</v>
      </c>
      <c r="D625" s="16" t="s">
        <v>62</v>
      </c>
      <c r="E625" s="16" t="s">
        <v>32</v>
      </c>
      <c r="F625" s="583" t="s">
        <v>47</v>
      </c>
      <c r="G625" s="584" t="s">
        <v>84</v>
      </c>
      <c r="H625" s="584" t="s">
        <v>47</v>
      </c>
      <c r="I625" s="585" t="s">
        <v>39</v>
      </c>
      <c r="J625" s="16"/>
      <c r="K625" s="32">
        <f>K626+K630</f>
        <v>4010.4</v>
      </c>
      <c r="L625" s="32">
        <v>0</v>
      </c>
      <c r="M625" s="32">
        <v>4010.4</v>
      </c>
    </row>
    <row r="626" spans="1:14" s="123" customFormat="1" ht="36" x14ac:dyDescent="0.35">
      <c r="A626" s="17"/>
      <c r="B626" s="30" t="s">
        <v>437</v>
      </c>
      <c r="C626" s="31" t="s">
        <v>279</v>
      </c>
      <c r="D626" s="16" t="s">
        <v>62</v>
      </c>
      <c r="E626" s="16" t="s">
        <v>32</v>
      </c>
      <c r="F626" s="583" t="s">
        <v>47</v>
      </c>
      <c r="G626" s="584" t="s">
        <v>84</v>
      </c>
      <c r="H626" s="584" t="s">
        <v>47</v>
      </c>
      <c r="I626" s="585" t="s">
        <v>86</v>
      </c>
      <c r="J626" s="16"/>
      <c r="K626" s="32">
        <f>K627+K628+K629</f>
        <v>3216.8</v>
      </c>
      <c r="L626" s="32">
        <v>0</v>
      </c>
      <c r="M626" s="32">
        <v>3216.8</v>
      </c>
    </row>
    <row r="627" spans="1:14" s="123" customFormat="1" ht="108" x14ac:dyDescent="0.35">
      <c r="A627" s="17"/>
      <c r="B627" s="30" t="s">
        <v>44</v>
      </c>
      <c r="C627" s="31" t="s">
        <v>279</v>
      </c>
      <c r="D627" s="16" t="s">
        <v>62</v>
      </c>
      <c r="E627" s="16" t="s">
        <v>32</v>
      </c>
      <c r="F627" s="583" t="s">
        <v>47</v>
      </c>
      <c r="G627" s="584" t="s">
        <v>84</v>
      </c>
      <c r="H627" s="584" t="s">
        <v>47</v>
      </c>
      <c r="I627" s="585" t="s">
        <v>86</v>
      </c>
      <c r="J627" s="16" t="s">
        <v>45</v>
      </c>
      <c r="K627" s="32">
        <v>1779.7</v>
      </c>
      <c r="L627" s="32">
        <v>0</v>
      </c>
      <c r="M627" s="32">
        <v>1779.7</v>
      </c>
    </row>
    <row r="628" spans="1:14" s="123" customFormat="1" ht="54" x14ac:dyDescent="0.35">
      <c r="A628" s="17"/>
      <c r="B628" s="30" t="s">
        <v>50</v>
      </c>
      <c r="C628" s="31" t="s">
        <v>279</v>
      </c>
      <c r="D628" s="16" t="s">
        <v>62</v>
      </c>
      <c r="E628" s="16" t="s">
        <v>32</v>
      </c>
      <c r="F628" s="583" t="s">
        <v>47</v>
      </c>
      <c r="G628" s="584" t="s">
        <v>84</v>
      </c>
      <c r="H628" s="584" t="s">
        <v>47</v>
      </c>
      <c r="I628" s="585" t="s">
        <v>86</v>
      </c>
      <c r="J628" s="16" t="s">
        <v>51</v>
      </c>
      <c r="K628" s="32">
        <v>1313.8</v>
      </c>
      <c r="L628" s="32">
        <v>0</v>
      </c>
      <c r="M628" s="32">
        <v>1313.8</v>
      </c>
    </row>
    <row r="629" spans="1:14" s="123" customFormat="1" ht="18" x14ac:dyDescent="0.35">
      <c r="A629" s="17"/>
      <c r="B629" s="30" t="s">
        <v>52</v>
      </c>
      <c r="C629" s="31" t="s">
        <v>279</v>
      </c>
      <c r="D629" s="16" t="s">
        <v>62</v>
      </c>
      <c r="E629" s="16" t="s">
        <v>32</v>
      </c>
      <c r="F629" s="583" t="s">
        <v>47</v>
      </c>
      <c r="G629" s="584" t="s">
        <v>84</v>
      </c>
      <c r="H629" s="584" t="s">
        <v>47</v>
      </c>
      <c r="I629" s="585" t="s">
        <v>86</v>
      </c>
      <c r="J629" s="16" t="s">
        <v>53</v>
      </c>
      <c r="K629" s="32">
        <v>123.3</v>
      </c>
      <c r="L629" s="32">
        <v>0</v>
      </c>
      <c r="M629" s="32">
        <v>123.3</v>
      </c>
    </row>
    <row r="630" spans="1:14" s="123" customFormat="1" ht="54" x14ac:dyDescent="0.35">
      <c r="A630" s="17"/>
      <c r="B630" s="30" t="s">
        <v>214</v>
      </c>
      <c r="C630" s="31" t="s">
        <v>279</v>
      </c>
      <c r="D630" s="16" t="s">
        <v>62</v>
      </c>
      <c r="E630" s="16" t="s">
        <v>32</v>
      </c>
      <c r="F630" s="583" t="s">
        <v>47</v>
      </c>
      <c r="G630" s="584" t="s">
        <v>84</v>
      </c>
      <c r="H630" s="584" t="s">
        <v>47</v>
      </c>
      <c r="I630" s="585" t="s">
        <v>281</v>
      </c>
      <c r="J630" s="16"/>
      <c r="K630" s="32">
        <f>K631</f>
        <v>793.6</v>
      </c>
      <c r="L630" s="32">
        <v>0</v>
      </c>
      <c r="M630" s="32">
        <v>793.6</v>
      </c>
    </row>
    <row r="631" spans="1:14" s="123" customFormat="1" ht="54" x14ac:dyDescent="0.35">
      <c r="A631" s="17"/>
      <c r="B631" s="30" t="s">
        <v>50</v>
      </c>
      <c r="C631" s="31" t="s">
        <v>279</v>
      </c>
      <c r="D631" s="16" t="s">
        <v>62</v>
      </c>
      <c r="E631" s="16" t="s">
        <v>32</v>
      </c>
      <c r="F631" s="583" t="s">
        <v>47</v>
      </c>
      <c r="G631" s="584" t="s">
        <v>84</v>
      </c>
      <c r="H631" s="584" t="s">
        <v>47</v>
      </c>
      <c r="I631" s="585" t="s">
        <v>281</v>
      </c>
      <c r="J631" s="16" t="s">
        <v>51</v>
      </c>
      <c r="K631" s="32">
        <f>793.6</f>
        <v>793.6</v>
      </c>
      <c r="L631" s="32">
        <v>0</v>
      </c>
      <c r="M631" s="32">
        <v>793.6</v>
      </c>
    </row>
    <row r="632" spans="1:14" s="123" customFormat="1" ht="36" x14ac:dyDescent="0.35">
      <c r="A632" s="17"/>
      <c r="B632" s="30" t="s">
        <v>328</v>
      </c>
      <c r="C632" s="31" t="s">
        <v>279</v>
      </c>
      <c r="D632" s="16" t="s">
        <v>62</v>
      </c>
      <c r="E632" s="16" t="s">
        <v>32</v>
      </c>
      <c r="F632" s="583" t="s">
        <v>47</v>
      </c>
      <c r="G632" s="584" t="s">
        <v>26</v>
      </c>
      <c r="H632" s="584" t="s">
        <v>38</v>
      </c>
      <c r="I632" s="585" t="s">
        <v>39</v>
      </c>
      <c r="J632" s="16"/>
      <c r="K632" s="32">
        <f>K633</f>
        <v>1074.3</v>
      </c>
      <c r="L632" s="32">
        <v>0</v>
      </c>
      <c r="M632" s="32">
        <v>1074.3</v>
      </c>
    </row>
    <row r="633" spans="1:14" s="123" customFormat="1" ht="72" x14ac:dyDescent="0.35">
      <c r="A633" s="17"/>
      <c r="B633" s="30" t="s">
        <v>399</v>
      </c>
      <c r="C633" s="31" t="s">
        <v>279</v>
      </c>
      <c r="D633" s="16" t="s">
        <v>62</v>
      </c>
      <c r="E633" s="16" t="s">
        <v>32</v>
      </c>
      <c r="F633" s="583" t="s">
        <v>47</v>
      </c>
      <c r="G633" s="584" t="s">
        <v>26</v>
      </c>
      <c r="H633" s="584" t="s">
        <v>58</v>
      </c>
      <c r="I633" s="585" t="s">
        <v>39</v>
      </c>
      <c r="J633" s="16"/>
      <c r="K633" s="32">
        <f t="shared" ref="K632:M634" si="86">K634</f>
        <v>1074.3</v>
      </c>
      <c r="L633" s="32">
        <v>0</v>
      </c>
      <c r="M633" s="32">
        <v>1074.3</v>
      </c>
    </row>
    <row r="634" spans="1:14" s="123" customFormat="1" ht="54" x14ac:dyDescent="0.35">
      <c r="A634" s="17"/>
      <c r="B634" s="30" t="s">
        <v>214</v>
      </c>
      <c r="C634" s="31" t="s">
        <v>279</v>
      </c>
      <c r="D634" s="16" t="s">
        <v>62</v>
      </c>
      <c r="E634" s="16" t="s">
        <v>32</v>
      </c>
      <c r="F634" s="583" t="s">
        <v>47</v>
      </c>
      <c r="G634" s="584" t="s">
        <v>26</v>
      </c>
      <c r="H634" s="584" t="s">
        <v>58</v>
      </c>
      <c r="I634" s="585" t="s">
        <v>281</v>
      </c>
      <c r="J634" s="16"/>
      <c r="K634" s="32">
        <f t="shared" si="86"/>
        <v>1074.3</v>
      </c>
      <c r="L634" s="32">
        <v>0</v>
      </c>
      <c r="M634" s="32">
        <v>1074.3</v>
      </c>
    </row>
    <row r="635" spans="1:14" s="123" customFormat="1" ht="54" x14ac:dyDescent="0.35">
      <c r="A635" s="17"/>
      <c r="B635" s="30" t="s">
        <v>198</v>
      </c>
      <c r="C635" s="31" t="s">
        <v>279</v>
      </c>
      <c r="D635" s="16" t="s">
        <v>62</v>
      </c>
      <c r="E635" s="16" t="s">
        <v>32</v>
      </c>
      <c r="F635" s="583" t="s">
        <v>47</v>
      </c>
      <c r="G635" s="584" t="s">
        <v>26</v>
      </c>
      <c r="H635" s="584" t="s">
        <v>58</v>
      </c>
      <c r="I635" s="585" t="s">
        <v>281</v>
      </c>
      <c r="J635" s="16" t="s">
        <v>199</v>
      </c>
      <c r="K635" s="32">
        <f>992.6+81.7</f>
        <v>1074.3</v>
      </c>
      <c r="L635" s="32">
        <v>0</v>
      </c>
      <c r="M635" s="32">
        <v>1074.3</v>
      </c>
    </row>
    <row r="636" spans="1:14" s="13" customFormat="1" ht="18.75" customHeight="1" x14ac:dyDescent="0.35">
      <c r="A636" s="17"/>
      <c r="B636" s="36" t="s">
        <v>282</v>
      </c>
      <c r="C636" s="31" t="s">
        <v>279</v>
      </c>
      <c r="D636" s="16" t="s">
        <v>62</v>
      </c>
      <c r="E636" s="16" t="s">
        <v>34</v>
      </c>
      <c r="F636" s="583"/>
      <c r="G636" s="584"/>
      <c r="H636" s="584"/>
      <c r="I636" s="585"/>
      <c r="J636" s="16"/>
      <c r="K636" s="32">
        <f t="shared" ref="K636:M636" si="87">K637</f>
        <v>629.70000000000005</v>
      </c>
      <c r="L636" s="32">
        <v>0</v>
      </c>
      <c r="M636" s="32">
        <v>629.70000000000005</v>
      </c>
      <c r="N636" s="171"/>
    </row>
    <row r="637" spans="1:14" s="13" customFormat="1" ht="56.25" customHeight="1" x14ac:dyDescent="0.35">
      <c r="A637" s="17"/>
      <c r="B637" s="30" t="s">
        <v>212</v>
      </c>
      <c r="C637" s="31" t="s">
        <v>279</v>
      </c>
      <c r="D637" s="16" t="s">
        <v>62</v>
      </c>
      <c r="E637" s="16" t="s">
        <v>34</v>
      </c>
      <c r="F637" s="583" t="s">
        <v>47</v>
      </c>
      <c r="G637" s="584" t="s">
        <v>37</v>
      </c>
      <c r="H637" s="584" t="s">
        <v>38</v>
      </c>
      <c r="I637" s="585" t="s">
        <v>39</v>
      </c>
      <c r="J637" s="16"/>
      <c r="K637" s="32">
        <f>K638</f>
        <v>629.70000000000005</v>
      </c>
      <c r="L637" s="32">
        <v>0</v>
      </c>
      <c r="M637" s="32">
        <v>629.70000000000005</v>
      </c>
    </row>
    <row r="638" spans="1:14" s="13" customFormat="1" ht="37.5" customHeight="1" x14ac:dyDescent="0.35">
      <c r="A638" s="17"/>
      <c r="B638" s="36" t="s">
        <v>213</v>
      </c>
      <c r="C638" s="31" t="s">
        <v>279</v>
      </c>
      <c r="D638" s="16" t="s">
        <v>62</v>
      </c>
      <c r="E638" s="16" t="s">
        <v>34</v>
      </c>
      <c r="F638" s="583" t="s">
        <v>47</v>
      </c>
      <c r="G638" s="584" t="s">
        <v>40</v>
      </c>
      <c r="H638" s="584" t="s">
        <v>38</v>
      </c>
      <c r="I638" s="585" t="s">
        <v>39</v>
      </c>
      <c r="J638" s="16"/>
      <c r="K638" s="32">
        <f t="shared" ref="K638:M639" si="88">K639</f>
        <v>629.70000000000005</v>
      </c>
      <c r="L638" s="32">
        <v>0</v>
      </c>
      <c r="M638" s="32">
        <v>629.70000000000005</v>
      </c>
      <c r="N638" s="171"/>
    </row>
    <row r="639" spans="1:14" s="13" customFormat="1" ht="56.25" customHeight="1" x14ac:dyDescent="0.35">
      <c r="A639" s="17"/>
      <c r="B639" s="30" t="s">
        <v>280</v>
      </c>
      <c r="C639" s="31" t="s">
        <v>279</v>
      </c>
      <c r="D639" s="16" t="s">
        <v>62</v>
      </c>
      <c r="E639" s="16" t="s">
        <v>34</v>
      </c>
      <c r="F639" s="583" t="s">
        <v>47</v>
      </c>
      <c r="G639" s="584" t="s">
        <v>40</v>
      </c>
      <c r="H639" s="584" t="s">
        <v>34</v>
      </c>
      <c r="I639" s="585" t="s">
        <v>39</v>
      </c>
      <c r="J639" s="16"/>
      <c r="K639" s="32">
        <f t="shared" si="88"/>
        <v>629.70000000000005</v>
      </c>
      <c r="L639" s="32">
        <v>0</v>
      </c>
      <c r="M639" s="32">
        <v>629.70000000000005</v>
      </c>
      <c r="N639" s="171"/>
    </row>
    <row r="640" spans="1:14" s="13" customFormat="1" ht="56.25" customHeight="1" x14ac:dyDescent="0.35">
      <c r="A640" s="17"/>
      <c r="B640" s="30" t="s">
        <v>214</v>
      </c>
      <c r="C640" s="31" t="s">
        <v>279</v>
      </c>
      <c r="D640" s="16" t="s">
        <v>62</v>
      </c>
      <c r="E640" s="16" t="s">
        <v>34</v>
      </c>
      <c r="F640" s="583" t="s">
        <v>47</v>
      </c>
      <c r="G640" s="584" t="s">
        <v>40</v>
      </c>
      <c r="H640" s="584" t="s">
        <v>34</v>
      </c>
      <c r="I640" s="585" t="s">
        <v>281</v>
      </c>
      <c r="J640" s="16"/>
      <c r="K640" s="32">
        <f>SUM(K641:K641)</f>
        <v>629.70000000000005</v>
      </c>
      <c r="L640" s="32">
        <v>0</v>
      </c>
      <c r="M640" s="32">
        <v>629.70000000000005</v>
      </c>
    </row>
    <row r="641" spans="1:14" s="13" customFormat="1" ht="56.25" customHeight="1" x14ac:dyDescent="0.35">
      <c r="A641" s="17"/>
      <c r="B641" s="30" t="s">
        <v>50</v>
      </c>
      <c r="C641" s="31" t="s">
        <v>279</v>
      </c>
      <c r="D641" s="16" t="s">
        <v>62</v>
      </c>
      <c r="E641" s="16" t="s">
        <v>34</v>
      </c>
      <c r="F641" s="583" t="s">
        <v>47</v>
      </c>
      <c r="G641" s="584" t="s">
        <v>40</v>
      </c>
      <c r="H641" s="584" t="s">
        <v>34</v>
      </c>
      <c r="I641" s="585" t="s">
        <v>281</v>
      </c>
      <c r="J641" s="16" t="s">
        <v>51</v>
      </c>
      <c r="K641" s="32">
        <f>68+561.7</f>
        <v>629.70000000000005</v>
      </c>
      <c r="L641" s="32">
        <v>0</v>
      </c>
      <c r="M641" s="32">
        <v>629.70000000000005</v>
      </c>
      <c r="N641" s="171"/>
    </row>
    <row r="642" spans="1:14" s="13" customFormat="1" ht="37.5" customHeight="1" x14ac:dyDescent="0.35">
      <c r="A642" s="17"/>
      <c r="B642" s="36" t="s">
        <v>194</v>
      </c>
      <c r="C642" s="31" t="s">
        <v>279</v>
      </c>
      <c r="D642" s="16" t="s">
        <v>62</v>
      </c>
      <c r="E642" s="16" t="s">
        <v>60</v>
      </c>
      <c r="F642" s="583"/>
      <c r="G642" s="584"/>
      <c r="H642" s="584"/>
      <c r="I642" s="585"/>
      <c r="J642" s="16"/>
      <c r="K642" s="32">
        <f t="shared" ref="K642:M645" si="89">K643</f>
        <v>2858.1</v>
      </c>
      <c r="L642" s="32">
        <v>0</v>
      </c>
      <c r="M642" s="32">
        <v>2858.1</v>
      </c>
      <c r="N642" s="171"/>
    </row>
    <row r="643" spans="1:14" s="13" customFormat="1" ht="61.5" customHeight="1" x14ac:dyDescent="0.35">
      <c r="A643" s="17"/>
      <c r="B643" s="30" t="s">
        <v>212</v>
      </c>
      <c r="C643" s="31" t="s">
        <v>279</v>
      </c>
      <c r="D643" s="16" t="s">
        <v>62</v>
      </c>
      <c r="E643" s="16" t="s">
        <v>60</v>
      </c>
      <c r="F643" s="583" t="s">
        <v>47</v>
      </c>
      <c r="G643" s="584" t="s">
        <v>37</v>
      </c>
      <c r="H643" s="584" t="s">
        <v>38</v>
      </c>
      <c r="I643" s="585" t="s">
        <v>39</v>
      </c>
      <c r="J643" s="16"/>
      <c r="K643" s="32">
        <f t="shared" si="89"/>
        <v>2858.1</v>
      </c>
      <c r="L643" s="32">
        <v>0</v>
      </c>
      <c r="M643" s="32">
        <v>2858.1</v>
      </c>
      <c r="N643" s="171"/>
    </row>
    <row r="644" spans="1:14" s="13" customFormat="1" ht="37.5" customHeight="1" x14ac:dyDescent="0.35">
      <c r="A644" s="17"/>
      <c r="B644" s="34" t="s">
        <v>215</v>
      </c>
      <c r="C644" s="31" t="s">
        <v>279</v>
      </c>
      <c r="D644" s="16" t="s">
        <v>62</v>
      </c>
      <c r="E644" s="16" t="s">
        <v>60</v>
      </c>
      <c r="F644" s="583" t="s">
        <v>47</v>
      </c>
      <c r="G644" s="584" t="s">
        <v>84</v>
      </c>
      <c r="H644" s="584" t="s">
        <v>38</v>
      </c>
      <c r="I644" s="585" t="s">
        <v>39</v>
      </c>
      <c r="J644" s="16"/>
      <c r="K644" s="32">
        <f t="shared" si="89"/>
        <v>2858.1</v>
      </c>
      <c r="L644" s="32">
        <v>0</v>
      </c>
      <c r="M644" s="32">
        <v>2858.1</v>
      </c>
      <c r="N644" s="171"/>
    </row>
    <row r="645" spans="1:14" s="13" customFormat="1" ht="37.5" customHeight="1" x14ac:dyDescent="0.35">
      <c r="A645" s="17"/>
      <c r="B645" s="30" t="s">
        <v>270</v>
      </c>
      <c r="C645" s="31" t="s">
        <v>279</v>
      </c>
      <c r="D645" s="16" t="s">
        <v>62</v>
      </c>
      <c r="E645" s="16" t="s">
        <v>60</v>
      </c>
      <c r="F645" s="583" t="s">
        <v>47</v>
      </c>
      <c r="G645" s="584" t="s">
        <v>84</v>
      </c>
      <c r="H645" s="584" t="s">
        <v>32</v>
      </c>
      <c r="I645" s="585" t="s">
        <v>39</v>
      </c>
      <c r="J645" s="16"/>
      <c r="K645" s="32">
        <f t="shared" si="89"/>
        <v>2858.1</v>
      </c>
      <c r="L645" s="32">
        <v>0</v>
      </c>
      <c r="M645" s="32">
        <v>2858.1</v>
      </c>
      <c r="N645" s="171"/>
    </row>
    <row r="646" spans="1:14" s="13" customFormat="1" ht="37.5" customHeight="1" x14ac:dyDescent="0.35">
      <c r="A646" s="17"/>
      <c r="B646" s="30" t="s">
        <v>42</v>
      </c>
      <c r="C646" s="31" t="s">
        <v>279</v>
      </c>
      <c r="D646" s="16" t="s">
        <v>62</v>
      </c>
      <c r="E646" s="16" t="s">
        <v>60</v>
      </c>
      <c r="F646" s="583" t="s">
        <v>47</v>
      </c>
      <c r="G646" s="584" t="s">
        <v>84</v>
      </c>
      <c r="H646" s="584" t="s">
        <v>32</v>
      </c>
      <c r="I646" s="585" t="s">
        <v>43</v>
      </c>
      <c r="J646" s="16"/>
      <c r="K646" s="32">
        <f>K647+K648+K649</f>
        <v>2858.1</v>
      </c>
      <c r="L646" s="32">
        <v>0</v>
      </c>
      <c r="M646" s="32">
        <v>2858.1</v>
      </c>
      <c r="N646" s="171"/>
    </row>
    <row r="647" spans="1:14" s="13" customFormat="1" ht="112.5" customHeight="1" x14ac:dyDescent="0.35">
      <c r="A647" s="17"/>
      <c r="B647" s="30" t="s">
        <v>44</v>
      </c>
      <c r="C647" s="31" t="s">
        <v>279</v>
      </c>
      <c r="D647" s="16" t="s">
        <v>62</v>
      </c>
      <c r="E647" s="16" t="s">
        <v>60</v>
      </c>
      <c r="F647" s="583" t="s">
        <v>47</v>
      </c>
      <c r="G647" s="584" t="s">
        <v>84</v>
      </c>
      <c r="H647" s="584" t="s">
        <v>32</v>
      </c>
      <c r="I647" s="585" t="s">
        <v>43</v>
      </c>
      <c r="J647" s="16" t="s">
        <v>45</v>
      </c>
      <c r="K647" s="32">
        <f>2371.8+427.1</f>
        <v>2798.9</v>
      </c>
      <c r="L647" s="32">
        <v>0</v>
      </c>
      <c r="M647" s="32">
        <v>2798.9</v>
      </c>
      <c r="N647" s="171"/>
    </row>
    <row r="648" spans="1:14" s="13" customFormat="1" ht="56.25" customHeight="1" x14ac:dyDescent="0.35">
      <c r="A648" s="17"/>
      <c r="B648" s="30" t="s">
        <v>50</v>
      </c>
      <c r="C648" s="31" t="s">
        <v>279</v>
      </c>
      <c r="D648" s="16" t="s">
        <v>62</v>
      </c>
      <c r="E648" s="16" t="s">
        <v>60</v>
      </c>
      <c r="F648" s="583" t="s">
        <v>47</v>
      </c>
      <c r="G648" s="584" t="s">
        <v>84</v>
      </c>
      <c r="H648" s="584" t="s">
        <v>32</v>
      </c>
      <c r="I648" s="585" t="s">
        <v>43</v>
      </c>
      <c r="J648" s="16" t="s">
        <v>51</v>
      </c>
      <c r="K648" s="32">
        <v>57.2</v>
      </c>
      <c r="L648" s="32">
        <v>0</v>
      </c>
      <c r="M648" s="32">
        <v>57.2</v>
      </c>
      <c r="N648" s="171"/>
    </row>
    <row r="649" spans="1:14" s="13" customFormat="1" ht="18.75" customHeight="1" x14ac:dyDescent="0.35">
      <c r="A649" s="17"/>
      <c r="B649" s="30" t="s">
        <v>52</v>
      </c>
      <c r="C649" s="31" t="s">
        <v>279</v>
      </c>
      <c r="D649" s="16" t="s">
        <v>62</v>
      </c>
      <c r="E649" s="16" t="s">
        <v>60</v>
      </c>
      <c r="F649" s="583" t="s">
        <v>47</v>
      </c>
      <c r="G649" s="584" t="s">
        <v>84</v>
      </c>
      <c r="H649" s="584" t="s">
        <v>32</v>
      </c>
      <c r="I649" s="585" t="s">
        <v>43</v>
      </c>
      <c r="J649" s="16" t="s">
        <v>53</v>
      </c>
      <c r="K649" s="32">
        <v>2</v>
      </c>
      <c r="L649" s="32">
        <v>0</v>
      </c>
      <c r="M649" s="32">
        <v>2</v>
      </c>
      <c r="N649" s="171"/>
    </row>
    <row r="650" spans="1:14" s="13" customFormat="1" ht="18.75" customHeight="1" x14ac:dyDescent="0.35">
      <c r="A650" s="17"/>
      <c r="B650" s="30"/>
      <c r="C650" s="31"/>
      <c r="D650" s="16"/>
      <c r="E650" s="16"/>
      <c r="F650" s="583"/>
      <c r="G650" s="584"/>
      <c r="H650" s="584"/>
      <c r="I650" s="585"/>
      <c r="J650" s="16"/>
      <c r="K650" s="32"/>
      <c r="L650" s="32"/>
      <c r="M650" s="32"/>
      <c r="N650" s="171"/>
    </row>
    <row r="651" spans="1:14" s="123" customFormat="1" ht="56.25" customHeight="1" x14ac:dyDescent="0.3">
      <c r="A651" s="122">
        <v>8</v>
      </c>
      <c r="B651" s="24" t="s">
        <v>9</v>
      </c>
      <c r="C651" s="25" t="s">
        <v>275</v>
      </c>
      <c r="D651" s="26"/>
      <c r="E651" s="26"/>
      <c r="F651" s="27"/>
      <c r="G651" s="28"/>
      <c r="H651" s="28"/>
      <c r="I651" s="29"/>
      <c r="J651" s="26"/>
      <c r="K651" s="46">
        <f>K665+K652</f>
        <v>7545.8</v>
      </c>
      <c r="L651" s="46">
        <v>0</v>
      </c>
      <c r="M651" s="46">
        <v>7545.8</v>
      </c>
    </row>
    <row r="652" spans="1:14" s="123" customFormat="1" ht="18.75" customHeight="1" x14ac:dyDescent="0.35">
      <c r="A652" s="122"/>
      <c r="B652" s="30" t="s">
        <v>31</v>
      </c>
      <c r="C652" s="31" t="s">
        <v>275</v>
      </c>
      <c r="D652" s="16" t="s">
        <v>32</v>
      </c>
      <c r="E652" s="16"/>
      <c r="F652" s="583"/>
      <c r="G652" s="584"/>
      <c r="H652" s="584"/>
      <c r="I652" s="585"/>
      <c r="J652" s="16"/>
      <c r="K652" s="230">
        <f t="shared" ref="K652:M654" si="90">K653</f>
        <v>122.7</v>
      </c>
      <c r="L652" s="230">
        <v>0</v>
      </c>
      <c r="M652" s="230">
        <v>122.7</v>
      </c>
    </row>
    <row r="653" spans="1:14" s="123" customFormat="1" ht="21.75" customHeight="1" x14ac:dyDescent="0.35">
      <c r="A653" s="122"/>
      <c r="B653" s="30" t="s">
        <v>65</v>
      </c>
      <c r="C653" s="31" t="s">
        <v>275</v>
      </c>
      <c r="D653" s="16" t="s">
        <v>32</v>
      </c>
      <c r="E653" s="16" t="s">
        <v>66</v>
      </c>
      <c r="F653" s="583"/>
      <c r="G653" s="584"/>
      <c r="H653" s="584"/>
      <c r="I653" s="585"/>
      <c r="J653" s="16"/>
      <c r="K653" s="230">
        <f t="shared" si="90"/>
        <v>122.7</v>
      </c>
      <c r="L653" s="230">
        <v>0</v>
      </c>
      <c r="M653" s="230">
        <v>122.7</v>
      </c>
    </row>
    <row r="654" spans="1:14" s="123" customFormat="1" ht="56.25" customHeight="1" x14ac:dyDescent="0.35">
      <c r="A654" s="122"/>
      <c r="B654" s="30" t="s">
        <v>216</v>
      </c>
      <c r="C654" s="31" t="s">
        <v>275</v>
      </c>
      <c r="D654" s="16" t="s">
        <v>32</v>
      </c>
      <c r="E654" s="16" t="s">
        <v>66</v>
      </c>
      <c r="F654" s="583" t="s">
        <v>60</v>
      </c>
      <c r="G654" s="584" t="s">
        <v>37</v>
      </c>
      <c r="H654" s="584" t="s">
        <v>38</v>
      </c>
      <c r="I654" s="585" t="s">
        <v>39</v>
      </c>
      <c r="J654" s="16"/>
      <c r="K654" s="230">
        <f t="shared" si="90"/>
        <v>122.7</v>
      </c>
      <c r="L654" s="230">
        <v>0</v>
      </c>
      <c r="M654" s="230">
        <v>122.7</v>
      </c>
    </row>
    <row r="655" spans="1:14" s="123" customFormat="1" ht="33" customHeight="1" x14ac:dyDescent="0.35">
      <c r="A655" s="122"/>
      <c r="B655" s="30" t="s">
        <v>215</v>
      </c>
      <c r="C655" s="31" t="s">
        <v>275</v>
      </c>
      <c r="D655" s="16" t="s">
        <v>32</v>
      </c>
      <c r="E655" s="16" t="s">
        <v>66</v>
      </c>
      <c r="F655" s="583" t="s">
        <v>60</v>
      </c>
      <c r="G655" s="584" t="s">
        <v>84</v>
      </c>
      <c r="H655" s="584" t="s">
        <v>38</v>
      </c>
      <c r="I655" s="585" t="s">
        <v>39</v>
      </c>
      <c r="J655" s="16"/>
      <c r="K655" s="230">
        <f>K656+K659+K662</f>
        <v>122.7</v>
      </c>
      <c r="L655" s="230">
        <v>0</v>
      </c>
      <c r="M655" s="230">
        <v>122.7</v>
      </c>
    </row>
    <row r="656" spans="1:14" s="123" customFormat="1" ht="44.25" customHeight="1" x14ac:dyDescent="0.35">
      <c r="A656" s="122"/>
      <c r="B656" s="265" t="s">
        <v>340</v>
      </c>
      <c r="C656" s="31" t="s">
        <v>275</v>
      </c>
      <c r="D656" s="16" t="s">
        <v>32</v>
      </c>
      <c r="E656" s="16" t="s">
        <v>66</v>
      </c>
      <c r="F656" s="583" t="s">
        <v>60</v>
      </c>
      <c r="G656" s="584" t="s">
        <v>84</v>
      </c>
      <c r="H656" s="584" t="s">
        <v>34</v>
      </c>
      <c r="I656" s="585" t="s">
        <v>39</v>
      </c>
      <c r="J656" s="16"/>
      <c r="K656" s="230">
        <f t="shared" ref="K656:M657" si="91">K657</f>
        <v>65.400000000000006</v>
      </c>
      <c r="L656" s="230">
        <v>0</v>
      </c>
      <c r="M656" s="230">
        <v>65.400000000000006</v>
      </c>
    </row>
    <row r="657" spans="1:13" s="123" customFormat="1" ht="56.25" customHeight="1" x14ac:dyDescent="0.35">
      <c r="A657" s="122"/>
      <c r="B657" s="265" t="s">
        <v>341</v>
      </c>
      <c r="C657" s="31" t="s">
        <v>275</v>
      </c>
      <c r="D657" s="16" t="s">
        <v>32</v>
      </c>
      <c r="E657" s="16" t="s">
        <v>66</v>
      </c>
      <c r="F657" s="583" t="s">
        <v>60</v>
      </c>
      <c r="G657" s="584" t="s">
        <v>84</v>
      </c>
      <c r="H657" s="584" t="s">
        <v>34</v>
      </c>
      <c r="I657" s="585" t="s">
        <v>100</v>
      </c>
      <c r="J657" s="16"/>
      <c r="K657" s="230">
        <f t="shared" si="91"/>
        <v>65.400000000000006</v>
      </c>
      <c r="L657" s="230">
        <v>0</v>
      </c>
      <c r="M657" s="230">
        <v>65.400000000000006</v>
      </c>
    </row>
    <row r="658" spans="1:13" s="123" customFormat="1" ht="56.25" customHeight="1" x14ac:dyDescent="0.35">
      <c r="A658" s="122"/>
      <c r="B658" s="265" t="s">
        <v>50</v>
      </c>
      <c r="C658" s="31" t="s">
        <v>275</v>
      </c>
      <c r="D658" s="16" t="s">
        <v>32</v>
      </c>
      <c r="E658" s="16" t="s">
        <v>66</v>
      </c>
      <c r="F658" s="583" t="s">
        <v>60</v>
      </c>
      <c r="G658" s="584" t="s">
        <v>84</v>
      </c>
      <c r="H658" s="584" t="s">
        <v>34</v>
      </c>
      <c r="I658" s="585" t="s">
        <v>100</v>
      </c>
      <c r="J658" s="16" t="s">
        <v>51</v>
      </c>
      <c r="K658" s="230">
        <v>65.400000000000006</v>
      </c>
      <c r="L658" s="32">
        <v>0</v>
      </c>
      <c r="M658" s="230">
        <v>65.400000000000006</v>
      </c>
    </row>
    <row r="659" spans="1:13" s="123" customFormat="1" ht="42" customHeight="1" x14ac:dyDescent="0.35">
      <c r="A659" s="122"/>
      <c r="B659" s="30" t="s">
        <v>441</v>
      </c>
      <c r="C659" s="31" t="s">
        <v>275</v>
      </c>
      <c r="D659" s="16" t="s">
        <v>32</v>
      </c>
      <c r="E659" s="16" t="s">
        <v>66</v>
      </c>
      <c r="F659" s="583" t="s">
        <v>60</v>
      </c>
      <c r="G659" s="584" t="s">
        <v>84</v>
      </c>
      <c r="H659" s="584" t="s">
        <v>58</v>
      </c>
      <c r="I659" s="585" t="s">
        <v>39</v>
      </c>
      <c r="J659" s="16"/>
      <c r="K659" s="230">
        <f t="shared" ref="K659:M660" si="92">K660</f>
        <v>14.8</v>
      </c>
      <c r="L659" s="230">
        <v>0</v>
      </c>
      <c r="M659" s="230">
        <v>14.8</v>
      </c>
    </row>
    <row r="660" spans="1:13" s="123" customFormat="1" ht="21" customHeight="1" x14ac:dyDescent="0.35">
      <c r="A660" s="122"/>
      <c r="B660" s="30" t="s">
        <v>439</v>
      </c>
      <c r="C660" s="31" t="s">
        <v>275</v>
      </c>
      <c r="D660" s="16" t="s">
        <v>32</v>
      </c>
      <c r="E660" s="16" t="s">
        <v>66</v>
      </c>
      <c r="F660" s="583" t="s">
        <v>60</v>
      </c>
      <c r="G660" s="584" t="s">
        <v>84</v>
      </c>
      <c r="H660" s="584" t="s">
        <v>58</v>
      </c>
      <c r="I660" s="585" t="s">
        <v>440</v>
      </c>
      <c r="J660" s="16"/>
      <c r="K660" s="230">
        <f t="shared" si="92"/>
        <v>14.8</v>
      </c>
      <c r="L660" s="230">
        <v>0</v>
      </c>
      <c r="M660" s="230">
        <v>14.8</v>
      </c>
    </row>
    <row r="661" spans="1:13" s="123" customFormat="1" ht="56.25" customHeight="1" x14ac:dyDescent="0.35">
      <c r="A661" s="122"/>
      <c r="B661" s="265" t="s">
        <v>50</v>
      </c>
      <c r="C661" s="31" t="s">
        <v>275</v>
      </c>
      <c r="D661" s="16" t="s">
        <v>32</v>
      </c>
      <c r="E661" s="16" t="s">
        <v>66</v>
      </c>
      <c r="F661" s="583" t="s">
        <v>60</v>
      </c>
      <c r="G661" s="584" t="s">
        <v>84</v>
      </c>
      <c r="H661" s="584" t="s">
        <v>58</v>
      </c>
      <c r="I661" s="585" t="s">
        <v>440</v>
      </c>
      <c r="J661" s="41" t="s">
        <v>51</v>
      </c>
      <c r="K661" s="230">
        <v>14.8</v>
      </c>
      <c r="L661" s="32">
        <v>0</v>
      </c>
      <c r="M661" s="230">
        <v>14.8</v>
      </c>
    </row>
    <row r="662" spans="1:13" s="123" customFormat="1" ht="41.25" customHeight="1" x14ac:dyDescent="0.35">
      <c r="A662" s="122"/>
      <c r="B662" s="265" t="s">
        <v>445</v>
      </c>
      <c r="C662" s="31" t="s">
        <v>275</v>
      </c>
      <c r="D662" s="16" t="s">
        <v>32</v>
      </c>
      <c r="E662" s="16" t="s">
        <v>66</v>
      </c>
      <c r="F662" s="583" t="s">
        <v>60</v>
      </c>
      <c r="G662" s="584" t="s">
        <v>84</v>
      </c>
      <c r="H662" s="584" t="s">
        <v>47</v>
      </c>
      <c r="I662" s="585" t="s">
        <v>39</v>
      </c>
      <c r="J662" s="26"/>
      <c r="K662" s="230">
        <f t="shared" ref="K662:M663" si="93">K663</f>
        <v>42.5</v>
      </c>
      <c r="L662" s="230">
        <v>0</v>
      </c>
      <c r="M662" s="230">
        <v>42.5</v>
      </c>
    </row>
    <row r="663" spans="1:13" s="123" customFormat="1" ht="38.25" customHeight="1" x14ac:dyDescent="0.35">
      <c r="A663" s="122"/>
      <c r="B663" s="239" t="s">
        <v>122</v>
      </c>
      <c r="C663" s="31" t="s">
        <v>275</v>
      </c>
      <c r="D663" s="16" t="s">
        <v>32</v>
      </c>
      <c r="E663" s="16" t="s">
        <v>66</v>
      </c>
      <c r="F663" s="583" t="s">
        <v>60</v>
      </c>
      <c r="G663" s="584" t="s">
        <v>84</v>
      </c>
      <c r="H663" s="584" t="s">
        <v>47</v>
      </c>
      <c r="I663" s="585" t="s">
        <v>85</v>
      </c>
      <c r="J663" s="26"/>
      <c r="K663" s="230">
        <f t="shared" si="93"/>
        <v>42.5</v>
      </c>
      <c r="L663" s="230">
        <v>0</v>
      </c>
      <c r="M663" s="230">
        <v>42.5</v>
      </c>
    </row>
    <row r="664" spans="1:13" s="123" customFormat="1" ht="56.25" customHeight="1" x14ac:dyDescent="0.35">
      <c r="A664" s="122"/>
      <c r="B664" s="265" t="s">
        <v>50</v>
      </c>
      <c r="C664" s="31" t="s">
        <v>275</v>
      </c>
      <c r="D664" s="16" t="s">
        <v>32</v>
      </c>
      <c r="E664" s="16" t="s">
        <v>66</v>
      </c>
      <c r="F664" s="583" t="s">
        <v>60</v>
      </c>
      <c r="G664" s="584" t="s">
        <v>84</v>
      </c>
      <c r="H664" s="584" t="s">
        <v>47</v>
      </c>
      <c r="I664" s="585" t="s">
        <v>85</v>
      </c>
      <c r="J664" s="41" t="s">
        <v>51</v>
      </c>
      <c r="K664" s="230">
        <v>42.5</v>
      </c>
      <c r="L664" s="32">
        <v>0</v>
      </c>
      <c r="M664" s="230">
        <v>42.5</v>
      </c>
    </row>
    <row r="665" spans="1:13" s="13" customFormat="1" ht="18.75" customHeight="1" x14ac:dyDescent="0.35">
      <c r="A665" s="122"/>
      <c r="B665" s="30" t="s">
        <v>174</v>
      </c>
      <c r="C665" s="31" t="s">
        <v>275</v>
      </c>
      <c r="D665" s="16" t="s">
        <v>219</v>
      </c>
      <c r="E665" s="16"/>
      <c r="F665" s="583"/>
      <c r="G665" s="584"/>
      <c r="H665" s="584"/>
      <c r="I665" s="585"/>
      <c r="J665" s="16"/>
      <c r="K665" s="32">
        <f>K666+K676</f>
        <v>7423.1</v>
      </c>
      <c r="L665" s="32">
        <v>0</v>
      </c>
      <c r="M665" s="32">
        <v>7423.1</v>
      </c>
    </row>
    <row r="666" spans="1:13" s="123" customFormat="1" ht="18.75" customHeight="1" x14ac:dyDescent="0.35">
      <c r="A666" s="122"/>
      <c r="B666" s="30" t="s">
        <v>339</v>
      </c>
      <c r="C666" s="31" t="s">
        <v>275</v>
      </c>
      <c r="D666" s="16" t="s">
        <v>219</v>
      </c>
      <c r="E666" s="16" t="s">
        <v>219</v>
      </c>
      <c r="F666" s="583"/>
      <c r="G666" s="584"/>
      <c r="H666" s="584"/>
      <c r="I666" s="585"/>
      <c r="J666" s="16"/>
      <c r="K666" s="32">
        <f t="shared" ref="K666:M668" si="94">K667</f>
        <v>4026.5</v>
      </c>
      <c r="L666" s="32">
        <v>0</v>
      </c>
      <c r="M666" s="32">
        <v>4026.5</v>
      </c>
    </row>
    <row r="667" spans="1:13" s="123" customFormat="1" ht="56.25" customHeight="1" x14ac:dyDescent="0.35">
      <c r="A667" s="122"/>
      <c r="B667" s="30" t="s">
        <v>216</v>
      </c>
      <c r="C667" s="31" t="s">
        <v>275</v>
      </c>
      <c r="D667" s="16" t="s">
        <v>219</v>
      </c>
      <c r="E667" s="16" t="s">
        <v>219</v>
      </c>
      <c r="F667" s="583" t="s">
        <v>60</v>
      </c>
      <c r="G667" s="584" t="s">
        <v>37</v>
      </c>
      <c r="H667" s="584" t="s">
        <v>38</v>
      </c>
      <c r="I667" s="585" t="s">
        <v>39</v>
      </c>
      <c r="J667" s="16"/>
      <c r="K667" s="32">
        <f t="shared" si="94"/>
        <v>4026.5</v>
      </c>
      <c r="L667" s="32">
        <v>0</v>
      </c>
      <c r="M667" s="32">
        <v>4026.5</v>
      </c>
    </row>
    <row r="668" spans="1:13" s="123" customFormat="1" ht="18.75" customHeight="1" x14ac:dyDescent="0.35">
      <c r="A668" s="122"/>
      <c r="B668" s="30" t="s">
        <v>217</v>
      </c>
      <c r="C668" s="31" t="s">
        <v>275</v>
      </c>
      <c r="D668" s="16" t="s">
        <v>219</v>
      </c>
      <c r="E668" s="16" t="s">
        <v>219</v>
      </c>
      <c r="F668" s="583" t="s">
        <v>60</v>
      </c>
      <c r="G668" s="584" t="s">
        <v>40</v>
      </c>
      <c r="H668" s="584" t="s">
        <v>38</v>
      </c>
      <c r="I668" s="585" t="s">
        <v>39</v>
      </c>
      <c r="J668" s="16"/>
      <c r="K668" s="32">
        <f t="shared" si="94"/>
        <v>4026.5</v>
      </c>
      <c r="L668" s="32">
        <v>0</v>
      </c>
      <c r="M668" s="32">
        <v>4026.5</v>
      </c>
    </row>
    <row r="669" spans="1:13" s="123" customFormat="1" ht="76.5" customHeight="1" x14ac:dyDescent="0.35">
      <c r="A669" s="122"/>
      <c r="B669" s="30" t="s">
        <v>276</v>
      </c>
      <c r="C669" s="31" t="s">
        <v>275</v>
      </c>
      <c r="D669" s="16" t="s">
        <v>219</v>
      </c>
      <c r="E669" s="16" t="s">
        <v>219</v>
      </c>
      <c r="F669" s="583" t="s">
        <v>60</v>
      </c>
      <c r="G669" s="584" t="s">
        <v>40</v>
      </c>
      <c r="H669" s="584" t="s">
        <v>32</v>
      </c>
      <c r="I669" s="585" t="s">
        <v>39</v>
      </c>
      <c r="J669" s="16"/>
      <c r="K669" s="32">
        <f>K670+K674</f>
        <v>4026.5</v>
      </c>
      <c r="L669" s="32">
        <v>0</v>
      </c>
      <c r="M669" s="32">
        <v>4026.5</v>
      </c>
    </row>
    <row r="670" spans="1:13" s="123" customFormat="1" ht="38.25" customHeight="1" x14ac:dyDescent="0.35">
      <c r="A670" s="122"/>
      <c r="B670" s="33" t="s">
        <v>437</v>
      </c>
      <c r="C670" s="31" t="s">
        <v>275</v>
      </c>
      <c r="D670" s="16" t="s">
        <v>219</v>
      </c>
      <c r="E670" s="16" t="s">
        <v>219</v>
      </c>
      <c r="F670" s="583" t="s">
        <v>60</v>
      </c>
      <c r="G670" s="584" t="s">
        <v>40</v>
      </c>
      <c r="H670" s="584" t="s">
        <v>32</v>
      </c>
      <c r="I670" s="585" t="s">
        <v>86</v>
      </c>
      <c r="J670" s="16"/>
      <c r="K670" s="32">
        <f>K671+K672+K673</f>
        <v>3591.2</v>
      </c>
      <c r="L670" s="32">
        <v>0</v>
      </c>
      <c r="M670" s="32">
        <v>3591.2</v>
      </c>
    </row>
    <row r="671" spans="1:13" s="123" customFormat="1" ht="112.5" customHeight="1" x14ac:dyDescent="0.35">
      <c r="A671" s="17"/>
      <c r="B671" s="30" t="s">
        <v>44</v>
      </c>
      <c r="C671" s="31" t="s">
        <v>275</v>
      </c>
      <c r="D671" s="16" t="s">
        <v>219</v>
      </c>
      <c r="E671" s="16" t="s">
        <v>219</v>
      </c>
      <c r="F671" s="583" t="s">
        <v>60</v>
      </c>
      <c r="G671" s="584" t="s">
        <v>40</v>
      </c>
      <c r="H671" s="584" t="s">
        <v>32</v>
      </c>
      <c r="I671" s="585" t="s">
        <v>86</v>
      </c>
      <c r="J671" s="16" t="s">
        <v>45</v>
      </c>
      <c r="K671" s="32">
        <v>3276.8</v>
      </c>
      <c r="L671" s="32">
        <v>0</v>
      </c>
      <c r="M671" s="32">
        <v>3276.8</v>
      </c>
    </row>
    <row r="672" spans="1:13" s="13" customFormat="1" ht="53.25" customHeight="1" x14ac:dyDescent="0.35">
      <c r="A672" s="17"/>
      <c r="B672" s="30" t="s">
        <v>50</v>
      </c>
      <c r="C672" s="31" t="s">
        <v>275</v>
      </c>
      <c r="D672" s="16" t="s">
        <v>219</v>
      </c>
      <c r="E672" s="16" t="s">
        <v>219</v>
      </c>
      <c r="F672" s="583" t="s">
        <v>60</v>
      </c>
      <c r="G672" s="584" t="s">
        <v>40</v>
      </c>
      <c r="H672" s="584" t="s">
        <v>32</v>
      </c>
      <c r="I672" s="585" t="s">
        <v>86</v>
      </c>
      <c r="J672" s="16" t="s">
        <v>51</v>
      </c>
      <c r="K672" s="32">
        <v>311.7</v>
      </c>
      <c r="L672" s="32">
        <v>0</v>
      </c>
      <c r="M672" s="32">
        <v>311.7</v>
      </c>
    </row>
    <row r="673" spans="1:14" s="13" customFormat="1" ht="18.75" customHeight="1" x14ac:dyDescent="0.35">
      <c r="A673" s="17"/>
      <c r="B673" s="30" t="s">
        <v>52</v>
      </c>
      <c r="C673" s="31" t="s">
        <v>275</v>
      </c>
      <c r="D673" s="16" t="s">
        <v>219</v>
      </c>
      <c r="E673" s="16" t="s">
        <v>219</v>
      </c>
      <c r="F673" s="583" t="s">
        <v>60</v>
      </c>
      <c r="G673" s="584" t="s">
        <v>40</v>
      </c>
      <c r="H673" s="584" t="s">
        <v>32</v>
      </c>
      <c r="I673" s="585" t="s">
        <v>86</v>
      </c>
      <c r="J673" s="16" t="s">
        <v>53</v>
      </c>
      <c r="K673" s="32">
        <v>2.7</v>
      </c>
      <c r="L673" s="32">
        <v>0</v>
      </c>
      <c r="M673" s="32">
        <v>2.7</v>
      </c>
    </row>
    <row r="674" spans="1:14" s="13" customFormat="1" ht="34.5" customHeight="1" x14ac:dyDescent="0.35">
      <c r="A674" s="17"/>
      <c r="B674" s="30" t="s">
        <v>277</v>
      </c>
      <c r="C674" s="31" t="s">
        <v>275</v>
      </c>
      <c r="D674" s="16" t="s">
        <v>219</v>
      </c>
      <c r="E674" s="16" t="s">
        <v>219</v>
      </c>
      <c r="F674" s="583" t="s">
        <v>60</v>
      </c>
      <c r="G674" s="584" t="s">
        <v>40</v>
      </c>
      <c r="H674" s="584" t="s">
        <v>32</v>
      </c>
      <c r="I674" s="585" t="s">
        <v>278</v>
      </c>
      <c r="J674" s="16"/>
      <c r="K674" s="32">
        <f>K675</f>
        <v>435.3</v>
      </c>
      <c r="L674" s="32">
        <v>0</v>
      </c>
      <c r="M674" s="32">
        <v>435.3</v>
      </c>
    </row>
    <row r="675" spans="1:14" s="13" customFormat="1" ht="56.25" customHeight="1" x14ac:dyDescent="0.35">
      <c r="A675" s="17"/>
      <c r="B675" s="30" t="s">
        <v>50</v>
      </c>
      <c r="C675" s="31" t="s">
        <v>275</v>
      </c>
      <c r="D675" s="16" t="s">
        <v>219</v>
      </c>
      <c r="E675" s="16" t="s">
        <v>219</v>
      </c>
      <c r="F675" s="583" t="s">
        <v>60</v>
      </c>
      <c r="G675" s="584" t="s">
        <v>40</v>
      </c>
      <c r="H675" s="584" t="s">
        <v>32</v>
      </c>
      <c r="I675" s="585" t="s">
        <v>278</v>
      </c>
      <c r="J675" s="16" t="s">
        <v>51</v>
      </c>
      <c r="K675" s="32">
        <v>435.3</v>
      </c>
      <c r="L675" s="32">
        <v>0</v>
      </c>
      <c r="M675" s="32">
        <v>435.3</v>
      </c>
    </row>
    <row r="676" spans="1:14" s="13" customFormat="1" ht="18.75" customHeight="1" x14ac:dyDescent="0.35">
      <c r="A676" s="17"/>
      <c r="B676" s="30" t="s">
        <v>181</v>
      </c>
      <c r="C676" s="161" t="s">
        <v>275</v>
      </c>
      <c r="D676" s="16" t="s">
        <v>219</v>
      </c>
      <c r="E676" s="16" t="s">
        <v>74</v>
      </c>
      <c r="F676" s="583"/>
      <c r="G676" s="584"/>
      <c r="H676" s="584"/>
      <c r="I676" s="585"/>
      <c r="J676" s="16"/>
      <c r="K676" s="32">
        <f t="shared" ref="K676:M678" si="95">K677</f>
        <v>3396.6000000000004</v>
      </c>
      <c r="L676" s="32">
        <v>0</v>
      </c>
      <c r="M676" s="32">
        <v>3396.6000000000004</v>
      </c>
      <c r="N676" s="171"/>
    </row>
    <row r="677" spans="1:14" s="13" customFormat="1" ht="56.25" customHeight="1" x14ac:dyDescent="0.35">
      <c r="A677" s="17"/>
      <c r="B677" s="30" t="s">
        <v>216</v>
      </c>
      <c r="C677" s="161" t="s">
        <v>275</v>
      </c>
      <c r="D677" s="16" t="s">
        <v>219</v>
      </c>
      <c r="E677" s="16" t="s">
        <v>74</v>
      </c>
      <c r="F677" s="583" t="s">
        <v>60</v>
      </c>
      <c r="G677" s="584" t="s">
        <v>37</v>
      </c>
      <c r="H677" s="584" t="s">
        <v>38</v>
      </c>
      <c r="I677" s="585" t="s">
        <v>39</v>
      </c>
      <c r="J677" s="16"/>
      <c r="K677" s="32">
        <f t="shared" si="95"/>
        <v>3396.6000000000004</v>
      </c>
      <c r="L677" s="32">
        <v>0</v>
      </c>
      <c r="M677" s="32">
        <v>3396.6000000000004</v>
      </c>
      <c r="N677" s="171"/>
    </row>
    <row r="678" spans="1:14" s="13" customFormat="1" ht="37.5" customHeight="1" x14ac:dyDescent="0.35">
      <c r="A678" s="17"/>
      <c r="B678" s="30" t="s">
        <v>215</v>
      </c>
      <c r="C678" s="31" t="s">
        <v>275</v>
      </c>
      <c r="D678" s="16" t="s">
        <v>219</v>
      </c>
      <c r="E678" s="16" t="s">
        <v>74</v>
      </c>
      <c r="F678" s="583" t="s">
        <v>60</v>
      </c>
      <c r="G678" s="584" t="s">
        <v>84</v>
      </c>
      <c r="H678" s="584" t="s">
        <v>38</v>
      </c>
      <c r="I678" s="585" t="s">
        <v>39</v>
      </c>
      <c r="J678" s="16"/>
      <c r="K678" s="32">
        <f t="shared" si="95"/>
        <v>3396.6000000000004</v>
      </c>
      <c r="L678" s="32">
        <v>0</v>
      </c>
      <c r="M678" s="32">
        <v>3396.6000000000004</v>
      </c>
    </row>
    <row r="679" spans="1:14" s="123" customFormat="1" ht="37.5" customHeight="1" x14ac:dyDescent="0.35">
      <c r="A679" s="17"/>
      <c r="B679" s="30" t="s">
        <v>270</v>
      </c>
      <c r="C679" s="31" t="s">
        <v>275</v>
      </c>
      <c r="D679" s="16" t="s">
        <v>219</v>
      </c>
      <c r="E679" s="16" t="s">
        <v>74</v>
      </c>
      <c r="F679" s="583" t="s">
        <v>60</v>
      </c>
      <c r="G679" s="584" t="s">
        <v>84</v>
      </c>
      <c r="H679" s="584" t="s">
        <v>32</v>
      </c>
      <c r="I679" s="585" t="s">
        <v>39</v>
      </c>
      <c r="J679" s="16"/>
      <c r="K679" s="32">
        <f>K680</f>
        <v>3396.6000000000004</v>
      </c>
      <c r="L679" s="32">
        <v>0</v>
      </c>
      <c r="M679" s="32">
        <v>3396.6000000000004</v>
      </c>
    </row>
    <row r="680" spans="1:14" s="13" customFormat="1" ht="37.5" customHeight="1" x14ac:dyDescent="0.35">
      <c r="A680" s="17"/>
      <c r="B680" s="30" t="s">
        <v>42</v>
      </c>
      <c r="C680" s="31" t="s">
        <v>275</v>
      </c>
      <c r="D680" s="16" t="s">
        <v>219</v>
      </c>
      <c r="E680" s="16" t="s">
        <v>74</v>
      </c>
      <c r="F680" s="583" t="s">
        <v>60</v>
      </c>
      <c r="G680" s="584" t="s">
        <v>84</v>
      </c>
      <c r="H680" s="584" t="s">
        <v>32</v>
      </c>
      <c r="I680" s="585" t="s">
        <v>43</v>
      </c>
      <c r="J680" s="16"/>
      <c r="K680" s="32">
        <f>K681+K682+K683</f>
        <v>3396.6000000000004</v>
      </c>
      <c r="L680" s="32">
        <v>0</v>
      </c>
      <c r="M680" s="32">
        <v>3396.6000000000004</v>
      </c>
    </row>
    <row r="681" spans="1:14" s="13" customFormat="1" ht="112.5" customHeight="1" x14ac:dyDescent="0.35">
      <c r="A681" s="17"/>
      <c r="B681" s="30" t="s">
        <v>44</v>
      </c>
      <c r="C681" s="31" t="s">
        <v>275</v>
      </c>
      <c r="D681" s="16" t="s">
        <v>219</v>
      </c>
      <c r="E681" s="16" t="s">
        <v>74</v>
      </c>
      <c r="F681" s="583" t="s">
        <v>60</v>
      </c>
      <c r="G681" s="584" t="s">
        <v>84</v>
      </c>
      <c r="H681" s="584" t="s">
        <v>32</v>
      </c>
      <c r="I681" s="585" t="s">
        <v>43</v>
      </c>
      <c r="J681" s="16" t="s">
        <v>45</v>
      </c>
      <c r="K681" s="32">
        <f>2656.5+389</f>
        <v>3045.5</v>
      </c>
      <c r="L681" s="32">
        <v>0</v>
      </c>
      <c r="M681" s="32">
        <v>3045.5</v>
      </c>
      <c r="N681" s="171"/>
    </row>
    <row r="682" spans="1:14" s="13" customFormat="1" ht="56.25" customHeight="1" x14ac:dyDescent="0.35">
      <c r="A682" s="17"/>
      <c r="B682" s="30" t="s">
        <v>50</v>
      </c>
      <c r="C682" s="161" t="s">
        <v>275</v>
      </c>
      <c r="D682" s="99" t="s">
        <v>219</v>
      </c>
      <c r="E682" s="99" t="s">
        <v>74</v>
      </c>
      <c r="F682" s="583" t="s">
        <v>60</v>
      </c>
      <c r="G682" s="584" t="s">
        <v>84</v>
      </c>
      <c r="H682" s="584" t="s">
        <v>32</v>
      </c>
      <c r="I682" s="585" t="s">
        <v>43</v>
      </c>
      <c r="J682" s="16" t="s">
        <v>51</v>
      </c>
      <c r="K682" s="32">
        <v>349.8</v>
      </c>
      <c r="L682" s="32">
        <v>0</v>
      </c>
      <c r="M682" s="32">
        <v>349.8</v>
      </c>
    </row>
    <row r="683" spans="1:14" s="13" customFormat="1" ht="18.75" customHeight="1" x14ac:dyDescent="0.35">
      <c r="A683" s="17"/>
      <c r="B683" s="30" t="s">
        <v>52</v>
      </c>
      <c r="C683" s="161" t="s">
        <v>275</v>
      </c>
      <c r="D683" s="99" t="s">
        <v>219</v>
      </c>
      <c r="E683" s="99" t="s">
        <v>74</v>
      </c>
      <c r="F683" s="583" t="s">
        <v>60</v>
      </c>
      <c r="G683" s="584" t="s">
        <v>84</v>
      </c>
      <c r="H683" s="584" t="s">
        <v>32</v>
      </c>
      <c r="I683" s="585" t="s">
        <v>43</v>
      </c>
      <c r="J683" s="16" t="s">
        <v>53</v>
      </c>
      <c r="K683" s="32">
        <v>1.3</v>
      </c>
      <c r="L683" s="32">
        <v>0</v>
      </c>
      <c r="M683" s="32">
        <v>1.3</v>
      </c>
      <c r="N683" s="171"/>
    </row>
    <row r="684" spans="1:14" s="13" customFormat="1" ht="14.25" customHeight="1" x14ac:dyDescent="0.35">
      <c r="A684" s="17"/>
      <c r="B684" s="30"/>
      <c r="C684" s="161"/>
      <c r="D684" s="99"/>
      <c r="E684" s="99"/>
      <c r="F684" s="583"/>
      <c r="G684" s="584"/>
      <c r="H684" s="584"/>
      <c r="I684" s="585"/>
      <c r="J684" s="16"/>
      <c r="K684" s="32"/>
      <c r="L684" s="32"/>
      <c r="M684" s="32"/>
      <c r="N684" s="171"/>
    </row>
    <row r="685" spans="1:14" s="123" customFormat="1" ht="54" customHeight="1" x14ac:dyDescent="0.3">
      <c r="A685" s="122">
        <v>9</v>
      </c>
      <c r="B685" s="24" t="s">
        <v>10</v>
      </c>
      <c r="C685" s="25" t="s">
        <v>283</v>
      </c>
      <c r="D685" s="26"/>
      <c r="E685" s="26"/>
      <c r="F685" s="27"/>
      <c r="G685" s="28"/>
      <c r="H685" s="28"/>
      <c r="I685" s="29"/>
      <c r="J685" s="26"/>
      <c r="K685" s="46">
        <f>K686</f>
        <v>72979.5</v>
      </c>
      <c r="L685" s="46">
        <v>0</v>
      </c>
      <c r="M685" s="46">
        <v>72979.5</v>
      </c>
    </row>
    <row r="686" spans="1:14" s="13" customFormat="1" ht="18.75" customHeight="1" x14ac:dyDescent="0.35">
      <c r="A686" s="17"/>
      <c r="B686" s="36" t="s">
        <v>114</v>
      </c>
      <c r="C686" s="31" t="s">
        <v>283</v>
      </c>
      <c r="D686" s="16" t="s">
        <v>99</v>
      </c>
      <c r="E686" s="16"/>
      <c r="F686" s="583"/>
      <c r="G686" s="584"/>
      <c r="H686" s="584"/>
      <c r="I686" s="585"/>
      <c r="J686" s="16"/>
      <c r="K686" s="32">
        <f>K687+K703</f>
        <v>72979.5</v>
      </c>
      <c r="L686" s="32">
        <v>0</v>
      </c>
      <c r="M686" s="32">
        <v>72979.5</v>
      </c>
    </row>
    <row r="687" spans="1:14" s="13" customFormat="1" ht="18.75" customHeight="1" x14ac:dyDescent="0.35">
      <c r="A687" s="17"/>
      <c r="B687" s="30" t="s">
        <v>188</v>
      </c>
      <c r="C687" s="31" t="s">
        <v>283</v>
      </c>
      <c r="D687" s="16" t="s">
        <v>99</v>
      </c>
      <c r="E687" s="16" t="s">
        <v>47</v>
      </c>
      <c r="F687" s="583"/>
      <c r="G687" s="584"/>
      <c r="H687" s="584"/>
      <c r="I687" s="585"/>
      <c r="J687" s="16"/>
      <c r="K687" s="32">
        <f t="shared" ref="K687:M688" si="96">K688</f>
        <v>65283.799999999996</v>
      </c>
      <c r="L687" s="32">
        <v>0</v>
      </c>
      <c r="M687" s="32">
        <v>65283.799999999996</v>
      </c>
    </row>
    <row r="688" spans="1:14" s="13" customFormat="1" ht="56.25" customHeight="1" x14ac:dyDescent="0.35">
      <c r="A688" s="17"/>
      <c r="B688" s="34" t="s">
        <v>225</v>
      </c>
      <c r="C688" s="31" t="s">
        <v>283</v>
      </c>
      <c r="D688" s="16" t="s">
        <v>99</v>
      </c>
      <c r="E688" s="16" t="s">
        <v>47</v>
      </c>
      <c r="F688" s="583" t="s">
        <v>74</v>
      </c>
      <c r="G688" s="584" t="s">
        <v>37</v>
      </c>
      <c r="H688" s="584" t="s">
        <v>38</v>
      </c>
      <c r="I688" s="585" t="s">
        <v>39</v>
      </c>
      <c r="J688" s="16"/>
      <c r="K688" s="32">
        <f t="shared" si="96"/>
        <v>65283.799999999996</v>
      </c>
      <c r="L688" s="32">
        <v>0</v>
      </c>
      <c r="M688" s="32">
        <v>65283.799999999996</v>
      </c>
    </row>
    <row r="689" spans="1:13" s="13" customFormat="1" ht="37.5" customHeight="1" x14ac:dyDescent="0.35">
      <c r="A689" s="17"/>
      <c r="B689" s="30" t="s">
        <v>328</v>
      </c>
      <c r="C689" s="31" t="s">
        <v>283</v>
      </c>
      <c r="D689" s="16" t="s">
        <v>99</v>
      </c>
      <c r="E689" s="16" t="s">
        <v>47</v>
      </c>
      <c r="F689" s="583" t="s">
        <v>74</v>
      </c>
      <c r="G689" s="584" t="s">
        <v>40</v>
      </c>
      <c r="H689" s="584" t="s">
        <v>38</v>
      </c>
      <c r="I689" s="585" t="s">
        <v>39</v>
      </c>
      <c r="J689" s="16"/>
      <c r="K689" s="32">
        <f>K690</f>
        <v>65283.799999999996</v>
      </c>
      <c r="L689" s="32">
        <v>0</v>
      </c>
      <c r="M689" s="32">
        <v>65283.799999999996</v>
      </c>
    </row>
    <row r="690" spans="1:13" s="123" customFormat="1" ht="37.5" customHeight="1" x14ac:dyDescent="0.35">
      <c r="A690" s="17"/>
      <c r="B690" s="30" t="s">
        <v>273</v>
      </c>
      <c r="C690" s="31" t="s">
        <v>283</v>
      </c>
      <c r="D690" s="16" t="s">
        <v>99</v>
      </c>
      <c r="E690" s="16" t="s">
        <v>47</v>
      </c>
      <c r="F690" s="583" t="s">
        <v>74</v>
      </c>
      <c r="G690" s="584" t="s">
        <v>40</v>
      </c>
      <c r="H690" s="584" t="s">
        <v>32</v>
      </c>
      <c r="I690" s="585" t="s">
        <v>39</v>
      </c>
      <c r="J690" s="16"/>
      <c r="K690" s="32">
        <f>K691+K694+K697+K700</f>
        <v>65283.799999999996</v>
      </c>
      <c r="L690" s="32">
        <v>0</v>
      </c>
      <c r="M690" s="32">
        <v>65283.799999999996</v>
      </c>
    </row>
    <row r="691" spans="1:13" s="123" customFormat="1" ht="150.75" customHeight="1" x14ac:dyDescent="0.35">
      <c r="A691" s="17"/>
      <c r="B691" s="555" t="s">
        <v>346</v>
      </c>
      <c r="C691" s="31" t="s">
        <v>283</v>
      </c>
      <c r="D691" s="16" t="s">
        <v>99</v>
      </c>
      <c r="E691" s="16" t="s">
        <v>47</v>
      </c>
      <c r="F691" s="583" t="s">
        <v>74</v>
      </c>
      <c r="G691" s="584" t="s">
        <v>40</v>
      </c>
      <c r="H691" s="584" t="s">
        <v>32</v>
      </c>
      <c r="I691" s="585" t="s">
        <v>533</v>
      </c>
      <c r="J691" s="16"/>
      <c r="K691" s="32">
        <f>SUM(K692:K693)</f>
        <v>35369.600000000006</v>
      </c>
      <c r="L691" s="32">
        <v>0</v>
      </c>
      <c r="M691" s="32">
        <v>35369.600000000006</v>
      </c>
    </row>
    <row r="692" spans="1:13" s="123" customFormat="1" ht="49.8" customHeight="1" x14ac:dyDescent="0.35">
      <c r="A692" s="17"/>
      <c r="B692" s="30" t="s">
        <v>50</v>
      </c>
      <c r="C692" s="31" t="s">
        <v>283</v>
      </c>
      <c r="D692" s="16" t="s">
        <v>99</v>
      </c>
      <c r="E692" s="16" t="s">
        <v>47</v>
      </c>
      <c r="F692" s="583" t="s">
        <v>74</v>
      </c>
      <c r="G692" s="584" t="s">
        <v>40</v>
      </c>
      <c r="H692" s="584" t="s">
        <v>32</v>
      </c>
      <c r="I692" s="585" t="s">
        <v>533</v>
      </c>
      <c r="J692" s="16" t="s">
        <v>51</v>
      </c>
      <c r="K692" s="32">
        <v>176.8</v>
      </c>
      <c r="L692" s="32">
        <v>0</v>
      </c>
      <c r="M692" s="32">
        <v>176.8</v>
      </c>
    </row>
    <row r="693" spans="1:13" s="123" customFormat="1" ht="37.5" customHeight="1" x14ac:dyDescent="0.35">
      <c r="A693" s="17"/>
      <c r="B693" s="30" t="s">
        <v>115</v>
      </c>
      <c r="C693" s="31" t="s">
        <v>283</v>
      </c>
      <c r="D693" s="16" t="s">
        <v>99</v>
      </c>
      <c r="E693" s="16" t="s">
        <v>47</v>
      </c>
      <c r="F693" s="583" t="s">
        <v>74</v>
      </c>
      <c r="G693" s="584" t="s">
        <v>40</v>
      </c>
      <c r="H693" s="584" t="s">
        <v>32</v>
      </c>
      <c r="I693" s="585" t="s">
        <v>533</v>
      </c>
      <c r="J693" s="16" t="s">
        <v>116</v>
      </c>
      <c r="K693" s="32">
        <v>35192.800000000003</v>
      </c>
      <c r="L693" s="32">
        <v>0</v>
      </c>
      <c r="M693" s="32">
        <v>35192.800000000003</v>
      </c>
    </row>
    <row r="694" spans="1:13" s="123" customFormat="1" ht="95.25" customHeight="1" x14ac:dyDescent="0.35">
      <c r="A694" s="17"/>
      <c r="B694" s="30" t="s">
        <v>348</v>
      </c>
      <c r="C694" s="31" t="s">
        <v>283</v>
      </c>
      <c r="D694" s="16" t="s">
        <v>99</v>
      </c>
      <c r="E694" s="16" t="s">
        <v>47</v>
      </c>
      <c r="F694" s="583" t="s">
        <v>74</v>
      </c>
      <c r="G694" s="584" t="s">
        <v>40</v>
      </c>
      <c r="H694" s="584" t="s">
        <v>32</v>
      </c>
      <c r="I694" s="585" t="s">
        <v>535</v>
      </c>
      <c r="J694" s="16"/>
      <c r="K694" s="32">
        <f>SUM(K695:K696)</f>
        <v>1437.7</v>
      </c>
      <c r="L694" s="32">
        <v>0</v>
      </c>
      <c r="M694" s="32">
        <v>1437.7</v>
      </c>
    </row>
    <row r="695" spans="1:13" s="123" customFormat="1" ht="56.25" customHeight="1" x14ac:dyDescent="0.35">
      <c r="A695" s="17"/>
      <c r="B695" s="30" t="s">
        <v>50</v>
      </c>
      <c r="C695" s="31" t="s">
        <v>283</v>
      </c>
      <c r="D695" s="16" t="s">
        <v>99</v>
      </c>
      <c r="E695" s="16" t="s">
        <v>47</v>
      </c>
      <c r="F695" s="583" t="s">
        <v>74</v>
      </c>
      <c r="G695" s="584" t="s">
        <v>40</v>
      </c>
      <c r="H695" s="584" t="s">
        <v>32</v>
      </c>
      <c r="I695" s="585" t="s">
        <v>535</v>
      </c>
      <c r="J695" s="16" t="s">
        <v>51</v>
      </c>
      <c r="K695" s="32">
        <v>7.2</v>
      </c>
      <c r="L695" s="32">
        <v>0</v>
      </c>
      <c r="M695" s="32">
        <v>7.2</v>
      </c>
    </row>
    <row r="696" spans="1:13" s="123" customFormat="1" ht="37.5" customHeight="1" x14ac:dyDescent="0.35">
      <c r="A696" s="17"/>
      <c r="B696" s="30" t="s">
        <v>115</v>
      </c>
      <c r="C696" s="31" t="s">
        <v>283</v>
      </c>
      <c r="D696" s="16" t="s">
        <v>99</v>
      </c>
      <c r="E696" s="16" t="s">
        <v>47</v>
      </c>
      <c r="F696" s="583" t="s">
        <v>74</v>
      </c>
      <c r="G696" s="584" t="s">
        <v>40</v>
      </c>
      <c r="H696" s="584" t="s">
        <v>32</v>
      </c>
      <c r="I696" s="585" t="s">
        <v>535</v>
      </c>
      <c r="J696" s="16" t="s">
        <v>116</v>
      </c>
      <c r="K696" s="32">
        <v>1430.5</v>
      </c>
      <c r="L696" s="32">
        <v>0</v>
      </c>
      <c r="M696" s="32">
        <v>1430.5</v>
      </c>
    </row>
    <row r="697" spans="1:13" s="123" customFormat="1" ht="95.25" customHeight="1" x14ac:dyDescent="0.35">
      <c r="A697" s="17"/>
      <c r="B697" s="30" t="s">
        <v>347</v>
      </c>
      <c r="C697" s="31" t="s">
        <v>283</v>
      </c>
      <c r="D697" s="16" t="s">
        <v>99</v>
      </c>
      <c r="E697" s="16" t="s">
        <v>47</v>
      </c>
      <c r="F697" s="583" t="s">
        <v>74</v>
      </c>
      <c r="G697" s="584" t="s">
        <v>40</v>
      </c>
      <c r="H697" s="584" t="s">
        <v>32</v>
      </c>
      <c r="I697" s="585" t="s">
        <v>534</v>
      </c>
      <c r="J697" s="16"/>
      <c r="K697" s="32">
        <f>SUM(K698:K699)</f>
        <v>26725.899999999998</v>
      </c>
      <c r="L697" s="32">
        <v>0</v>
      </c>
      <c r="M697" s="32">
        <v>26725.899999999998</v>
      </c>
    </row>
    <row r="698" spans="1:13" s="123" customFormat="1" ht="49.2" customHeight="1" x14ac:dyDescent="0.35">
      <c r="A698" s="17"/>
      <c r="B698" s="30" t="s">
        <v>50</v>
      </c>
      <c r="C698" s="31" t="s">
        <v>283</v>
      </c>
      <c r="D698" s="16" t="s">
        <v>99</v>
      </c>
      <c r="E698" s="16" t="s">
        <v>47</v>
      </c>
      <c r="F698" s="583" t="s">
        <v>74</v>
      </c>
      <c r="G698" s="584" t="s">
        <v>40</v>
      </c>
      <c r="H698" s="584" t="s">
        <v>32</v>
      </c>
      <c r="I698" s="585" t="s">
        <v>534</v>
      </c>
      <c r="J698" s="16" t="s">
        <v>51</v>
      </c>
      <c r="K698" s="32">
        <v>133.6</v>
      </c>
      <c r="L698" s="32">
        <v>0</v>
      </c>
      <c r="M698" s="32">
        <v>133.6</v>
      </c>
    </row>
    <row r="699" spans="1:13" s="123" customFormat="1" ht="34.5" customHeight="1" x14ac:dyDescent="0.35">
      <c r="A699" s="17"/>
      <c r="B699" s="30" t="s">
        <v>115</v>
      </c>
      <c r="C699" s="31" t="s">
        <v>283</v>
      </c>
      <c r="D699" s="16" t="s">
        <v>99</v>
      </c>
      <c r="E699" s="16" t="s">
        <v>47</v>
      </c>
      <c r="F699" s="583" t="s">
        <v>74</v>
      </c>
      <c r="G699" s="584" t="s">
        <v>40</v>
      </c>
      <c r="H699" s="584" t="s">
        <v>32</v>
      </c>
      <c r="I699" s="585" t="s">
        <v>534</v>
      </c>
      <c r="J699" s="16" t="s">
        <v>116</v>
      </c>
      <c r="K699" s="32">
        <v>26592.3</v>
      </c>
      <c r="L699" s="32">
        <v>0</v>
      </c>
      <c r="M699" s="32">
        <v>26592.3</v>
      </c>
    </row>
    <row r="700" spans="1:13" s="123" customFormat="1" ht="113.25" customHeight="1" x14ac:dyDescent="0.35">
      <c r="A700" s="17"/>
      <c r="B700" s="30" t="s">
        <v>354</v>
      </c>
      <c r="C700" s="31" t="s">
        <v>283</v>
      </c>
      <c r="D700" s="16" t="s">
        <v>99</v>
      </c>
      <c r="E700" s="16" t="s">
        <v>47</v>
      </c>
      <c r="F700" s="583" t="s">
        <v>74</v>
      </c>
      <c r="G700" s="584" t="s">
        <v>40</v>
      </c>
      <c r="H700" s="584" t="s">
        <v>32</v>
      </c>
      <c r="I700" s="585" t="s">
        <v>536</v>
      </c>
      <c r="J700" s="16"/>
      <c r="K700" s="32">
        <f>SUM(K701:K702)</f>
        <v>1750.6</v>
      </c>
      <c r="L700" s="32">
        <v>0</v>
      </c>
      <c r="M700" s="32">
        <v>1750.6</v>
      </c>
    </row>
    <row r="701" spans="1:13" s="123" customFormat="1" ht="49.8" customHeight="1" x14ac:dyDescent="0.35">
      <c r="A701" s="17"/>
      <c r="B701" s="30" t="s">
        <v>50</v>
      </c>
      <c r="C701" s="31" t="s">
        <v>283</v>
      </c>
      <c r="D701" s="16" t="s">
        <v>99</v>
      </c>
      <c r="E701" s="16" t="s">
        <v>47</v>
      </c>
      <c r="F701" s="583" t="s">
        <v>74</v>
      </c>
      <c r="G701" s="584" t="s">
        <v>40</v>
      </c>
      <c r="H701" s="584" t="s">
        <v>32</v>
      </c>
      <c r="I701" s="585" t="s">
        <v>536</v>
      </c>
      <c r="J701" s="16" t="s">
        <v>51</v>
      </c>
      <c r="K701" s="32">
        <v>8.6</v>
      </c>
      <c r="L701" s="32">
        <v>0</v>
      </c>
      <c r="M701" s="32">
        <v>8.6</v>
      </c>
    </row>
    <row r="702" spans="1:13" s="123" customFormat="1" ht="37.5" customHeight="1" x14ac:dyDescent="0.35">
      <c r="A702" s="17"/>
      <c r="B702" s="30" t="s">
        <v>115</v>
      </c>
      <c r="C702" s="31" t="s">
        <v>283</v>
      </c>
      <c r="D702" s="16" t="s">
        <v>99</v>
      </c>
      <c r="E702" s="16" t="s">
        <v>47</v>
      </c>
      <c r="F702" s="583" t="s">
        <v>74</v>
      </c>
      <c r="G702" s="584" t="s">
        <v>40</v>
      </c>
      <c r="H702" s="584" t="s">
        <v>32</v>
      </c>
      <c r="I702" s="585" t="s">
        <v>536</v>
      </c>
      <c r="J702" s="16" t="s">
        <v>116</v>
      </c>
      <c r="K702" s="32">
        <v>1742</v>
      </c>
      <c r="L702" s="32">
        <v>0</v>
      </c>
      <c r="M702" s="32">
        <v>1742</v>
      </c>
    </row>
    <row r="703" spans="1:13" s="13" customFormat="1" ht="32.4" customHeight="1" x14ac:dyDescent="0.35">
      <c r="A703" s="17"/>
      <c r="B703" s="30" t="s">
        <v>285</v>
      </c>
      <c r="C703" s="31" t="s">
        <v>283</v>
      </c>
      <c r="D703" s="16" t="s">
        <v>99</v>
      </c>
      <c r="E703" s="16" t="s">
        <v>76</v>
      </c>
      <c r="F703" s="583"/>
      <c r="G703" s="584"/>
      <c r="H703" s="584"/>
      <c r="I703" s="585"/>
      <c r="J703" s="16"/>
      <c r="K703" s="32">
        <f>K704</f>
        <v>7695.7</v>
      </c>
      <c r="L703" s="32">
        <v>0</v>
      </c>
      <c r="M703" s="32">
        <v>7695.7</v>
      </c>
    </row>
    <row r="704" spans="1:13" s="13" customFormat="1" ht="56.25" customHeight="1" x14ac:dyDescent="0.35">
      <c r="A704" s="17"/>
      <c r="B704" s="34" t="s">
        <v>225</v>
      </c>
      <c r="C704" s="31" t="s">
        <v>283</v>
      </c>
      <c r="D704" s="16" t="s">
        <v>99</v>
      </c>
      <c r="E704" s="16" t="s">
        <v>76</v>
      </c>
      <c r="F704" s="583" t="s">
        <v>74</v>
      </c>
      <c r="G704" s="584" t="s">
        <v>37</v>
      </c>
      <c r="H704" s="584" t="s">
        <v>38</v>
      </c>
      <c r="I704" s="585" t="s">
        <v>39</v>
      </c>
      <c r="J704" s="16"/>
      <c r="K704" s="32">
        <f t="shared" ref="K704:M705" si="97">K705</f>
        <v>7695.7</v>
      </c>
      <c r="L704" s="32">
        <v>0</v>
      </c>
      <c r="M704" s="32">
        <v>7695.7</v>
      </c>
    </row>
    <row r="705" spans="1:13" s="13" customFormat="1" ht="33.75" customHeight="1" x14ac:dyDescent="0.35">
      <c r="A705" s="17"/>
      <c r="B705" s="30" t="s">
        <v>328</v>
      </c>
      <c r="C705" s="31" t="s">
        <v>283</v>
      </c>
      <c r="D705" s="16" t="s">
        <v>99</v>
      </c>
      <c r="E705" s="16" t="s">
        <v>76</v>
      </c>
      <c r="F705" s="583" t="s">
        <v>74</v>
      </c>
      <c r="G705" s="584" t="s">
        <v>40</v>
      </c>
      <c r="H705" s="584" t="s">
        <v>38</v>
      </c>
      <c r="I705" s="585" t="s">
        <v>39</v>
      </c>
      <c r="J705" s="16"/>
      <c r="K705" s="32">
        <f t="shared" si="97"/>
        <v>7695.7</v>
      </c>
      <c r="L705" s="32">
        <v>0</v>
      </c>
      <c r="M705" s="32">
        <v>7695.7</v>
      </c>
    </row>
    <row r="706" spans="1:13" s="123" customFormat="1" ht="37.5" customHeight="1" x14ac:dyDescent="0.35">
      <c r="A706" s="17"/>
      <c r="B706" s="30" t="s">
        <v>224</v>
      </c>
      <c r="C706" s="31" t="s">
        <v>283</v>
      </c>
      <c r="D706" s="16" t="s">
        <v>99</v>
      </c>
      <c r="E706" s="16" t="s">
        <v>76</v>
      </c>
      <c r="F706" s="583" t="s">
        <v>74</v>
      </c>
      <c r="G706" s="584" t="s">
        <v>40</v>
      </c>
      <c r="H706" s="584" t="s">
        <v>58</v>
      </c>
      <c r="I706" s="585" t="s">
        <v>39</v>
      </c>
      <c r="J706" s="16"/>
      <c r="K706" s="32">
        <f>K707+K710+K713</f>
        <v>7695.7</v>
      </c>
      <c r="L706" s="32">
        <v>0</v>
      </c>
      <c r="M706" s="32">
        <v>7695.7</v>
      </c>
    </row>
    <row r="707" spans="1:13" s="123" customFormat="1" ht="252" x14ac:dyDescent="0.35">
      <c r="A707" s="17"/>
      <c r="B707" s="556" t="s">
        <v>227</v>
      </c>
      <c r="C707" s="31" t="s">
        <v>283</v>
      </c>
      <c r="D707" s="16" t="s">
        <v>99</v>
      </c>
      <c r="E707" s="16" t="s">
        <v>76</v>
      </c>
      <c r="F707" s="583" t="s">
        <v>74</v>
      </c>
      <c r="G707" s="584" t="s">
        <v>40</v>
      </c>
      <c r="H707" s="584" t="s">
        <v>58</v>
      </c>
      <c r="I707" s="585" t="s">
        <v>537</v>
      </c>
      <c r="J707" s="16"/>
      <c r="K707" s="32">
        <f>K708+K709</f>
        <v>884.4</v>
      </c>
      <c r="L707" s="32">
        <v>0</v>
      </c>
      <c r="M707" s="32">
        <v>884.4</v>
      </c>
    </row>
    <row r="708" spans="1:13" s="123" customFormat="1" ht="112.5" customHeight="1" x14ac:dyDescent="0.35">
      <c r="A708" s="17"/>
      <c r="B708" s="30" t="s">
        <v>44</v>
      </c>
      <c r="C708" s="31" t="s">
        <v>283</v>
      </c>
      <c r="D708" s="16" t="s">
        <v>99</v>
      </c>
      <c r="E708" s="16" t="s">
        <v>76</v>
      </c>
      <c r="F708" s="583" t="s">
        <v>74</v>
      </c>
      <c r="G708" s="584" t="s">
        <v>40</v>
      </c>
      <c r="H708" s="584" t="s">
        <v>58</v>
      </c>
      <c r="I708" s="585" t="s">
        <v>537</v>
      </c>
      <c r="J708" s="16" t="s">
        <v>45</v>
      </c>
      <c r="K708" s="32">
        <v>824.4</v>
      </c>
      <c r="L708" s="32">
        <v>0</v>
      </c>
      <c r="M708" s="32">
        <v>824.4</v>
      </c>
    </row>
    <row r="709" spans="1:13" s="123" customFormat="1" ht="31.8" customHeight="1" x14ac:dyDescent="0.35">
      <c r="A709" s="17"/>
      <c r="B709" s="30" t="s">
        <v>50</v>
      </c>
      <c r="C709" s="31" t="s">
        <v>283</v>
      </c>
      <c r="D709" s="16" t="s">
        <v>99</v>
      </c>
      <c r="E709" s="16" t="s">
        <v>76</v>
      </c>
      <c r="F709" s="583" t="s">
        <v>74</v>
      </c>
      <c r="G709" s="584" t="s">
        <v>40</v>
      </c>
      <c r="H709" s="584" t="s">
        <v>58</v>
      </c>
      <c r="I709" s="585" t="s">
        <v>537</v>
      </c>
      <c r="J709" s="16" t="s">
        <v>51</v>
      </c>
      <c r="K709" s="32">
        <v>60</v>
      </c>
      <c r="L709" s="32">
        <v>0</v>
      </c>
      <c r="M709" s="32">
        <v>60</v>
      </c>
    </row>
    <row r="710" spans="1:13" s="123" customFormat="1" ht="108" x14ac:dyDescent="0.35">
      <c r="A710" s="17"/>
      <c r="B710" s="30" t="s">
        <v>434</v>
      </c>
      <c r="C710" s="31" t="s">
        <v>283</v>
      </c>
      <c r="D710" s="16" t="s">
        <v>99</v>
      </c>
      <c r="E710" s="16" t="s">
        <v>76</v>
      </c>
      <c r="F710" s="583" t="s">
        <v>74</v>
      </c>
      <c r="G710" s="584" t="s">
        <v>40</v>
      </c>
      <c r="H710" s="584" t="s">
        <v>58</v>
      </c>
      <c r="I710" s="585" t="s">
        <v>531</v>
      </c>
      <c r="J710" s="16"/>
      <c r="K710" s="32">
        <f>K711+K712</f>
        <v>645.4</v>
      </c>
      <c r="L710" s="32">
        <v>0</v>
      </c>
      <c r="M710" s="32">
        <v>645.4</v>
      </c>
    </row>
    <row r="711" spans="1:13" s="123" customFormat="1" ht="112.5" customHeight="1" x14ac:dyDescent="0.35">
      <c r="A711" s="17"/>
      <c r="B711" s="30" t="s">
        <v>44</v>
      </c>
      <c r="C711" s="31" t="s">
        <v>283</v>
      </c>
      <c r="D711" s="16" t="s">
        <v>99</v>
      </c>
      <c r="E711" s="16" t="s">
        <v>76</v>
      </c>
      <c r="F711" s="583" t="s">
        <v>74</v>
      </c>
      <c r="G711" s="584" t="s">
        <v>40</v>
      </c>
      <c r="H711" s="584" t="s">
        <v>58</v>
      </c>
      <c r="I711" s="585" t="s">
        <v>531</v>
      </c>
      <c r="J711" s="16" t="s">
        <v>45</v>
      </c>
      <c r="K711" s="32">
        <v>615.4</v>
      </c>
      <c r="L711" s="32">
        <v>0</v>
      </c>
      <c r="M711" s="32">
        <v>615.4</v>
      </c>
    </row>
    <row r="712" spans="1:13" s="123" customFormat="1" ht="34.799999999999997" customHeight="1" x14ac:dyDescent="0.35">
      <c r="A712" s="17"/>
      <c r="B712" s="30" t="s">
        <v>50</v>
      </c>
      <c r="C712" s="31" t="s">
        <v>283</v>
      </c>
      <c r="D712" s="16" t="s">
        <v>99</v>
      </c>
      <c r="E712" s="16" t="s">
        <v>76</v>
      </c>
      <c r="F712" s="583" t="s">
        <v>74</v>
      </c>
      <c r="G712" s="584" t="s">
        <v>40</v>
      </c>
      <c r="H712" s="584" t="s">
        <v>58</v>
      </c>
      <c r="I712" s="585" t="s">
        <v>531</v>
      </c>
      <c r="J712" s="16" t="s">
        <v>51</v>
      </c>
      <c r="K712" s="32">
        <v>30</v>
      </c>
      <c r="L712" s="32">
        <v>0</v>
      </c>
      <c r="M712" s="32">
        <v>30</v>
      </c>
    </row>
    <row r="713" spans="1:13" s="123" customFormat="1" ht="72" x14ac:dyDescent="0.35">
      <c r="A713" s="17"/>
      <c r="B713" s="30" t="s">
        <v>226</v>
      </c>
      <c r="C713" s="31" t="s">
        <v>283</v>
      </c>
      <c r="D713" s="16" t="s">
        <v>99</v>
      </c>
      <c r="E713" s="16" t="s">
        <v>76</v>
      </c>
      <c r="F713" s="583" t="s">
        <v>74</v>
      </c>
      <c r="G713" s="584" t="s">
        <v>40</v>
      </c>
      <c r="H713" s="584" t="s">
        <v>58</v>
      </c>
      <c r="I713" s="585" t="s">
        <v>532</v>
      </c>
      <c r="J713" s="16"/>
      <c r="K713" s="32">
        <f>K714+K715</f>
        <v>6165.9</v>
      </c>
      <c r="L713" s="32">
        <v>0</v>
      </c>
      <c r="M713" s="32">
        <v>6165.9</v>
      </c>
    </row>
    <row r="714" spans="1:13" s="123" customFormat="1" ht="112.5" customHeight="1" x14ac:dyDescent="0.35">
      <c r="A714" s="17"/>
      <c r="B714" s="30" t="s">
        <v>44</v>
      </c>
      <c r="C714" s="31" t="s">
        <v>283</v>
      </c>
      <c r="D714" s="16" t="s">
        <v>99</v>
      </c>
      <c r="E714" s="16" t="s">
        <v>76</v>
      </c>
      <c r="F714" s="583" t="s">
        <v>74</v>
      </c>
      <c r="G714" s="584" t="s">
        <v>40</v>
      </c>
      <c r="H714" s="584" t="s">
        <v>58</v>
      </c>
      <c r="I714" s="585" t="s">
        <v>532</v>
      </c>
      <c r="J714" s="16" t="s">
        <v>45</v>
      </c>
      <c r="K714" s="32">
        <v>5805.9</v>
      </c>
      <c r="L714" s="32">
        <v>0</v>
      </c>
      <c r="M714" s="32">
        <v>5805.9</v>
      </c>
    </row>
    <row r="715" spans="1:13" s="123" customFormat="1" ht="55.8" customHeight="1" x14ac:dyDescent="0.35">
      <c r="A715" s="17"/>
      <c r="B715" s="30" t="s">
        <v>50</v>
      </c>
      <c r="C715" s="31" t="s">
        <v>283</v>
      </c>
      <c r="D715" s="16" t="s">
        <v>99</v>
      </c>
      <c r="E715" s="16" t="s">
        <v>76</v>
      </c>
      <c r="F715" s="583" t="s">
        <v>74</v>
      </c>
      <c r="G715" s="584" t="s">
        <v>40</v>
      </c>
      <c r="H715" s="584" t="s">
        <v>58</v>
      </c>
      <c r="I715" s="585" t="s">
        <v>532</v>
      </c>
      <c r="J715" s="16" t="s">
        <v>51</v>
      </c>
      <c r="K715" s="32">
        <v>360</v>
      </c>
      <c r="L715" s="32">
        <v>0</v>
      </c>
      <c r="M715" s="32">
        <v>360</v>
      </c>
    </row>
    <row r="716" spans="1:13" s="123" customFormat="1" ht="25.5" customHeight="1" x14ac:dyDescent="0.35">
      <c r="A716" s="200"/>
      <c r="B716" s="115"/>
      <c r="C716" s="201"/>
      <c r="D716" s="116"/>
      <c r="E716" s="116"/>
      <c r="F716" s="116"/>
      <c r="G716" s="116"/>
      <c r="H716" s="116"/>
      <c r="I716" s="116"/>
      <c r="J716" s="116"/>
      <c r="K716" s="116"/>
      <c r="L716" s="116"/>
      <c r="M716" s="202"/>
    </row>
    <row r="717" spans="1:13" s="123" customFormat="1" ht="20.25" customHeight="1" x14ac:dyDescent="0.35">
      <c r="A717" s="200"/>
      <c r="B717" s="115"/>
      <c r="C717" s="201"/>
      <c r="D717" s="116"/>
      <c r="E717" s="116"/>
      <c r="F717" s="116"/>
      <c r="G717" s="116"/>
      <c r="H717" s="116"/>
      <c r="I717" s="116"/>
      <c r="J717" s="116"/>
      <c r="K717" s="116"/>
      <c r="L717" s="116"/>
      <c r="M717" s="202"/>
    </row>
    <row r="718" spans="1:13" s="78" customFormat="1" ht="18.75" customHeight="1" x14ac:dyDescent="0.35">
      <c r="A718" s="118" t="s">
        <v>366</v>
      </c>
      <c r="B718" s="80"/>
      <c r="C718" s="81"/>
      <c r="D718" s="81"/>
      <c r="E718" s="81"/>
      <c r="F718" s="57"/>
      <c r="G718" s="117"/>
      <c r="H718" s="162"/>
      <c r="M718" s="79"/>
    </row>
    <row r="719" spans="1:13" s="78" customFormat="1" ht="18.75" customHeight="1" x14ac:dyDescent="0.35">
      <c r="A719" s="118" t="s">
        <v>367</v>
      </c>
      <c r="B719" s="80"/>
      <c r="C719" s="81"/>
      <c r="D719" s="81"/>
      <c r="E719" s="81"/>
      <c r="F719" s="57"/>
      <c r="G719" s="117"/>
      <c r="H719" s="162"/>
      <c r="M719" s="79"/>
    </row>
    <row r="720" spans="1:13" s="78" customFormat="1" ht="18.75" customHeight="1" x14ac:dyDescent="0.35">
      <c r="A720" s="119" t="s">
        <v>368</v>
      </c>
      <c r="B720" s="80"/>
      <c r="E720" s="81"/>
      <c r="F720" s="57"/>
      <c r="M720" s="304" t="s">
        <v>387</v>
      </c>
    </row>
    <row r="721" spans="1:14" s="203" customFormat="1" ht="18.75" customHeight="1" x14ac:dyDescent="0.35">
      <c r="A721" s="200"/>
      <c r="B721" s="115"/>
      <c r="C721" s="201"/>
      <c r="D721" s="116"/>
      <c r="E721" s="116"/>
      <c r="F721" s="116"/>
      <c r="G721" s="116"/>
      <c r="H721" s="116"/>
      <c r="I721" s="116"/>
      <c r="J721" s="116"/>
      <c r="K721" s="116"/>
      <c r="L721" s="116"/>
      <c r="M721" s="202"/>
    </row>
    <row r="722" spans="1:14" s="203" customFormat="1" ht="18.75" customHeight="1" x14ac:dyDescent="0.35">
      <c r="A722" s="200"/>
      <c r="B722" s="115"/>
      <c r="C722" s="201"/>
      <c r="D722" s="116"/>
      <c r="E722" s="116"/>
      <c r="F722" s="116"/>
      <c r="G722" s="116"/>
      <c r="H722" s="116"/>
      <c r="I722" s="116"/>
      <c r="J722" s="116"/>
      <c r="K722" s="116"/>
      <c r="L722" s="116"/>
      <c r="M722" s="202"/>
    </row>
    <row r="723" spans="1:14" s="203" customFormat="1" ht="18.75" customHeight="1" x14ac:dyDescent="0.35">
      <c r="A723" s="200"/>
      <c r="B723" s="115"/>
      <c r="C723" s="201"/>
      <c r="D723" s="116"/>
      <c r="E723" s="116"/>
      <c r="F723" s="116"/>
      <c r="G723" s="116"/>
      <c r="H723" s="116"/>
      <c r="I723" s="116"/>
      <c r="J723" s="116"/>
      <c r="K723" s="116"/>
      <c r="L723" s="116"/>
      <c r="M723" s="202"/>
    </row>
    <row r="724" spans="1:14" s="203" customFormat="1" ht="18.75" hidden="1" customHeight="1" x14ac:dyDescent="0.35">
      <c r="A724" s="200"/>
      <c r="B724" s="115"/>
      <c r="C724" s="201"/>
      <c r="D724" s="41" t="s">
        <v>32</v>
      </c>
      <c r="E724" s="41" t="s">
        <v>34</v>
      </c>
      <c r="F724" s="42"/>
      <c r="G724" s="42"/>
      <c r="H724" s="42"/>
      <c r="I724" s="42"/>
      <c r="J724" s="42"/>
      <c r="K724" s="42"/>
      <c r="L724" s="42"/>
      <c r="M724" s="307">
        <f>M18</f>
        <v>2439.1999999999998</v>
      </c>
      <c r="N724" s="204"/>
    </row>
    <row r="725" spans="1:14" s="203" customFormat="1" ht="18.75" hidden="1" customHeight="1" x14ac:dyDescent="0.35">
      <c r="A725" s="200"/>
      <c r="B725" s="115"/>
      <c r="C725" s="201"/>
      <c r="D725" s="41" t="s">
        <v>32</v>
      </c>
      <c r="E725" s="41" t="s">
        <v>47</v>
      </c>
      <c r="F725" s="42"/>
      <c r="G725" s="42"/>
      <c r="H725" s="42"/>
      <c r="I725" s="42"/>
      <c r="J725" s="42"/>
      <c r="K725" s="42"/>
      <c r="L725" s="42"/>
      <c r="M725" s="307">
        <f>M24</f>
        <v>85268.426000000007</v>
      </c>
      <c r="N725" s="204"/>
    </row>
    <row r="726" spans="1:14" s="203" customFormat="1" ht="18.75" hidden="1" customHeight="1" x14ac:dyDescent="0.35">
      <c r="A726" s="200"/>
      <c r="B726" s="115"/>
      <c r="C726" s="201"/>
      <c r="D726" s="41" t="s">
        <v>32</v>
      </c>
      <c r="E726" s="41" t="s">
        <v>60</v>
      </c>
      <c r="F726" s="42"/>
      <c r="G726" s="42"/>
      <c r="H726" s="42"/>
      <c r="I726" s="42"/>
      <c r="J726" s="42"/>
      <c r="K726" s="42"/>
      <c r="L726" s="42"/>
      <c r="M726" s="307">
        <f>M49</f>
        <v>140</v>
      </c>
      <c r="N726" s="204"/>
    </row>
    <row r="727" spans="1:14" s="203" customFormat="1" ht="18.75" hidden="1" customHeight="1" x14ac:dyDescent="0.35">
      <c r="A727" s="200"/>
      <c r="B727" s="115"/>
      <c r="C727" s="201"/>
      <c r="D727" s="41" t="s">
        <v>32</v>
      </c>
      <c r="E727" s="41" t="s">
        <v>76</v>
      </c>
      <c r="F727" s="42"/>
      <c r="G727" s="42"/>
      <c r="H727" s="42"/>
      <c r="I727" s="42"/>
      <c r="J727" s="42"/>
      <c r="K727" s="42"/>
      <c r="L727" s="42"/>
      <c r="M727" s="307">
        <f>M219+M256</f>
        <v>35225.5</v>
      </c>
      <c r="N727" s="204"/>
    </row>
    <row r="728" spans="1:14" s="203" customFormat="1" ht="18.75" hidden="1" customHeight="1" x14ac:dyDescent="0.35">
      <c r="A728" s="200"/>
      <c r="B728" s="115"/>
      <c r="C728" s="201"/>
      <c r="D728" s="41" t="s">
        <v>32</v>
      </c>
      <c r="E728" s="41" t="s">
        <v>62</v>
      </c>
      <c r="F728" s="42"/>
      <c r="G728" s="42"/>
      <c r="H728" s="42"/>
      <c r="I728" s="42"/>
      <c r="J728" s="42"/>
      <c r="K728" s="42"/>
      <c r="L728" s="42"/>
      <c r="M728" s="307">
        <f>M55</f>
        <v>21700</v>
      </c>
      <c r="N728" s="204"/>
    </row>
    <row r="729" spans="1:14" s="203" customFormat="1" ht="18.75" hidden="1" customHeight="1" x14ac:dyDescent="0.35">
      <c r="A729" s="200"/>
      <c r="B729" s="115"/>
      <c r="C729" s="201"/>
      <c r="D729" s="41" t="s">
        <v>32</v>
      </c>
      <c r="E729" s="41" t="s">
        <v>66</v>
      </c>
      <c r="F729" s="42"/>
      <c r="G729" s="42"/>
      <c r="H729" s="42"/>
      <c r="I729" s="42"/>
      <c r="J729" s="42"/>
      <c r="K729" s="42"/>
      <c r="L729" s="42"/>
      <c r="M729" s="307">
        <f>M60+M230+M268+M653+M521+M598+M364</f>
        <v>58135.499999999993</v>
      </c>
      <c r="N729" s="204"/>
    </row>
    <row r="730" spans="1:14" ht="18.75" hidden="1" customHeight="1" x14ac:dyDescent="0.35">
      <c r="D730" s="166" t="s">
        <v>32</v>
      </c>
      <c r="E730" s="166" t="s">
        <v>38</v>
      </c>
      <c r="F730" s="42"/>
      <c r="G730" s="42"/>
      <c r="H730" s="42"/>
      <c r="I730" s="42"/>
      <c r="J730" s="42"/>
      <c r="K730" s="42"/>
      <c r="L730" s="42"/>
      <c r="M730" s="167">
        <f>SUBTOTAL(9,M724:M729)</f>
        <v>202908.62599999999</v>
      </c>
      <c r="N730" s="205"/>
    </row>
    <row r="731" spans="1:14" ht="18.75" hidden="1" customHeight="1" x14ac:dyDescent="0.35">
      <c r="D731" s="41"/>
      <c r="E731" s="41"/>
      <c r="F731" s="42"/>
      <c r="G731" s="42"/>
      <c r="H731" s="42"/>
      <c r="I731" s="42"/>
      <c r="J731" s="42"/>
      <c r="K731" s="42"/>
      <c r="L731" s="42"/>
      <c r="M731" s="165"/>
      <c r="N731" s="204"/>
    </row>
    <row r="732" spans="1:14" ht="18.75" hidden="1" customHeight="1" x14ac:dyDescent="0.35">
      <c r="D732" s="41" t="s">
        <v>58</v>
      </c>
      <c r="E732" s="41" t="s">
        <v>99</v>
      </c>
      <c r="F732" s="42"/>
      <c r="G732" s="42"/>
      <c r="H732" s="42"/>
      <c r="I732" s="42"/>
      <c r="J732" s="42"/>
      <c r="K732" s="42"/>
      <c r="L732" s="42"/>
      <c r="M732" s="306">
        <f>M92</f>
        <v>3610.0000000000005</v>
      </c>
      <c r="N732" s="204"/>
    </row>
    <row r="733" spans="1:14" ht="18.75" hidden="1" customHeight="1" x14ac:dyDescent="0.35">
      <c r="D733" s="41" t="s">
        <v>58</v>
      </c>
      <c r="E733" s="41" t="s">
        <v>83</v>
      </c>
      <c r="F733" s="42"/>
      <c r="G733" s="42"/>
      <c r="H733" s="42"/>
      <c r="I733" s="42"/>
      <c r="J733" s="42"/>
      <c r="K733" s="42"/>
      <c r="L733" s="42"/>
      <c r="M733" s="306">
        <f>M104</f>
        <v>15506.8</v>
      </c>
      <c r="N733" s="204"/>
    </row>
    <row r="734" spans="1:14" ht="18.75" hidden="1" customHeight="1" x14ac:dyDescent="0.35">
      <c r="D734" s="166" t="s">
        <v>58</v>
      </c>
      <c r="E734" s="166" t="s">
        <v>38</v>
      </c>
      <c r="F734" s="42"/>
      <c r="G734" s="42"/>
      <c r="H734" s="42"/>
      <c r="I734" s="42"/>
      <c r="J734" s="42"/>
      <c r="K734" s="42"/>
      <c r="L734" s="42"/>
      <c r="M734" s="167">
        <f>SUBTOTAL(9,M732:M733)</f>
        <v>19116.8</v>
      </c>
      <c r="N734" s="205"/>
    </row>
    <row r="735" spans="1:14" ht="18.75" hidden="1" customHeight="1" x14ac:dyDescent="0.35">
      <c r="D735" s="41"/>
      <c r="E735" s="41"/>
      <c r="F735" s="42"/>
      <c r="G735" s="42"/>
      <c r="H735" s="42"/>
      <c r="I735" s="42"/>
      <c r="J735" s="42"/>
      <c r="K735" s="42"/>
      <c r="L735" s="42"/>
      <c r="M735" s="165"/>
      <c r="N735" s="204"/>
    </row>
    <row r="736" spans="1:14" ht="18.75" hidden="1" customHeight="1" x14ac:dyDescent="0.35">
      <c r="D736" s="41" t="s">
        <v>47</v>
      </c>
      <c r="E736" s="41" t="s">
        <v>60</v>
      </c>
      <c r="F736" s="42"/>
      <c r="G736" s="42"/>
      <c r="H736" s="42"/>
      <c r="I736" s="42"/>
      <c r="J736" s="42"/>
      <c r="K736" s="42"/>
      <c r="L736" s="42"/>
      <c r="M736" s="165">
        <f>M126</f>
        <v>12646.2</v>
      </c>
      <c r="N736" s="204"/>
    </row>
    <row r="737" spans="4:14" ht="18.75" hidden="1" customHeight="1" x14ac:dyDescent="0.35">
      <c r="D737" s="41" t="s">
        <v>47</v>
      </c>
      <c r="E737" s="41" t="s">
        <v>74</v>
      </c>
      <c r="F737" s="42"/>
      <c r="G737" s="42"/>
      <c r="H737" s="42"/>
      <c r="I737" s="42"/>
      <c r="J737" s="42"/>
      <c r="K737" s="42"/>
      <c r="L737" s="42"/>
      <c r="M737" s="165">
        <f>M135</f>
        <v>6255.7</v>
      </c>
      <c r="N737" s="204"/>
    </row>
    <row r="738" spans="4:14" ht="18.75" hidden="1" customHeight="1" x14ac:dyDescent="0.35">
      <c r="D738" s="41" t="s">
        <v>47</v>
      </c>
      <c r="E738" s="41" t="s">
        <v>95</v>
      </c>
      <c r="F738" s="42"/>
      <c r="G738" s="42"/>
      <c r="H738" s="42"/>
      <c r="I738" s="42"/>
      <c r="J738" s="42"/>
      <c r="K738" s="42"/>
      <c r="L738" s="42"/>
      <c r="M738" s="165">
        <f>M141+M309</f>
        <v>33570.399999999994</v>
      </c>
      <c r="N738" s="204"/>
    </row>
    <row r="739" spans="4:14" ht="18.75" hidden="1" customHeight="1" x14ac:dyDescent="0.35">
      <c r="D739" s="166" t="s">
        <v>47</v>
      </c>
      <c r="E739" s="166" t="s">
        <v>38</v>
      </c>
      <c r="F739" s="42"/>
      <c r="G739" s="42"/>
      <c r="H739" s="42"/>
      <c r="I739" s="42"/>
      <c r="J739" s="42"/>
      <c r="K739" s="42"/>
      <c r="L739" s="42"/>
      <c r="M739" s="167">
        <f>SUBTOTAL(9,M736:M738)</f>
        <v>52472.299999999996</v>
      </c>
      <c r="N739" s="205"/>
    </row>
    <row r="740" spans="4:14" ht="18.75" hidden="1" customHeight="1" x14ac:dyDescent="0.35">
      <c r="D740" s="41"/>
      <c r="E740" s="41"/>
      <c r="F740" s="42"/>
      <c r="G740" s="42"/>
      <c r="H740" s="42"/>
      <c r="I740" s="42"/>
      <c r="J740" s="42"/>
      <c r="K740" s="42"/>
      <c r="L740" s="42"/>
      <c r="M740" s="165"/>
      <c r="N740" s="204"/>
    </row>
    <row r="741" spans="4:14" ht="18.75" hidden="1" customHeight="1" x14ac:dyDescent="0.35">
      <c r="D741" s="41" t="s">
        <v>60</v>
      </c>
      <c r="E741" s="41" t="s">
        <v>32</v>
      </c>
      <c r="F741" s="42"/>
      <c r="G741" s="42"/>
      <c r="H741" s="42"/>
      <c r="I741" s="42"/>
      <c r="J741" s="42"/>
      <c r="K741" s="42"/>
      <c r="L741" s="42"/>
      <c r="M741" s="165">
        <f>M169</f>
        <v>43419.7</v>
      </c>
      <c r="N741" s="204"/>
    </row>
    <row r="742" spans="4:14" ht="18.75" hidden="1" customHeight="1" x14ac:dyDescent="0.35">
      <c r="D742" s="41" t="s">
        <v>60</v>
      </c>
      <c r="E742" s="41" t="s">
        <v>34</v>
      </c>
      <c r="F742" s="42"/>
      <c r="G742" s="42"/>
      <c r="H742" s="42"/>
      <c r="I742" s="42"/>
      <c r="J742" s="42"/>
      <c r="K742" s="42"/>
      <c r="L742" s="42"/>
      <c r="M742" s="165">
        <f>M316</f>
        <v>13384.6</v>
      </c>
      <c r="N742" s="204"/>
    </row>
    <row r="743" spans="4:14" ht="18.75" hidden="1" customHeight="1" x14ac:dyDescent="0.35">
      <c r="D743" s="41" t="s">
        <v>60</v>
      </c>
      <c r="E743" s="41" t="s">
        <v>60</v>
      </c>
      <c r="F743" s="42"/>
      <c r="G743" s="42"/>
      <c r="H743" s="42"/>
      <c r="I743" s="42"/>
      <c r="J743" s="42"/>
      <c r="K743" s="42"/>
      <c r="L743" s="42"/>
      <c r="M743" s="165"/>
      <c r="N743" s="204"/>
    </row>
    <row r="744" spans="4:14" ht="18.75" hidden="1" customHeight="1" x14ac:dyDescent="0.35">
      <c r="D744" s="41" t="s">
        <v>60</v>
      </c>
      <c r="E744" s="41" t="s">
        <v>58</v>
      </c>
      <c r="F744" s="42"/>
      <c r="G744" s="42"/>
      <c r="H744" s="42"/>
      <c r="I744" s="42"/>
      <c r="J744" s="42"/>
      <c r="K744" s="42"/>
      <c r="L744" s="42"/>
      <c r="M744" s="165">
        <f>M179</f>
        <v>3333.7</v>
      </c>
      <c r="N744" s="204"/>
    </row>
    <row r="745" spans="4:14" ht="18.75" hidden="1" customHeight="1" x14ac:dyDescent="0.35">
      <c r="D745" s="166" t="s">
        <v>60</v>
      </c>
      <c r="E745" s="166" t="s">
        <v>38</v>
      </c>
      <c r="F745" s="42"/>
      <c r="G745" s="42"/>
      <c r="H745" s="42"/>
      <c r="I745" s="42"/>
      <c r="J745" s="42"/>
      <c r="K745" s="42"/>
      <c r="L745" s="42"/>
      <c r="M745" s="167">
        <f>SUBTOTAL(9,M741:M744)</f>
        <v>60137.999999999993</v>
      </c>
      <c r="N745" s="205"/>
    </row>
    <row r="746" spans="4:14" ht="18.75" hidden="1" customHeight="1" x14ac:dyDescent="0.35">
      <c r="D746" s="41"/>
      <c r="E746" s="41"/>
      <c r="F746" s="42"/>
      <c r="G746" s="42"/>
      <c r="H746" s="42"/>
      <c r="I746" s="42"/>
      <c r="J746" s="42"/>
      <c r="K746" s="42"/>
      <c r="L746" s="42"/>
      <c r="M746" s="165"/>
      <c r="N746" s="204"/>
    </row>
    <row r="747" spans="4:14" ht="18.75" hidden="1" customHeight="1" x14ac:dyDescent="0.35">
      <c r="D747" s="41" t="s">
        <v>219</v>
      </c>
      <c r="E747" s="41" t="s">
        <v>32</v>
      </c>
      <c r="F747" s="42"/>
      <c r="G747" s="42"/>
      <c r="H747" s="42"/>
      <c r="I747" s="42"/>
      <c r="J747" s="42"/>
      <c r="K747" s="42"/>
      <c r="L747" s="42"/>
      <c r="M747" s="165">
        <f>M377+M325</f>
        <v>467104.80000000005</v>
      </c>
      <c r="N747" s="204"/>
    </row>
    <row r="748" spans="4:14" ht="18.75" hidden="1" customHeight="1" x14ac:dyDescent="0.35">
      <c r="D748" s="41" t="s">
        <v>219</v>
      </c>
      <c r="E748" s="41" t="s">
        <v>34</v>
      </c>
      <c r="F748" s="42"/>
      <c r="G748" s="42"/>
      <c r="H748" s="42"/>
      <c r="I748" s="42"/>
      <c r="J748" s="42"/>
      <c r="K748" s="42"/>
      <c r="L748" s="42"/>
      <c r="M748" s="165">
        <f>M333+M403</f>
        <v>648182.00900000008</v>
      </c>
      <c r="N748" s="204"/>
    </row>
    <row r="749" spans="4:14" ht="18.75" hidden="1" customHeight="1" x14ac:dyDescent="0.35">
      <c r="D749" s="41" t="s">
        <v>219</v>
      </c>
      <c r="E749" s="41" t="s">
        <v>58</v>
      </c>
      <c r="F749" s="42"/>
      <c r="G749" s="42"/>
      <c r="H749" s="42"/>
      <c r="I749" s="42"/>
      <c r="J749" s="42"/>
      <c r="K749" s="42"/>
      <c r="L749" s="42"/>
      <c r="M749" s="165">
        <f>M458+M528</f>
        <v>122965.48499999999</v>
      </c>
      <c r="N749" s="204"/>
    </row>
    <row r="750" spans="4:14" ht="18.75" hidden="1" customHeight="1" x14ac:dyDescent="0.35">
      <c r="D750" s="41" t="s">
        <v>219</v>
      </c>
      <c r="E750" s="41" t="s">
        <v>60</v>
      </c>
      <c r="F750" s="42"/>
      <c r="G750" s="42"/>
      <c r="H750" s="42"/>
      <c r="I750" s="42"/>
      <c r="J750" s="42"/>
      <c r="K750" s="42"/>
      <c r="L750" s="42"/>
      <c r="M750" s="165">
        <f>M190+M240+M339</f>
        <v>221.2</v>
      </c>
      <c r="N750" s="204"/>
    </row>
    <row r="751" spans="4:14" ht="18.75" hidden="1" customHeight="1" x14ac:dyDescent="0.35">
      <c r="D751" s="41" t="s">
        <v>219</v>
      </c>
      <c r="E751" s="41" t="s">
        <v>219</v>
      </c>
      <c r="F751" s="42"/>
      <c r="G751" s="42"/>
      <c r="H751" s="42"/>
      <c r="I751" s="42"/>
      <c r="J751" s="42"/>
      <c r="K751" s="42"/>
      <c r="L751" s="42"/>
      <c r="M751" s="165">
        <f>M666+M538+M479</f>
        <v>9711.5999999999985</v>
      </c>
      <c r="N751" s="204"/>
    </row>
    <row r="752" spans="4:14" ht="18.75" hidden="1" customHeight="1" x14ac:dyDescent="0.35">
      <c r="D752" s="41" t="s">
        <v>219</v>
      </c>
      <c r="E752" s="41" t="s">
        <v>74</v>
      </c>
      <c r="F752" s="42"/>
      <c r="G752" s="42"/>
      <c r="H752" s="42"/>
      <c r="I752" s="42"/>
      <c r="J752" s="42"/>
      <c r="K752" s="42"/>
      <c r="L752" s="42"/>
      <c r="M752" s="165">
        <f>M487+M544+M676</f>
        <v>75945.46699999999</v>
      </c>
      <c r="N752" s="204"/>
    </row>
    <row r="753" spans="4:14" ht="18.75" hidden="1" customHeight="1" x14ac:dyDescent="0.35">
      <c r="D753" s="166" t="s">
        <v>219</v>
      </c>
      <c r="E753" s="166" t="s">
        <v>38</v>
      </c>
      <c r="F753" s="42"/>
      <c r="G753" s="42"/>
      <c r="H753" s="42"/>
      <c r="I753" s="42"/>
      <c r="J753" s="42"/>
      <c r="K753" s="42"/>
      <c r="L753" s="42"/>
      <c r="M753" s="167">
        <f>SUBTOTAL(9,M747:M752)</f>
        <v>1324130.5610000002</v>
      </c>
      <c r="N753" s="205"/>
    </row>
    <row r="754" spans="4:14" ht="18.75" hidden="1" customHeight="1" x14ac:dyDescent="0.35">
      <c r="D754" s="41"/>
      <c r="E754" s="41"/>
      <c r="F754" s="42"/>
      <c r="G754" s="42"/>
      <c r="H754" s="42"/>
      <c r="I754" s="42"/>
      <c r="J754" s="42"/>
      <c r="K754" s="42"/>
      <c r="L754" s="42"/>
      <c r="M754" s="165"/>
      <c r="N754" s="204"/>
    </row>
    <row r="755" spans="4:14" ht="18.75" hidden="1" customHeight="1" x14ac:dyDescent="0.35">
      <c r="D755" s="41" t="s">
        <v>221</v>
      </c>
      <c r="E755" s="41" t="s">
        <v>32</v>
      </c>
      <c r="F755" s="42"/>
      <c r="G755" s="42"/>
      <c r="H755" s="42"/>
      <c r="I755" s="42"/>
      <c r="J755" s="42"/>
      <c r="K755" s="42"/>
      <c r="L755" s="42"/>
      <c r="M755" s="165">
        <f>M551</f>
        <v>31746.5</v>
      </c>
      <c r="N755" s="204"/>
    </row>
    <row r="756" spans="4:14" ht="18.75" hidden="1" customHeight="1" x14ac:dyDescent="0.35">
      <c r="D756" s="41" t="s">
        <v>221</v>
      </c>
      <c r="E756" s="41" t="s">
        <v>47</v>
      </c>
      <c r="F756" s="42"/>
      <c r="G756" s="42"/>
      <c r="H756" s="42"/>
      <c r="I756" s="42"/>
      <c r="J756" s="42"/>
      <c r="K756" s="42"/>
      <c r="L756" s="42"/>
      <c r="M756" s="165">
        <f>M577</f>
        <v>11728.1</v>
      </c>
      <c r="N756" s="204"/>
    </row>
    <row r="757" spans="4:14" ht="18.75" hidden="1" customHeight="1" x14ac:dyDescent="0.35">
      <c r="D757" s="166" t="s">
        <v>221</v>
      </c>
      <c r="E757" s="166" t="s">
        <v>38</v>
      </c>
      <c r="F757" s="42"/>
      <c r="G757" s="42"/>
      <c r="H757" s="42"/>
      <c r="I757" s="42"/>
      <c r="J757" s="42"/>
      <c r="K757" s="42"/>
      <c r="L757" s="42"/>
      <c r="M757" s="167">
        <f>SUBTOTAL(9,M755:M756)</f>
        <v>43474.6</v>
      </c>
      <c r="N757" s="205"/>
    </row>
    <row r="758" spans="4:14" ht="18.75" hidden="1" customHeight="1" x14ac:dyDescent="0.35">
      <c r="D758" s="41"/>
      <c r="E758" s="41"/>
      <c r="F758" s="42"/>
      <c r="G758" s="42"/>
      <c r="H758" s="42"/>
      <c r="I758" s="42"/>
      <c r="J758" s="42"/>
      <c r="K758" s="42"/>
      <c r="L758" s="42"/>
      <c r="M758" s="165"/>
      <c r="N758" s="204"/>
    </row>
    <row r="759" spans="4:14" ht="18.75" hidden="1" customHeight="1" x14ac:dyDescent="0.35">
      <c r="D759" s="41" t="s">
        <v>99</v>
      </c>
      <c r="E759" s="41" t="s">
        <v>32</v>
      </c>
      <c r="F759" s="42"/>
      <c r="G759" s="42"/>
      <c r="H759" s="42"/>
      <c r="I759" s="42"/>
      <c r="J759" s="42"/>
      <c r="K759" s="42"/>
      <c r="L759" s="42"/>
      <c r="M759" s="165">
        <f>M197</f>
        <v>1200</v>
      </c>
      <c r="N759" s="204"/>
    </row>
    <row r="760" spans="4:14" ht="18.75" hidden="1" customHeight="1" x14ac:dyDescent="0.35">
      <c r="D760" s="41" t="s">
        <v>99</v>
      </c>
      <c r="E760" s="41" t="s">
        <v>58</v>
      </c>
      <c r="F760" s="42"/>
      <c r="G760" s="42"/>
      <c r="H760" s="42"/>
      <c r="I760" s="42"/>
      <c r="J760" s="42"/>
      <c r="K760" s="42"/>
      <c r="L760" s="42"/>
      <c r="M760" s="165"/>
      <c r="N760" s="204"/>
    </row>
    <row r="761" spans="4:14" ht="18.75" hidden="1" customHeight="1" x14ac:dyDescent="0.35">
      <c r="D761" s="41" t="s">
        <v>99</v>
      </c>
      <c r="E761" s="41" t="s">
        <v>47</v>
      </c>
      <c r="F761" s="42"/>
      <c r="G761" s="42"/>
      <c r="H761" s="42"/>
      <c r="I761" s="42"/>
      <c r="J761" s="42"/>
      <c r="K761" s="42"/>
      <c r="L761" s="42"/>
      <c r="M761" s="165">
        <f>M346+M511+M687</f>
        <v>119634.1</v>
      </c>
      <c r="N761" s="204"/>
    </row>
    <row r="762" spans="4:14" ht="18.75" hidden="1" customHeight="1" x14ac:dyDescent="0.35">
      <c r="D762" s="41" t="s">
        <v>99</v>
      </c>
      <c r="E762" s="41" t="s">
        <v>76</v>
      </c>
      <c r="F762" s="42"/>
      <c r="G762" s="42"/>
      <c r="H762" s="42"/>
      <c r="I762" s="42"/>
      <c r="J762" s="42"/>
      <c r="K762" s="42"/>
      <c r="L762" s="42"/>
      <c r="M762" s="165">
        <f>M203+M703</f>
        <v>8723.4</v>
      </c>
      <c r="N762" s="204"/>
    </row>
    <row r="763" spans="4:14" ht="18.75" hidden="1" customHeight="1" x14ac:dyDescent="0.35">
      <c r="D763" s="166" t="s">
        <v>99</v>
      </c>
      <c r="E763" s="166" t="s">
        <v>38</v>
      </c>
      <c r="F763" s="42"/>
      <c r="G763" s="42"/>
      <c r="H763" s="42"/>
      <c r="I763" s="42"/>
      <c r="J763" s="42"/>
      <c r="K763" s="42"/>
      <c r="L763" s="42"/>
      <c r="M763" s="167">
        <f>SUBTOTAL(9,M759:M762)</f>
        <v>129557.5</v>
      </c>
      <c r="N763" s="205"/>
    </row>
    <row r="764" spans="4:14" ht="18.75" hidden="1" customHeight="1" x14ac:dyDescent="0.35">
      <c r="D764" s="41"/>
      <c r="E764" s="41"/>
      <c r="F764" s="42"/>
      <c r="G764" s="42"/>
      <c r="H764" s="42"/>
      <c r="I764" s="42"/>
      <c r="J764" s="42"/>
      <c r="K764" s="42"/>
      <c r="L764" s="42"/>
      <c r="M764" s="165"/>
      <c r="N764" s="204"/>
    </row>
    <row r="765" spans="4:14" ht="18.75" hidden="1" customHeight="1" x14ac:dyDescent="0.35">
      <c r="D765" s="41" t="s">
        <v>62</v>
      </c>
      <c r="E765" s="41" t="s">
        <v>32</v>
      </c>
      <c r="F765" s="42"/>
      <c r="G765" s="42"/>
      <c r="H765" s="42"/>
      <c r="I765" s="42"/>
      <c r="J765" s="42"/>
      <c r="K765" s="42"/>
      <c r="L765" s="42"/>
      <c r="M765" s="165">
        <f>M605+M355</f>
        <v>42331.3</v>
      </c>
      <c r="N765" s="204"/>
    </row>
    <row r="766" spans="4:14" ht="18.75" hidden="1" customHeight="1" x14ac:dyDescent="0.35">
      <c r="D766" s="41" t="s">
        <v>62</v>
      </c>
      <c r="E766" s="41" t="s">
        <v>34</v>
      </c>
      <c r="F766" s="42"/>
      <c r="G766" s="42"/>
      <c r="H766" s="42"/>
      <c r="I766" s="42"/>
      <c r="J766" s="42"/>
      <c r="K766" s="42"/>
      <c r="L766" s="42"/>
      <c r="M766" s="165">
        <f>M636</f>
        <v>629.70000000000005</v>
      </c>
      <c r="N766" s="204"/>
    </row>
    <row r="767" spans="4:14" ht="18.75" hidden="1" customHeight="1" x14ac:dyDescent="0.35">
      <c r="D767" s="41" t="s">
        <v>62</v>
      </c>
      <c r="E767" s="41" t="s">
        <v>60</v>
      </c>
      <c r="F767" s="42"/>
      <c r="G767" s="42"/>
      <c r="H767" s="42"/>
      <c r="I767" s="42"/>
      <c r="J767" s="42"/>
      <c r="K767" s="42"/>
      <c r="L767" s="42"/>
      <c r="M767" s="165">
        <f>M642</f>
        <v>2858.1</v>
      </c>
      <c r="N767" s="204"/>
    </row>
    <row r="768" spans="4:14" ht="18.75" hidden="1" customHeight="1" x14ac:dyDescent="0.35">
      <c r="D768" s="166" t="s">
        <v>62</v>
      </c>
      <c r="E768" s="166" t="s">
        <v>38</v>
      </c>
      <c r="F768" s="42"/>
      <c r="G768" s="42"/>
      <c r="H768" s="42"/>
      <c r="I768" s="42"/>
      <c r="J768" s="42"/>
      <c r="K768" s="42"/>
      <c r="L768" s="42"/>
      <c r="M768" s="167">
        <f>SUBTOTAL(9,M765:M767)</f>
        <v>45819.1</v>
      </c>
      <c r="N768" s="205"/>
    </row>
    <row r="769" spans="2:14" ht="18.75" hidden="1" customHeight="1" x14ac:dyDescent="0.35">
      <c r="D769" s="41"/>
      <c r="E769" s="41"/>
      <c r="F769" s="42"/>
      <c r="G769" s="42"/>
      <c r="H769" s="42"/>
      <c r="I769" s="42"/>
      <c r="J769" s="42"/>
      <c r="K769" s="42"/>
      <c r="L769" s="42"/>
      <c r="M769" s="165"/>
      <c r="N769" s="204"/>
    </row>
    <row r="770" spans="2:14" ht="18.75" hidden="1" customHeight="1" x14ac:dyDescent="0.35">
      <c r="D770" s="41" t="s">
        <v>66</v>
      </c>
      <c r="E770" s="41" t="s">
        <v>32</v>
      </c>
      <c r="F770" s="42"/>
      <c r="G770" s="42"/>
      <c r="H770" s="42"/>
      <c r="I770" s="42"/>
      <c r="J770" s="42"/>
      <c r="K770" s="42"/>
      <c r="L770" s="42"/>
      <c r="M770" s="165">
        <f>M210</f>
        <v>9.4</v>
      </c>
      <c r="N770" s="204"/>
    </row>
    <row r="771" spans="2:14" ht="18.75" hidden="1" customHeight="1" x14ac:dyDescent="0.35">
      <c r="D771" s="166" t="s">
        <v>66</v>
      </c>
      <c r="E771" s="166" t="s">
        <v>38</v>
      </c>
      <c r="F771" s="42"/>
      <c r="G771" s="42"/>
      <c r="H771" s="42"/>
      <c r="I771" s="42"/>
      <c r="J771" s="42"/>
      <c r="K771" s="42"/>
      <c r="L771" s="42"/>
      <c r="M771" s="167">
        <f>M770</f>
        <v>9.4</v>
      </c>
      <c r="N771" s="205"/>
    </row>
    <row r="772" spans="2:14" ht="18.75" hidden="1" customHeight="1" x14ac:dyDescent="0.35">
      <c r="D772" s="41"/>
      <c r="E772" s="41"/>
      <c r="F772" s="42"/>
      <c r="G772" s="42"/>
      <c r="H772" s="42"/>
      <c r="I772" s="42"/>
      <c r="J772" s="42"/>
      <c r="K772" s="42"/>
      <c r="L772" s="42"/>
      <c r="M772" s="165"/>
      <c r="N772" s="204"/>
    </row>
    <row r="773" spans="2:14" ht="18.75" hidden="1" customHeight="1" x14ac:dyDescent="0.35">
      <c r="D773" s="41" t="s">
        <v>83</v>
      </c>
      <c r="E773" s="41" t="s">
        <v>32</v>
      </c>
      <c r="F773" s="42"/>
      <c r="G773" s="42"/>
      <c r="H773" s="42"/>
      <c r="I773" s="42"/>
      <c r="J773" s="42"/>
      <c r="K773" s="42"/>
      <c r="L773" s="42"/>
      <c r="M773" s="165">
        <f>M247</f>
        <v>7000</v>
      </c>
      <c r="N773" s="204"/>
    </row>
    <row r="774" spans="2:14" ht="18.75" hidden="1" customHeight="1" x14ac:dyDescent="0.35">
      <c r="D774" s="41" t="s">
        <v>83</v>
      </c>
      <c r="E774" s="41" t="s">
        <v>34</v>
      </c>
      <c r="F774" s="42"/>
      <c r="G774" s="42"/>
      <c r="H774" s="42"/>
      <c r="I774" s="42"/>
      <c r="J774" s="42"/>
      <c r="K774" s="42"/>
      <c r="L774" s="42"/>
      <c r="M774" s="165"/>
      <c r="N774" s="204"/>
    </row>
    <row r="775" spans="2:14" ht="18.75" hidden="1" customHeight="1" x14ac:dyDescent="0.35">
      <c r="D775" s="41" t="s">
        <v>83</v>
      </c>
      <c r="E775" s="41" t="s">
        <v>58</v>
      </c>
      <c r="F775" s="42"/>
      <c r="G775" s="42"/>
      <c r="H775" s="42"/>
      <c r="I775" s="42"/>
      <c r="J775" s="42"/>
      <c r="K775" s="42"/>
      <c r="L775" s="42"/>
      <c r="M775" s="165"/>
      <c r="N775" s="204"/>
    </row>
    <row r="776" spans="2:14" ht="18.75" hidden="1" customHeight="1" x14ac:dyDescent="0.35">
      <c r="D776" s="166" t="s">
        <v>83</v>
      </c>
      <c r="E776" s="166" t="s">
        <v>38</v>
      </c>
      <c r="F776" s="42"/>
      <c r="G776" s="42"/>
      <c r="H776" s="42"/>
      <c r="I776" s="42"/>
      <c r="J776" s="42"/>
      <c r="K776" s="42"/>
      <c r="L776" s="42"/>
      <c r="M776" s="167">
        <f>SUBTOTAL(9,M773:M775)</f>
        <v>7000</v>
      </c>
      <c r="N776" s="205"/>
    </row>
    <row r="777" spans="2:14" ht="18.75" hidden="1" customHeight="1" x14ac:dyDescent="0.35">
      <c r="D777" s="72"/>
      <c r="E777" s="41"/>
      <c r="F777" s="42"/>
      <c r="G777" s="42"/>
      <c r="H777" s="42"/>
      <c r="I777" s="42"/>
      <c r="J777" s="42"/>
      <c r="K777" s="42"/>
      <c r="L777" s="42"/>
      <c r="M777" s="305">
        <f>M730+M734+M739+M745+M753+M757+M763+M768+M771+M776</f>
        <v>1884626.8870000003</v>
      </c>
      <c r="N777" s="75"/>
    </row>
    <row r="778" spans="2:14" ht="18.75" hidden="1" customHeight="1" x14ac:dyDescent="0.35">
      <c r="D778" s="73"/>
      <c r="E778" s="73"/>
      <c r="F778" s="47"/>
      <c r="G778" s="47"/>
      <c r="H778" s="47"/>
      <c r="I778" s="47"/>
      <c r="J778" s="47"/>
      <c r="K778" s="47"/>
      <c r="L778" s="47"/>
      <c r="M778" s="74"/>
      <c r="N778" s="75"/>
    </row>
    <row r="779" spans="2:14" ht="18.75" hidden="1" customHeight="1" x14ac:dyDescent="0.35">
      <c r="B779" s="7" t="s">
        <v>356</v>
      </c>
      <c r="D779" s="73"/>
      <c r="E779" s="73"/>
      <c r="F779" s="47"/>
      <c r="G779" s="47"/>
      <c r="H779" s="47"/>
      <c r="I779" s="47"/>
      <c r="J779" s="47"/>
      <c r="K779" s="47"/>
      <c r="L779" s="47"/>
      <c r="M779" s="74"/>
      <c r="N779" s="75"/>
    </row>
    <row r="780" spans="2:14" ht="18.75" hidden="1" customHeight="1" x14ac:dyDescent="0.35">
      <c r="B780" s="7" t="s">
        <v>355</v>
      </c>
      <c r="D780" s="73"/>
      <c r="E780" s="73"/>
      <c r="F780" s="47"/>
      <c r="G780" s="47"/>
      <c r="H780" s="47"/>
      <c r="I780" s="47"/>
      <c r="J780" s="47"/>
      <c r="K780" s="47"/>
      <c r="L780" s="47"/>
      <c r="M780" s="74"/>
      <c r="N780" s="75"/>
    </row>
    <row r="781" spans="2:14" ht="18.75" customHeight="1" x14ac:dyDescent="0.35">
      <c r="D781" s="73"/>
      <c r="E781" s="73"/>
      <c r="F781" s="47"/>
      <c r="G781" s="47"/>
      <c r="H781" s="47"/>
      <c r="I781" s="47"/>
      <c r="J781" s="47"/>
      <c r="K781" s="47"/>
      <c r="L781" s="47"/>
      <c r="M781" s="76"/>
      <c r="N781" s="75"/>
    </row>
    <row r="782" spans="2:14" ht="18.75" customHeight="1" x14ac:dyDescent="0.35">
      <c r="D782" s="73"/>
      <c r="E782" s="73"/>
      <c r="F782" s="47"/>
      <c r="G782" s="47"/>
      <c r="H782" s="47"/>
      <c r="I782" s="47"/>
      <c r="J782" s="47"/>
      <c r="K782" s="47"/>
      <c r="L782" s="47"/>
      <c r="M782" s="77"/>
      <c r="N782" s="75"/>
    </row>
    <row r="783" spans="2:14" ht="15" customHeight="1" x14ac:dyDescent="0.3">
      <c r="D783" s="75"/>
      <c r="E783" s="75"/>
      <c r="F783" s="75"/>
      <c r="G783" s="75"/>
      <c r="H783" s="75"/>
      <c r="I783" s="75"/>
      <c r="J783" s="75"/>
      <c r="K783" s="75"/>
      <c r="L783" s="75"/>
      <c r="M783" s="77"/>
      <c r="N783" s="75"/>
    </row>
    <row r="784" spans="2:14" ht="15" customHeight="1" x14ac:dyDescent="0.3">
      <c r="D784" s="75"/>
      <c r="E784" s="75"/>
      <c r="F784" s="75"/>
      <c r="G784" s="75"/>
      <c r="H784" s="75"/>
      <c r="I784" s="75"/>
      <c r="J784" s="75"/>
      <c r="K784" s="75"/>
      <c r="L784" s="75"/>
      <c r="M784" s="77"/>
      <c r="N784" s="75"/>
    </row>
    <row r="785" spans="4:14" ht="15" customHeight="1" x14ac:dyDescent="0.3">
      <c r="D785" s="75"/>
      <c r="E785" s="75"/>
      <c r="F785" s="75"/>
      <c r="G785" s="75"/>
      <c r="H785" s="75"/>
      <c r="I785" s="75"/>
      <c r="J785" s="75"/>
      <c r="K785" s="75"/>
      <c r="L785" s="75"/>
      <c r="M785" s="77"/>
      <c r="N785" s="75"/>
    </row>
    <row r="786" spans="4:14" ht="15" customHeight="1" x14ac:dyDescent="0.3">
      <c r="D786" s="75"/>
      <c r="E786" s="75"/>
      <c r="F786" s="75"/>
      <c r="G786" s="75"/>
      <c r="H786" s="75"/>
      <c r="I786" s="75"/>
      <c r="J786" s="75"/>
      <c r="K786" s="75"/>
      <c r="L786" s="75"/>
      <c r="M786" s="77"/>
      <c r="N786" s="75"/>
    </row>
    <row r="787" spans="4:14" ht="15" customHeight="1" x14ac:dyDescent="0.3">
      <c r="D787" s="75"/>
      <c r="E787" s="75"/>
      <c r="F787" s="75"/>
      <c r="G787" s="75"/>
      <c r="H787" s="75"/>
      <c r="I787" s="75"/>
      <c r="J787" s="75"/>
      <c r="K787" s="75"/>
      <c r="L787" s="75"/>
      <c r="M787" s="77"/>
      <c r="N787" s="75"/>
    </row>
    <row r="788" spans="4:14" ht="15" customHeight="1" x14ac:dyDescent="0.3">
      <c r="D788" s="75"/>
      <c r="E788" s="75"/>
      <c r="F788" s="75"/>
      <c r="G788" s="75"/>
      <c r="H788" s="75"/>
      <c r="I788" s="75"/>
      <c r="J788" s="75"/>
      <c r="K788" s="75"/>
      <c r="L788" s="75"/>
      <c r="M788" s="77"/>
      <c r="N788" s="75"/>
    </row>
    <row r="789" spans="4:14" ht="15" customHeight="1" x14ac:dyDescent="0.3">
      <c r="D789" s="75"/>
      <c r="E789" s="75"/>
      <c r="F789" s="75"/>
      <c r="G789" s="75"/>
      <c r="H789" s="75"/>
      <c r="I789" s="75"/>
      <c r="J789" s="75"/>
      <c r="K789" s="75"/>
      <c r="L789" s="75"/>
      <c r="M789" s="77"/>
      <c r="N789" s="75"/>
    </row>
    <row r="790" spans="4:14" ht="15" customHeight="1" x14ac:dyDescent="0.3">
      <c r="D790" s="75"/>
      <c r="E790" s="75"/>
      <c r="F790" s="75"/>
      <c r="G790" s="75"/>
      <c r="H790" s="75"/>
      <c r="I790" s="75"/>
      <c r="J790" s="75"/>
      <c r="K790" s="75"/>
      <c r="L790" s="75"/>
      <c r="M790" s="77"/>
      <c r="N790" s="75"/>
    </row>
    <row r="791" spans="4:14" ht="15" customHeight="1" x14ac:dyDescent="0.3">
      <c r="D791" s="75"/>
      <c r="E791" s="75"/>
      <c r="F791" s="75"/>
      <c r="G791" s="75"/>
      <c r="H791" s="75"/>
      <c r="I791" s="75"/>
      <c r="J791" s="75"/>
      <c r="K791" s="75"/>
      <c r="L791" s="75"/>
      <c r="M791" s="77"/>
      <c r="N791" s="75"/>
    </row>
    <row r="792" spans="4:14" ht="15" customHeight="1" x14ac:dyDescent="0.3">
      <c r="D792" s="75"/>
      <c r="E792" s="75"/>
      <c r="F792" s="75"/>
      <c r="G792" s="75"/>
      <c r="H792" s="75"/>
      <c r="I792" s="75"/>
      <c r="J792" s="75"/>
      <c r="K792" s="75"/>
      <c r="L792" s="75"/>
      <c r="M792" s="77"/>
      <c r="N792" s="75"/>
    </row>
    <row r="793" spans="4:14" ht="15" customHeight="1" x14ac:dyDescent="0.3">
      <c r="D793" s="75"/>
      <c r="E793" s="75"/>
      <c r="F793" s="75"/>
      <c r="G793" s="75"/>
      <c r="H793" s="75"/>
      <c r="I793" s="75"/>
      <c r="J793" s="75"/>
      <c r="K793" s="75"/>
      <c r="L793" s="75"/>
      <c r="M793" s="77"/>
      <c r="N793" s="75"/>
    </row>
    <row r="794" spans="4:14" ht="15" customHeight="1" x14ac:dyDescent="0.3">
      <c r="D794" s="75"/>
      <c r="E794" s="75"/>
      <c r="F794" s="75"/>
      <c r="G794" s="75"/>
      <c r="H794" s="75"/>
      <c r="I794" s="75"/>
      <c r="J794" s="75"/>
      <c r="K794" s="75"/>
      <c r="L794" s="75"/>
      <c r="M794" s="77"/>
      <c r="N794" s="75"/>
    </row>
    <row r="795" spans="4:14" ht="15" customHeight="1" x14ac:dyDescent="0.3">
      <c r="D795" s="75"/>
      <c r="E795" s="75"/>
      <c r="F795" s="75"/>
      <c r="G795" s="75"/>
      <c r="H795" s="75"/>
      <c r="I795" s="75"/>
      <c r="J795" s="75"/>
      <c r="K795" s="75"/>
      <c r="L795" s="75"/>
      <c r="M795" s="77"/>
      <c r="N795" s="75"/>
    </row>
    <row r="796" spans="4:14" ht="15" customHeight="1" x14ac:dyDescent="0.3">
      <c r="D796" s="75"/>
      <c r="E796" s="75"/>
      <c r="F796" s="75"/>
      <c r="G796" s="75"/>
      <c r="H796" s="75"/>
      <c r="I796" s="75"/>
      <c r="J796" s="75"/>
      <c r="K796" s="75"/>
      <c r="L796" s="75"/>
      <c r="M796" s="77"/>
      <c r="N796" s="75"/>
    </row>
    <row r="797" spans="4:14" ht="15" customHeight="1" x14ac:dyDescent="0.3">
      <c r="D797" s="75"/>
      <c r="E797" s="75"/>
      <c r="F797" s="75"/>
      <c r="G797" s="75"/>
      <c r="H797" s="75"/>
      <c r="I797" s="75"/>
      <c r="J797" s="75"/>
      <c r="K797" s="75"/>
      <c r="L797" s="75"/>
      <c r="M797" s="77"/>
      <c r="N797" s="75"/>
    </row>
    <row r="798" spans="4:14" ht="15" customHeight="1" x14ac:dyDescent="0.3">
      <c r="D798" s="75"/>
      <c r="E798" s="75"/>
      <c r="F798" s="75"/>
      <c r="G798" s="75"/>
      <c r="H798" s="75"/>
      <c r="I798" s="75"/>
      <c r="J798" s="75"/>
      <c r="K798" s="75"/>
      <c r="L798" s="75"/>
      <c r="M798" s="77"/>
      <c r="N798" s="75"/>
    </row>
    <row r="799" spans="4:14" ht="15" customHeight="1" x14ac:dyDescent="0.3">
      <c r="D799" s="75"/>
      <c r="E799" s="75"/>
      <c r="F799" s="75"/>
      <c r="G799" s="75"/>
      <c r="H799" s="75"/>
      <c r="I799" s="75"/>
      <c r="J799" s="75"/>
      <c r="K799" s="75"/>
      <c r="L799" s="75"/>
      <c r="M799" s="77"/>
      <c r="N799" s="75"/>
    </row>
    <row r="800" spans="4:14" ht="15" customHeight="1" x14ac:dyDescent="0.3">
      <c r="D800" s="75"/>
      <c r="E800" s="75"/>
      <c r="F800" s="75"/>
      <c r="G800" s="75"/>
      <c r="H800" s="75"/>
      <c r="I800" s="75"/>
      <c r="J800" s="75"/>
      <c r="K800" s="75"/>
      <c r="L800" s="75"/>
      <c r="M800" s="77"/>
      <c r="N800" s="75"/>
    </row>
    <row r="801" spans="4:14" ht="15" customHeight="1" x14ac:dyDescent="0.3">
      <c r="D801" s="75"/>
      <c r="E801" s="75"/>
      <c r="F801" s="75"/>
      <c r="G801" s="75"/>
      <c r="H801" s="75"/>
      <c r="I801" s="75"/>
      <c r="J801" s="75"/>
      <c r="K801" s="75"/>
      <c r="L801" s="75"/>
      <c r="M801" s="77"/>
      <c r="N801" s="75"/>
    </row>
    <row r="802" spans="4:14" ht="15" customHeight="1" x14ac:dyDescent="0.3">
      <c r="D802" s="75"/>
      <c r="E802" s="75"/>
      <c r="F802" s="75"/>
      <c r="G802" s="75"/>
      <c r="H802" s="75"/>
      <c r="I802" s="75"/>
      <c r="J802" s="75"/>
      <c r="K802" s="75"/>
      <c r="L802" s="75"/>
      <c r="M802" s="77"/>
      <c r="N802" s="75"/>
    </row>
    <row r="803" spans="4:14" ht="15" customHeight="1" x14ac:dyDescent="0.3">
      <c r="D803" s="75"/>
      <c r="E803" s="75"/>
      <c r="F803" s="75"/>
      <c r="G803" s="75"/>
      <c r="H803" s="75"/>
      <c r="I803" s="75"/>
      <c r="J803" s="75"/>
      <c r="K803" s="75"/>
      <c r="L803" s="75"/>
      <c r="M803" s="77"/>
      <c r="N803" s="75"/>
    </row>
    <row r="804" spans="4:14" ht="15" customHeight="1" x14ac:dyDescent="0.3">
      <c r="D804" s="75"/>
      <c r="E804" s="75"/>
      <c r="F804" s="75"/>
      <c r="G804" s="75"/>
      <c r="H804" s="75"/>
      <c r="I804" s="75"/>
      <c r="J804" s="75"/>
      <c r="K804" s="75"/>
      <c r="L804" s="75"/>
      <c r="M804" s="77"/>
      <c r="N804" s="75"/>
    </row>
    <row r="805" spans="4:14" ht="15" customHeight="1" x14ac:dyDescent="0.3">
      <c r="D805" s="75"/>
      <c r="E805" s="75"/>
      <c r="F805" s="75"/>
      <c r="G805" s="75"/>
      <c r="H805" s="75"/>
      <c r="I805" s="75"/>
      <c r="J805" s="75"/>
      <c r="K805" s="75"/>
      <c r="L805" s="75"/>
      <c r="M805" s="77"/>
      <c r="N805" s="75"/>
    </row>
    <row r="806" spans="4:14" ht="15" customHeight="1" x14ac:dyDescent="0.3">
      <c r="D806" s="75"/>
      <c r="E806" s="75"/>
      <c r="F806" s="75"/>
      <c r="G806" s="75"/>
      <c r="H806" s="75"/>
      <c r="I806" s="75"/>
      <c r="J806" s="75"/>
      <c r="K806" s="75"/>
      <c r="L806" s="75"/>
      <c r="M806" s="77"/>
      <c r="N806" s="75"/>
    </row>
    <row r="807" spans="4:14" ht="15" customHeight="1" x14ac:dyDescent="0.3">
      <c r="D807" s="75"/>
      <c r="E807" s="75"/>
      <c r="F807" s="75"/>
      <c r="G807" s="75"/>
      <c r="H807" s="75"/>
      <c r="I807" s="75"/>
      <c r="J807" s="75"/>
      <c r="K807" s="75"/>
      <c r="L807" s="75"/>
      <c r="M807" s="77"/>
      <c r="N807" s="75"/>
    </row>
    <row r="808" spans="4:14" ht="15" customHeight="1" x14ac:dyDescent="0.3">
      <c r="D808" s="75"/>
      <c r="E808" s="75"/>
      <c r="F808" s="75"/>
      <c r="G808" s="75"/>
      <c r="H808" s="75"/>
      <c r="I808" s="75"/>
      <c r="J808" s="75"/>
      <c r="K808" s="75"/>
      <c r="L808" s="75"/>
      <c r="M808" s="77"/>
      <c r="N808" s="75"/>
    </row>
    <row r="809" spans="4:14" ht="15" customHeight="1" x14ac:dyDescent="0.3">
      <c r="D809" s="75"/>
      <c r="E809" s="75"/>
      <c r="F809" s="75"/>
      <c r="G809" s="75"/>
      <c r="H809" s="75"/>
      <c r="I809" s="75"/>
      <c r="J809" s="75"/>
      <c r="K809" s="75"/>
      <c r="L809" s="75"/>
      <c r="M809" s="77"/>
      <c r="N809" s="75"/>
    </row>
    <row r="810" spans="4:14" ht="15" customHeight="1" x14ac:dyDescent="0.3">
      <c r="D810" s="75"/>
      <c r="E810" s="75"/>
      <c r="F810" s="75"/>
      <c r="G810" s="75"/>
      <c r="H810" s="75"/>
      <c r="I810" s="75"/>
      <c r="J810" s="75"/>
      <c r="K810" s="75"/>
      <c r="L810" s="75"/>
      <c r="M810" s="77"/>
      <c r="N810" s="75"/>
    </row>
    <row r="811" spans="4:14" ht="15" customHeight="1" x14ac:dyDescent="0.3">
      <c r="D811" s="75"/>
      <c r="E811" s="75"/>
      <c r="F811" s="75"/>
      <c r="G811" s="75"/>
      <c r="H811" s="75"/>
      <c r="I811" s="75"/>
      <c r="J811" s="75"/>
      <c r="K811" s="75"/>
      <c r="L811" s="75"/>
      <c r="M811" s="77"/>
      <c r="N811" s="75"/>
    </row>
    <row r="812" spans="4:14" ht="15" customHeight="1" x14ac:dyDescent="0.3">
      <c r="D812" s="75"/>
      <c r="E812" s="75"/>
      <c r="F812" s="75"/>
      <c r="G812" s="75"/>
      <c r="H812" s="75"/>
      <c r="I812" s="75"/>
      <c r="J812" s="75"/>
      <c r="K812" s="75"/>
      <c r="L812" s="75"/>
      <c r="M812" s="77"/>
      <c r="N812" s="75"/>
    </row>
    <row r="813" spans="4:14" ht="15" customHeight="1" x14ac:dyDescent="0.3">
      <c r="D813" s="75"/>
      <c r="E813" s="75"/>
      <c r="F813" s="75"/>
      <c r="G813" s="75"/>
      <c r="H813" s="75"/>
      <c r="I813" s="75"/>
      <c r="J813" s="75"/>
      <c r="K813" s="75"/>
      <c r="L813" s="75"/>
      <c r="M813" s="77"/>
      <c r="N813" s="75"/>
    </row>
    <row r="814" spans="4:14" ht="15" customHeight="1" x14ac:dyDescent="0.3">
      <c r="D814" s="75"/>
      <c r="E814" s="75"/>
      <c r="F814" s="75"/>
      <c r="G814" s="75"/>
      <c r="H814" s="75"/>
      <c r="I814" s="75"/>
      <c r="J814" s="75"/>
      <c r="K814" s="75"/>
      <c r="L814" s="75"/>
      <c r="M814" s="77"/>
      <c r="N814" s="75"/>
    </row>
    <row r="815" spans="4:14" ht="15" customHeight="1" x14ac:dyDescent="0.3">
      <c r="D815" s="75"/>
      <c r="E815" s="75"/>
      <c r="F815" s="75"/>
      <c r="G815" s="75"/>
      <c r="H815" s="75"/>
      <c r="I815" s="75"/>
      <c r="J815" s="75"/>
      <c r="K815" s="75"/>
      <c r="L815" s="75"/>
      <c r="M815" s="77"/>
      <c r="N815" s="75"/>
    </row>
    <row r="816" spans="4:14" ht="15" customHeight="1" x14ac:dyDescent="0.3">
      <c r="D816" s="75"/>
      <c r="E816" s="75"/>
      <c r="F816" s="75"/>
      <c r="G816" s="75"/>
      <c r="H816" s="75"/>
      <c r="I816" s="75"/>
      <c r="J816" s="75"/>
      <c r="K816" s="75"/>
      <c r="L816" s="75"/>
      <c r="M816" s="77"/>
      <c r="N816" s="75"/>
    </row>
    <row r="817" spans="4:14" ht="15" customHeight="1" x14ac:dyDescent="0.3">
      <c r="D817" s="75"/>
      <c r="E817" s="75"/>
      <c r="F817" s="75"/>
      <c r="G817" s="75"/>
      <c r="H817" s="75"/>
      <c r="I817" s="75"/>
      <c r="J817" s="75"/>
      <c r="K817" s="75"/>
      <c r="L817" s="75"/>
      <c r="M817" s="77"/>
      <c r="N817" s="75"/>
    </row>
    <row r="818" spans="4:14" ht="15" customHeight="1" x14ac:dyDescent="0.3">
      <c r="D818" s="75"/>
      <c r="E818" s="75"/>
      <c r="F818" s="75"/>
      <c r="G818" s="75"/>
      <c r="H818" s="75"/>
      <c r="I818" s="75"/>
      <c r="J818" s="75"/>
      <c r="K818" s="75"/>
      <c r="L818" s="75"/>
      <c r="M818" s="77"/>
      <c r="N818" s="75"/>
    </row>
    <row r="819" spans="4:14" ht="15" customHeight="1" x14ac:dyDescent="0.3">
      <c r="D819" s="75"/>
      <c r="E819" s="75"/>
      <c r="F819" s="75"/>
      <c r="G819" s="75"/>
      <c r="H819" s="75"/>
      <c r="I819" s="75"/>
      <c r="J819" s="75"/>
      <c r="K819" s="75"/>
      <c r="L819" s="75"/>
      <c r="M819" s="77"/>
      <c r="N819" s="75"/>
    </row>
    <row r="820" spans="4:14" ht="15" customHeight="1" x14ac:dyDescent="0.3">
      <c r="D820" s="75"/>
      <c r="E820" s="75"/>
      <c r="F820" s="75"/>
      <c r="G820" s="75"/>
      <c r="H820" s="75"/>
      <c r="I820" s="75"/>
      <c r="J820" s="75"/>
      <c r="K820" s="75"/>
      <c r="L820" s="75"/>
      <c r="M820" s="77"/>
      <c r="N820" s="75"/>
    </row>
    <row r="821" spans="4:14" ht="15" customHeight="1" x14ac:dyDescent="0.3">
      <c r="D821" s="75"/>
      <c r="E821" s="75"/>
      <c r="F821" s="75"/>
      <c r="G821" s="75"/>
      <c r="H821" s="75"/>
      <c r="I821" s="75"/>
      <c r="J821" s="75"/>
      <c r="K821" s="75"/>
      <c r="L821" s="75"/>
      <c r="M821" s="77"/>
      <c r="N821" s="75"/>
    </row>
    <row r="822" spans="4:14" ht="15" customHeight="1" x14ac:dyDescent="0.3">
      <c r="D822" s="75"/>
      <c r="E822" s="75"/>
      <c r="F822" s="75"/>
      <c r="G822" s="75"/>
      <c r="H822" s="75"/>
      <c r="I822" s="75"/>
      <c r="J822" s="75"/>
      <c r="K822" s="75"/>
      <c r="L822" s="75"/>
      <c r="M822" s="77"/>
      <c r="N822" s="75"/>
    </row>
    <row r="823" spans="4:14" ht="15" customHeight="1" x14ac:dyDescent="0.3">
      <c r="D823" s="75"/>
      <c r="E823" s="75"/>
      <c r="F823" s="75"/>
      <c r="G823" s="75"/>
      <c r="H823" s="75"/>
      <c r="I823" s="75"/>
      <c r="J823" s="75"/>
      <c r="K823" s="75"/>
      <c r="L823" s="75"/>
      <c r="M823" s="77"/>
      <c r="N823" s="75"/>
    </row>
    <row r="824" spans="4:14" ht="15" customHeight="1" x14ac:dyDescent="0.3">
      <c r="D824" s="75"/>
      <c r="E824" s="75"/>
      <c r="F824" s="75"/>
      <c r="G824" s="75"/>
      <c r="H824" s="75"/>
      <c r="I824" s="75"/>
      <c r="J824" s="75"/>
      <c r="K824" s="75"/>
      <c r="L824" s="75"/>
      <c r="M824" s="77"/>
      <c r="N824" s="75"/>
    </row>
    <row r="825" spans="4:14" ht="15" customHeight="1" x14ac:dyDescent="0.3">
      <c r="D825" s="75"/>
      <c r="E825" s="75"/>
      <c r="F825" s="75"/>
      <c r="G825" s="75"/>
      <c r="H825" s="75"/>
      <c r="I825" s="75"/>
      <c r="J825" s="75"/>
      <c r="K825" s="75"/>
      <c r="L825" s="75"/>
      <c r="M825" s="77"/>
      <c r="N825" s="75"/>
    </row>
    <row r="826" spans="4:14" ht="15" customHeight="1" x14ac:dyDescent="0.3">
      <c r="D826" s="75"/>
      <c r="E826" s="75"/>
      <c r="F826" s="75"/>
      <c r="G826" s="75"/>
      <c r="H826" s="75"/>
      <c r="I826" s="75"/>
      <c r="J826" s="75"/>
      <c r="K826" s="75"/>
      <c r="L826" s="75"/>
      <c r="M826" s="77"/>
      <c r="N826" s="75"/>
    </row>
    <row r="827" spans="4:14" ht="15" customHeight="1" x14ac:dyDescent="0.3">
      <c r="D827" s="75"/>
      <c r="E827" s="75"/>
      <c r="F827" s="75"/>
      <c r="G827" s="75"/>
      <c r="H827" s="75"/>
      <c r="I827" s="75"/>
      <c r="J827" s="75"/>
      <c r="K827" s="75"/>
      <c r="L827" s="75"/>
      <c r="M827" s="77"/>
      <c r="N827" s="75"/>
    </row>
    <row r="828" spans="4:14" ht="15" customHeight="1" x14ac:dyDescent="0.3">
      <c r="D828" s="75"/>
      <c r="E828" s="75"/>
      <c r="F828" s="75"/>
      <c r="G828" s="75"/>
      <c r="H828" s="75"/>
      <c r="I828" s="75"/>
      <c r="J828" s="75"/>
      <c r="K828" s="75"/>
      <c r="L828" s="75"/>
      <c r="M828" s="77"/>
      <c r="N828" s="75"/>
    </row>
    <row r="829" spans="4:14" ht="15" customHeight="1" x14ac:dyDescent="0.3">
      <c r="D829" s="75"/>
      <c r="E829" s="75"/>
      <c r="F829" s="75"/>
      <c r="G829" s="75"/>
      <c r="H829" s="75"/>
      <c r="I829" s="75"/>
      <c r="J829" s="75"/>
      <c r="K829" s="75"/>
      <c r="L829" s="75"/>
      <c r="M829" s="77"/>
      <c r="N829" s="75"/>
    </row>
    <row r="830" spans="4:14" ht="15" customHeight="1" x14ac:dyDescent="0.3">
      <c r="D830" s="75"/>
      <c r="E830" s="75"/>
      <c r="F830" s="75"/>
      <c r="G830" s="75"/>
      <c r="H830" s="75"/>
      <c r="I830" s="75"/>
      <c r="J830" s="75"/>
      <c r="K830" s="75"/>
      <c r="L830" s="75"/>
      <c r="M830" s="77"/>
      <c r="N830" s="75"/>
    </row>
    <row r="831" spans="4:14" ht="15" customHeight="1" x14ac:dyDescent="0.3">
      <c r="D831" s="75"/>
      <c r="E831" s="75"/>
      <c r="F831" s="75"/>
      <c r="G831" s="75"/>
      <c r="H831" s="75"/>
      <c r="I831" s="75"/>
      <c r="J831" s="75"/>
      <c r="K831" s="75"/>
      <c r="L831" s="75"/>
      <c r="M831" s="77"/>
      <c r="N831" s="75"/>
    </row>
  </sheetData>
  <autoFilter ref="A4:M831"/>
  <mergeCells count="11">
    <mergeCell ref="A9:M9"/>
    <mergeCell ref="F14:I14"/>
    <mergeCell ref="A12:A13"/>
    <mergeCell ref="B12:B13"/>
    <mergeCell ref="J12:J13"/>
    <mergeCell ref="F12:I13"/>
    <mergeCell ref="E12:E13"/>
    <mergeCell ref="D12:D13"/>
    <mergeCell ref="C12:C13"/>
    <mergeCell ref="K12:K13"/>
    <mergeCell ref="L12:M1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2" fitToHeight="0" orientation="portrait" blackAndWhite="1" r:id="rId1"/>
  <headerFooter differentFirst="1">
    <oddHeader>&amp;C&amp;"Times New Roman,обычный"&amp;12&amp;P</oddHeader>
  </headerFooter>
  <rowBreaks count="2" manualBreakCount="2">
    <brk id="693" max="12" man="1"/>
    <brk id="707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45"/>
  <sheetViews>
    <sheetView zoomScale="80" zoomScaleNormal="80" workbookViewId="0">
      <selection activeCell="T7" sqref="T7"/>
    </sheetView>
  </sheetViews>
  <sheetFormatPr defaultColWidth="8.88671875" defaultRowHeight="14.4" x14ac:dyDescent="0.3"/>
  <cols>
    <col min="1" max="1" width="4.6640625" style="7" customWidth="1"/>
    <col min="2" max="2" width="54.44140625" style="7" customWidth="1"/>
    <col min="3" max="3" width="5.5546875" style="7" customWidth="1"/>
    <col min="4" max="4" width="3.6640625" style="7" customWidth="1"/>
    <col min="5" max="5" width="4" style="7" customWidth="1"/>
    <col min="6" max="6" width="3.33203125" style="7" customWidth="1"/>
    <col min="7" max="7" width="2.44140625" style="7" customWidth="1"/>
    <col min="8" max="8" width="2.6640625" style="7" customWidth="1"/>
    <col min="9" max="9" width="7.6640625" style="7" customWidth="1"/>
    <col min="10" max="10" width="5" style="7" customWidth="1"/>
    <col min="11" max="11" width="15" style="7" hidden="1" customWidth="1"/>
    <col min="12" max="12" width="12.44140625" style="7" customWidth="1"/>
    <col min="13" max="13" width="14.33203125" style="124" customWidth="1"/>
    <col min="14" max="14" width="13.77734375" style="124" customWidth="1"/>
    <col min="15" max="16" width="8.88671875" style="7" customWidth="1"/>
    <col min="17" max="17" width="19.33203125" style="7" customWidth="1"/>
    <col min="18" max="16384" width="8.88671875" style="7"/>
  </cols>
  <sheetData>
    <row r="1" spans="1:14" ht="18" x14ac:dyDescent="0.35">
      <c r="N1" s="172" t="s">
        <v>500</v>
      </c>
    </row>
    <row r="2" spans="1:14" ht="18" x14ac:dyDescent="0.35">
      <c r="N2" s="172" t="s">
        <v>546</v>
      </c>
    </row>
    <row r="4" spans="1:14" ht="18" x14ac:dyDescent="0.35">
      <c r="H4" s="49"/>
      <c r="I4" s="53"/>
      <c r="J4" s="49"/>
      <c r="K4" s="49"/>
      <c r="L4" s="49"/>
      <c r="M4" s="49"/>
      <c r="N4" s="53" t="s">
        <v>504</v>
      </c>
    </row>
    <row r="5" spans="1:14" ht="18.75" customHeight="1" x14ac:dyDescent="0.35">
      <c r="H5" s="49"/>
      <c r="I5" s="53"/>
      <c r="J5" s="49"/>
      <c r="K5" s="49"/>
      <c r="L5" s="49"/>
      <c r="M5" s="49"/>
      <c r="N5" s="53" t="s">
        <v>545</v>
      </c>
    </row>
    <row r="9" spans="1:14" ht="17.399999999999999" customHeight="1" x14ac:dyDescent="0.3">
      <c r="A9" s="632" t="s">
        <v>495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</row>
    <row r="10" spans="1:14" ht="17.399999999999999" customHeight="1" x14ac:dyDescent="0.3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</row>
    <row r="11" spans="1:14" ht="17.399999999999999" customHeight="1" x14ac:dyDescent="0.3">
      <c r="A11" s="582"/>
      <c r="B11" s="582"/>
      <c r="C11" s="582"/>
      <c r="D11" s="582"/>
      <c r="E11" s="582"/>
      <c r="F11" s="582"/>
      <c r="G11" s="582"/>
      <c r="H11" s="582"/>
      <c r="I11" s="582"/>
      <c r="J11" s="582"/>
      <c r="K11" s="582"/>
      <c r="L11" s="582"/>
      <c r="M11" s="582"/>
      <c r="N11" s="582"/>
    </row>
    <row r="12" spans="1:14" ht="18" x14ac:dyDescent="0.35">
      <c r="A12" s="8"/>
      <c r="B12" s="9"/>
      <c r="C12" s="10"/>
      <c r="D12" s="10"/>
      <c r="E12" s="10"/>
      <c r="F12" s="10"/>
      <c r="G12" s="8"/>
      <c r="H12" s="11"/>
      <c r="I12" s="12"/>
      <c r="J12" s="13"/>
      <c r="K12" s="13"/>
      <c r="L12" s="13"/>
      <c r="N12" s="125" t="s">
        <v>17</v>
      </c>
    </row>
    <row r="13" spans="1:14" ht="18" customHeight="1" x14ac:dyDescent="0.3">
      <c r="A13" s="652" t="s">
        <v>18</v>
      </c>
      <c r="B13" s="653" t="s">
        <v>19</v>
      </c>
      <c r="C13" s="654" t="s">
        <v>20</v>
      </c>
      <c r="D13" s="654" t="s">
        <v>21</v>
      </c>
      <c r="E13" s="654" t="s">
        <v>22</v>
      </c>
      <c r="F13" s="655" t="s">
        <v>23</v>
      </c>
      <c r="G13" s="654"/>
      <c r="H13" s="654"/>
      <c r="I13" s="654"/>
      <c r="J13" s="654" t="s">
        <v>24</v>
      </c>
      <c r="K13" s="660" t="s">
        <v>519</v>
      </c>
      <c r="L13" s="658" t="s">
        <v>433</v>
      </c>
      <c r="M13" s="659"/>
      <c r="N13" s="656" t="s">
        <v>491</v>
      </c>
    </row>
    <row r="14" spans="1:14" ht="35.4" customHeight="1" x14ac:dyDescent="0.35">
      <c r="A14" s="652"/>
      <c r="B14" s="653"/>
      <c r="C14" s="654"/>
      <c r="D14" s="654"/>
      <c r="E14" s="654"/>
      <c r="F14" s="655"/>
      <c r="G14" s="654"/>
      <c r="H14" s="654"/>
      <c r="I14" s="654"/>
      <c r="J14" s="654"/>
      <c r="K14" s="661"/>
      <c r="L14" s="571" t="s">
        <v>548</v>
      </c>
      <c r="M14" s="572" t="s">
        <v>549</v>
      </c>
      <c r="N14" s="657"/>
    </row>
    <row r="15" spans="1:14" ht="18" x14ac:dyDescent="0.35">
      <c r="A15" s="14">
        <v>1</v>
      </c>
      <c r="B15" s="15">
        <v>2</v>
      </c>
      <c r="C15" s="16" t="s">
        <v>25</v>
      </c>
      <c r="D15" s="16" t="s">
        <v>26</v>
      </c>
      <c r="E15" s="16" t="s">
        <v>27</v>
      </c>
      <c r="F15" s="634" t="s">
        <v>28</v>
      </c>
      <c r="G15" s="634"/>
      <c r="H15" s="634"/>
      <c r="I15" s="635"/>
      <c r="J15" s="16" t="s">
        <v>29</v>
      </c>
      <c r="K15" s="16"/>
      <c r="L15" s="16" t="s">
        <v>460</v>
      </c>
      <c r="M15" s="45">
        <v>9</v>
      </c>
      <c r="N15" s="45">
        <v>10</v>
      </c>
    </row>
    <row r="16" spans="1:14" ht="25.2" customHeight="1" x14ac:dyDescent="0.3">
      <c r="A16" s="17">
        <v>1</v>
      </c>
      <c r="B16" s="126" t="s">
        <v>197</v>
      </c>
      <c r="C16" s="19"/>
      <c r="D16" s="20"/>
      <c r="E16" s="20"/>
      <c r="F16" s="22"/>
      <c r="G16" s="22"/>
      <c r="H16" s="22"/>
      <c r="I16" s="23"/>
      <c r="J16" s="20"/>
      <c r="K16" s="121">
        <f>K18+K172+K199+K209+K406+K467+K513+K545+K576+K271</f>
        <v>1566366.7000000002</v>
      </c>
      <c r="L16" s="121">
        <v>26799.999999999993</v>
      </c>
      <c r="M16" s="121">
        <v>1593166.7000000002</v>
      </c>
      <c r="N16" s="121">
        <v>1597406.2999999998</v>
      </c>
    </row>
    <row r="17" spans="1:14" ht="14.4" customHeight="1" x14ac:dyDescent="0.3">
      <c r="A17" s="17"/>
      <c r="B17" s="18"/>
      <c r="C17" s="19"/>
      <c r="D17" s="20"/>
      <c r="E17" s="20"/>
      <c r="F17" s="22"/>
      <c r="G17" s="22"/>
      <c r="H17" s="22"/>
      <c r="I17" s="23"/>
      <c r="J17" s="20"/>
      <c r="K17" s="121"/>
      <c r="L17" s="121"/>
      <c r="M17" s="121"/>
      <c r="N17" s="121"/>
    </row>
    <row r="18" spans="1:14" s="127" customFormat="1" ht="34.799999999999997" x14ac:dyDescent="0.3">
      <c r="A18" s="122">
        <v>1</v>
      </c>
      <c r="B18" s="24" t="s">
        <v>0</v>
      </c>
      <c r="C18" s="25" t="s">
        <v>1</v>
      </c>
      <c r="D18" s="26"/>
      <c r="E18" s="26"/>
      <c r="F18" s="27"/>
      <c r="G18" s="28"/>
      <c r="H18" s="28"/>
      <c r="I18" s="29"/>
      <c r="J18" s="26"/>
      <c r="K18" s="46">
        <f>K19+K83+K111+K158+K152</f>
        <v>133368.4</v>
      </c>
      <c r="L18" s="46">
        <v>0</v>
      </c>
      <c r="M18" s="46">
        <v>133368.4</v>
      </c>
      <c r="N18" s="46">
        <v>133058.79999999999</v>
      </c>
    </row>
    <row r="19" spans="1:14" s="128" customFormat="1" ht="18" x14ac:dyDescent="0.35">
      <c r="A19" s="17"/>
      <c r="B19" s="30" t="s">
        <v>31</v>
      </c>
      <c r="C19" s="31" t="s">
        <v>1</v>
      </c>
      <c r="D19" s="16" t="s">
        <v>32</v>
      </c>
      <c r="E19" s="16"/>
      <c r="F19" s="583"/>
      <c r="G19" s="584"/>
      <c r="H19" s="584"/>
      <c r="I19" s="585"/>
      <c r="J19" s="16"/>
      <c r="K19" s="32">
        <f>K20+K26+K55+K49+K60</f>
        <v>88248.999999999971</v>
      </c>
      <c r="L19" s="32">
        <v>0</v>
      </c>
      <c r="M19" s="32">
        <v>88248.999999999971</v>
      </c>
      <c r="N19" s="32">
        <v>88286.599999999977</v>
      </c>
    </row>
    <row r="20" spans="1:14" s="123" customFormat="1" ht="54" x14ac:dyDescent="0.35">
      <c r="A20" s="17"/>
      <c r="B20" s="30" t="s">
        <v>33</v>
      </c>
      <c r="C20" s="31" t="s">
        <v>1</v>
      </c>
      <c r="D20" s="16" t="s">
        <v>32</v>
      </c>
      <c r="E20" s="16" t="s">
        <v>34</v>
      </c>
      <c r="F20" s="583"/>
      <c r="G20" s="584"/>
      <c r="H20" s="584"/>
      <c r="I20" s="585"/>
      <c r="J20" s="16"/>
      <c r="K20" s="32">
        <f t="shared" ref="K20:N24" si="0">K21</f>
        <v>2128.5</v>
      </c>
      <c r="L20" s="32">
        <v>0</v>
      </c>
      <c r="M20" s="32">
        <v>2128.5</v>
      </c>
      <c r="N20" s="32">
        <v>2128.5</v>
      </c>
    </row>
    <row r="21" spans="1:14" s="123" customFormat="1" ht="59.25" customHeight="1" x14ac:dyDescent="0.35">
      <c r="A21" s="17"/>
      <c r="B21" s="30" t="s">
        <v>35</v>
      </c>
      <c r="C21" s="31" t="s">
        <v>1</v>
      </c>
      <c r="D21" s="16" t="s">
        <v>32</v>
      </c>
      <c r="E21" s="16" t="s">
        <v>34</v>
      </c>
      <c r="F21" s="583" t="s">
        <v>36</v>
      </c>
      <c r="G21" s="584" t="s">
        <v>37</v>
      </c>
      <c r="H21" s="584" t="s">
        <v>38</v>
      </c>
      <c r="I21" s="585" t="s">
        <v>39</v>
      </c>
      <c r="J21" s="16"/>
      <c r="K21" s="32">
        <f t="shared" si="0"/>
        <v>2128.5</v>
      </c>
      <c r="L21" s="32">
        <v>0</v>
      </c>
      <c r="M21" s="32">
        <v>2128.5</v>
      </c>
      <c r="N21" s="32">
        <v>2128.5</v>
      </c>
    </row>
    <row r="22" spans="1:14" s="123" customFormat="1" ht="36" x14ac:dyDescent="0.35">
      <c r="A22" s="17"/>
      <c r="B22" s="30" t="s">
        <v>328</v>
      </c>
      <c r="C22" s="31" t="s">
        <v>1</v>
      </c>
      <c r="D22" s="16" t="s">
        <v>32</v>
      </c>
      <c r="E22" s="16" t="s">
        <v>34</v>
      </c>
      <c r="F22" s="583" t="s">
        <v>36</v>
      </c>
      <c r="G22" s="584" t="s">
        <v>40</v>
      </c>
      <c r="H22" s="584" t="s">
        <v>38</v>
      </c>
      <c r="I22" s="585" t="s">
        <v>39</v>
      </c>
      <c r="J22" s="16"/>
      <c r="K22" s="32">
        <f t="shared" si="0"/>
        <v>2128.5</v>
      </c>
      <c r="L22" s="32">
        <v>0</v>
      </c>
      <c r="M22" s="32">
        <v>2128.5</v>
      </c>
      <c r="N22" s="32">
        <v>2128.5</v>
      </c>
    </row>
    <row r="23" spans="1:14" s="123" customFormat="1" ht="54" x14ac:dyDescent="0.35">
      <c r="A23" s="17"/>
      <c r="B23" s="30" t="s">
        <v>41</v>
      </c>
      <c r="C23" s="31" t="s">
        <v>1</v>
      </c>
      <c r="D23" s="16" t="s">
        <v>32</v>
      </c>
      <c r="E23" s="16" t="s">
        <v>34</v>
      </c>
      <c r="F23" s="583" t="s">
        <v>36</v>
      </c>
      <c r="G23" s="584" t="s">
        <v>40</v>
      </c>
      <c r="H23" s="584" t="s">
        <v>32</v>
      </c>
      <c r="I23" s="585" t="s">
        <v>39</v>
      </c>
      <c r="J23" s="16"/>
      <c r="K23" s="32">
        <f t="shared" si="0"/>
        <v>2128.5</v>
      </c>
      <c r="L23" s="32">
        <v>0</v>
      </c>
      <c r="M23" s="32">
        <v>2128.5</v>
      </c>
      <c r="N23" s="32">
        <v>2128.5</v>
      </c>
    </row>
    <row r="24" spans="1:14" s="123" customFormat="1" ht="36" x14ac:dyDescent="0.35">
      <c r="A24" s="17"/>
      <c r="B24" s="30" t="s">
        <v>42</v>
      </c>
      <c r="C24" s="31" t="s">
        <v>1</v>
      </c>
      <c r="D24" s="16" t="s">
        <v>32</v>
      </c>
      <c r="E24" s="16" t="s">
        <v>34</v>
      </c>
      <c r="F24" s="583" t="s">
        <v>36</v>
      </c>
      <c r="G24" s="584" t="s">
        <v>40</v>
      </c>
      <c r="H24" s="584" t="s">
        <v>32</v>
      </c>
      <c r="I24" s="585" t="s">
        <v>43</v>
      </c>
      <c r="J24" s="16"/>
      <c r="K24" s="32">
        <f t="shared" si="0"/>
        <v>2128.5</v>
      </c>
      <c r="L24" s="32">
        <v>0</v>
      </c>
      <c r="M24" s="32">
        <v>2128.5</v>
      </c>
      <c r="N24" s="32">
        <v>2128.5</v>
      </c>
    </row>
    <row r="25" spans="1:14" s="123" customFormat="1" ht="108" x14ac:dyDescent="0.35">
      <c r="A25" s="17"/>
      <c r="B25" s="30" t="s">
        <v>44</v>
      </c>
      <c r="C25" s="31" t="s">
        <v>1</v>
      </c>
      <c r="D25" s="16" t="s">
        <v>32</v>
      </c>
      <c r="E25" s="16" t="s">
        <v>34</v>
      </c>
      <c r="F25" s="583" t="s">
        <v>36</v>
      </c>
      <c r="G25" s="584" t="s">
        <v>40</v>
      </c>
      <c r="H25" s="584" t="s">
        <v>32</v>
      </c>
      <c r="I25" s="585" t="s">
        <v>43</v>
      </c>
      <c r="J25" s="16" t="s">
        <v>45</v>
      </c>
      <c r="K25" s="32">
        <v>2128.5</v>
      </c>
      <c r="L25" s="32">
        <v>0</v>
      </c>
      <c r="M25" s="32">
        <v>2128.5</v>
      </c>
      <c r="N25" s="32">
        <v>2128.5</v>
      </c>
    </row>
    <row r="26" spans="1:14" s="128" customFormat="1" ht="77.25" customHeight="1" x14ac:dyDescent="0.35">
      <c r="A26" s="17"/>
      <c r="B26" s="30" t="s">
        <v>46</v>
      </c>
      <c r="C26" s="31" t="s">
        <v>1</v>
      </c>
      <c r="D26" s="16" t="s">
        <v>32</v>
      </c>
      <c r="E26" s="16" t="s">
        <v>47</v>
      </c>
      <c r="F26" s="583"/>
      <c r="G26" s="584"/>
      <c r="H26" s="584"/>
      <c r="I26" s="585"/>
      <c r="J26" s="16"/>
      <c r="K26" s="32">
        <f t="shared" ref="K26:N27" si="1">K27</f>
        <v>76352.699999999968</v>
      </c>
      <c r="L26" s="32">
        <v>0</v>
      </c>
      <c r="M26" s="32">
        <v>76352.699999999968</v>
      </c>
      <c r="N26" s="32">
        <v>76393.499999999971</v>
      </c>
    </row>
    <row r="27" spans="1:14" s="128" customFormat="1" ht="54" x14ac:dyDescent="0.35">
      <c r="A27" s="17"/>
      <c r="B27" s="30" t="s">
        <v>48</v>
      </c>
      <c r="C27" s="31" t="s">
        <v>1</v>
      </c>
      <c r="D27" s="16" t="s">
        <v>32</v>
      </c>
      <c r="E27" s="16" t="s">
        <v>47</v>
      </c>
      <c r="F27" s="583" t="s">
        <v>36</v>
      </c>
      <c r="G27" s="584" t="s">
        <v>37</v>
      </c>
      <c r="H27" s="584" t="s">
        <v>38</v>
      </c>
      <c r="I27" s="585" t="s">
        <v>39</v>
      </c>
      <c r="J27" s="16"/>
      <c r="K27" s="32">
        <f t="shared" si="1"/>
        <v>76352.699999999968</v>
      </c>
      <c r="L27" s="32">
        <v>0</v>
      </c>
      <c r="M27" s="32">
        <v>76352.699999999968</v>
      </c>
      <c r="N27" s="32">
        <v>76393.499999999971</v>
      </c>
    </row>
    <row r="28" spans="1:14" s="13" customFormat="1" ht="36" x14ac:dyDescent="0.35">
      <c r="A28" s="17"/>
      <c r="B28" s="30" t="s">
        <v>328</v>
      </c>
      <c r="C28" s="31" t="s">
        <v>1</v>
      </c>
      <c r="D28" s="16" t="s">
        <v>32</v>
      </c>
      <c r="E28" s="16" t="s">
        <v>47</v>
      </c>
      <c r="F28" s="583" t="s">
        <v>36</v>
      </c>
      <c r="G28" s="584" t="s">
        <v>40</v>
      </c>
      <c r="H28" s="584" t="s">
        <v>38</v>
      </c>
      <c r="I28" s="585" t="s">
        <v>39</v>
      </c>
      <c r="J28" s="16"/>
      <c r="K28" s="32">
        <f>K29+K46</f>
        <v>76352.699999999968</v>
      </c>
      <c r="L28" s="32">
        <v>0</v>
      </c>
      <c r="M28" s="32">
        <v>76352.699999999968</v>
      </c>
      <c r="N28" s="32">
        <v>76393.499999999971</v>
      </c>
    </row>
    <row r="29" spans="1:14" s="13" customFormat="1" ht="36" x14ac:dyDescent="0.35">
      <c r="A29" s="17"/>
      <c r="B29" s="30" t="s">
        <v>49</v>
      </c>
      <c r="C29" s="31" t="s">
        <v>1</v>
      </c>
      <c r="D29" s="16" t="s">
        <v>32</v>
      </c>
      <c r="E29" s="16" t="s">
        <v>47</v>
      </c>
      <c r="F29" s="583" t="s">
        <v>36</v>
      </c>
      <c r="G29" s="584" t="s">
        <v>40</v>
      </c>
      <c r="H29" s="584" t="s">
        <v>34</v>
      </c>
      <c r="I29" s="585" t="s">
        <v>39</v>
      </c>
      <c r="J29" s="16"/>
      <c r="K29" s="32">
        <f>K30+K36+K38+K34+K41+K43</f>
        <v>76225.299999999974</v>
      </c>
      <c r="L29" s="32">
        <v>0</v>
      </c>
      <c r="M29" s="32">
        <v>76225.299999999974</v>
      </c>
      <c r="N29" s="32">
        <v>76309.099999999977</v>
      </c>
    </row>
    <row r="30" spans="1:14" s="123" customFormat="1" ht="36" x14ac:dyDescent="0.35">
      <c r="A30" s="17"/>
      <c r="B30" s="30" t="s">
        <v>42</v>
      </c>
      <c r="C30" s="31" t="s">
        <v>1</v>
      </c>
      <c r="D30" s="16" t="s">
        <v>32</v>
      </c>
      <c r="E30" s="16" t="s">
        <v>47</v>
      </c>
      <c r="F30" s="583" t="s">
        <v>36</v>
      </c>
      <c r="G30" s="584" t="s">
        <v>40</v>
      </c>
      <c r="H30" s="584" t="s">
        <v>34</v>
      </c>
      <c r="I30" s="585" t="s">
        <v>43</v>
      </c>
      <c r="J30" s="16"/>
      <c r="K30" s="32">
        <f>K31+K32+K33</f>
        <v>71195.999999999985</v>
      </c>
      <c r="L30" s="32">
        <v>0</v>
      </c>
      <c r="M30" s="32">
        <v>71195.999999999985</v>
      </c>
      <c r="N30" s="32">
        <v>71279.799999999988</v>
      </c>
    </row>
    <row r="31" spans="1:14" s="123" customFormat="1" ht="108" x14ac:dyDescent="0.35">
      <c r="A31" s="17"/>
      <c r="B31" s="30" t="s">
        <v>44</v>
      </c>
      <c r="C31" s="31" t="s">
        <v>1</v>
      </c>
      <c r="D31" s="16" t="s">
        <v>32</v>
      </c>
      <c r="E31" s="16" t="s">
        <v>47</v>
      </c>
      <c r="F31" s="583" t="s">
        <v>36</v>
      </c>
      <c r="G31" s="584" t="s">
        <v>40</v>
      </c>
      <c r="H31" s="584" t="s">
        <v>34</v>
      </c>
      <c r="I31" s="585" t="s">
        <v>43</v>
      </c>
      <c r="J31" s="16" t="s">
        <v>45</v>
      </c>
      <c r="K31" s="32">
        <f>62000+168.5+3209.7</f>
        <v>65378.2</v>
      </c>
      <c r="L31" s="32">
        <v>0</v>
      </c>
      <c r="M31" s="32">
        <v>65378.2</v>
      </c>
      <c r="N31" s="32">
        <v>65378.2</v>
      </c>
    </row>
    <row r="32" spans="1:14" s="13" customFormat="1" ht="54" x14ac:dyDescent="0.35">
      <c r="A32" s="17"/>
      <c r="B32" s="30" t="s">
        <v>50</v>
      </c>
      <c r="C32" s="31" t="s">
        <v>1</v>
      </c>
      <c r="D32" s="16" t="s">
        <v>32</v>
      </c>
      <c r="E32" s="16" t="s">
        <v>47</v>
      </c>
      <c r="F32" s="583" t="s">
        <v>36</v>
      </c>
      <c r="G32" s="584" t="s">
        <v>40</v>
      </c>
      <c r="H32" s="584" t="s">
        <v>34</v>
      </c>
      <c r="I32" s="585" t="s">
        <v>43</v>
      </c>
      <c r="J32" s="16" t="s">
        <v>51</v>
      </c>
      <c r="K32" s="32">
        <f>6097.2-380.3</f>
        <v>5716.9</v>
      </c>
      <c r="L32" s="32">
        <v>0</v>
      </c>
      <c r="M32" s="32">
        <v>5716.9</v>
      </c>
      <c r="N32" s="32">
        <v>5800.7</v>
      </c>
    </row>
    <row r="33" spans="1:14" s="123" customFormat="1" ht="18" x14ac:dyDescent="0.35">
      <c r="A33" s="17"/>
      <c r="B33" s="30" t="s">
        <v>52</v>
      </c>
      <c r="C33" s="31" t="s">
        <v>1</v>
      </c>
      <c r="D33" s="16" t="s">
        <v>32</v>
      </c>
      <c r="E33" s="16" t="s">
        <v>47</v>
      </c>
      <c r="F33" s="583" t="s">
        <v>36</v>
      </c>
      <c r="G33" s="584" t="s">
        <v>40</v>
      </c>
      <c r="H33" s="584" t="s">
        <v>34</v>
      </c>
      <c r="I33" s="585" t="s">
        <v>43</v>
      </c>
      <c r="J33" s="16" t="s">
        <v>53</v>
      </c>
      <c r="K33" s="32">
        <v>100.9</v>
      </c>
      <c r="L33" s="32">
        <v>0</v>
      </c>
      <c r="M33" s="32">
        <v>100.9</v>
      </c>
      <c r="N33" s="32">
        <v>100.9</v>
      </c>
    </row>
    <row r="34" spans="1:14" s="128" customFormat="1" ht="94.5" customHeight="1" x14ac:dyDescent="0.35">
      <c r="A34" s="17"/>
      <c r="B34" s="30" t="s">
        <v>421</v>
      </c>
      <c r="C34" s="31" t="s">
        <v>1</v>
      </c>
      <c r="D34" s="16" t="s">
        <v>32</v>
      </c>
      <c r="E34" s="16" t="s">
        <v>47</v>
      </c>
      <c r="F34" s="583" t="s">
        <v>36</v>
      </c>
      <c r="G34" s="584" t="s">
        <v>40</v>
      </c>
      <c r="H34" s="584" t="s">
        <v>34</v>
      </c>
      <c r="I34" s="585" t="s">
        <v>253</v>
      </c>
      <c r="J34" s="16"/>
      <c r="K34" s="32">
        <f>K35</f>
        <v>63</v>
      </c>
      <c r="L34" s="32">
        <v>0</v>
      </c>
      <c r="M34" s="32">
        <v>63</v>
      </c>
      <c r="N34" s="32">
        <v>63</v>
      </c>
    </row>
    <row r="35" spans="1:14" s="128" customFormat="1" ht="54" x14ac:dyDescent="0.35">
      <c r="A35" s="17"/>
      <c r="B35" s="30" t="s">
        <v>50</v>
      </c>
      <c r="C35" s="31" t="s">
        <v>1</v>
      </c>
      <c r="D35" s="16" t="s">
        <v>32</v>
      </c>
      <c r="E35" s="16" t="s">
        <v>47</v>
      </c>
      <c r="F35" s="583" t="s">
        <v>36</v>
      </c>
      <c r="G35" s="584" t="s">
        <v>40</v>
      </c>
      <c r="H35" s="584" t="s">
        <v>34</v>
      </c>
      <c r="I35" s="585" t="s">
        <v>253</v>
      </c>
      <c r="J35" s="16" t="s">
        <v>51</v>
      </c>
      <c r="K35" s="32">
        <v>63</v>
      </c>
      <c r="L35" s="32">
        <v>0</v>
      </c>
      <c r="M35" s="32">
        <v>63</v>
      </c>
      <c r="N35" s="32">
        <v>63</v>
      </c>
    </row>
    <row r="36" spans="1:14" s="128" customFormat="1" ht="198" x14ac:dyDescent="0.35">
      <c r="A36" s="17"/>
      <c r="B36" s="50" t="s">
        <v>429</v>
      </c>
      <c r="C36" s="31" t="s">
        <v>1</v>
      </c>
      <c r="D36" s="16" t="s">
        <v>32</v>
      </c>
      <c r="E36" s="16" t="s">
        <v>47</v>
      </c>
      <c r="F36" s="583" t="s">
        <v>36</v>
      </c>
      <c r="G36" s="584" t="s">
        <v>40</v>
      </c>
      <c r="H36" s="584" t="s">
        <v>34</v>
      </c>
      <c r="I36" s="585" t="s">
        <v>54</v>
      </c>
      <c r="J36" s="16"/>
      <c r="K36" s="32">
        <f>K37</f>
        <v>661.9</v>
      </c>
      <c r="L36" s="32">
        <v>0</v>
      </c>
      <c r="M36" s="32">
        <v>661.9</v>
      </c>
      <c r="N36" s="32">
        <v>661.9</v>
      </c>
    </row>
    <row r="37" spans="1:14" s="128" customFormat="1" ht="108" x14ac:dyDescent="0.35">
      <c r="A37" s="17"/>
      <c r="B37" s="30" t="s">
        <v>44</v>
      </c>
      <c r="C37" s="31" t="s">
        <v>1</v>
      </c>
      <c r="D37" s="16" t="s">
        <v>32</v>
      </c>
      <c r="E37" s="16" t="s">
        <v>47</v>
      </c>
      <c r="F37" s="583" t="s">
        <v>36</v>
      </c>
      <c r="G37" s="584" t="s">
        <v>40</v>
      </c>
      <c r="H37" s="584" t="s">
        <v>34</v>
      </c>
      <c r="I37" s="585" t="s">
        <v>54</v>
      </c>
      <c r="J37" s="16" t="s">
        <v>45</v>
      </c>
      <c r="K37" s="32">
        <v>661.9</v>
      </c>
      <c r="L37" s="32">
        <v>0</v>
      </c>
      <c r="M37" s="32">
        <v>661.9</v>
      </c>
      <c r="N37" s="32">
        <v>661.9</v>
      </c>
    </row>
    <row r="38" spans="1:14" s="128" customFormat="1" ht="72" x14ac:dyDescent="0.35">
      <c r="A38" s="17"/>
      <c r="B38" s="30" t="s">
        <v>397</v>
      </c>
      <c r="C38" s="31" t="s">
        <v>1</v>
      </c>
      <c r="D38" s="16" t="s">
        <v>32</v>
      </c>
      <c r="E38" s="16" t="s">
        <v>47</v>
      </c>
      <c r="F38" s="583" t="s">
        <v>36</v>
      </c>
      <c r="G38" s="584" t="s">
        <v>40</v>
      </c>
      <c r="H38" s="584" t="s">
        <v>34</v>
      </c>
      <c r="I38" s="585" t="s">
        <v>56</v>
      </c>
      <c r="J38" s="16"/>
      <c r="K38" s="32">
        <f>K39+K40</f>
        <v>662.19999999999993</v>
      </c>
      <c r="L38" s="32">
        <v>0</v>
      </c>
      <c r="M38" s="32">
        <v>662.19999999999993</v>
      </c>
      <c r="N38" s="32">
        <v>662.19999999999993</v>
      </c>
    </row>
    <row r="39" spans="1:14" s="128" customFormat="1" ht="108" x14ac:dyDescent="0.35">
      <c r="A39" s="17"/>
      <c r="B39" s="30" t="s">
        <v>44</v>
      </c>
      <c r="C39" s="31" t="s">
        <v>1</v>
      </c>
      <c r="D39" s="16" t="s">
        <v>32</v>
      </c>
      <c r="E39" s="16" t="s">
        <v>47</v>
      </c>
      <c r="F39" s="583" t="s">
        <v>36</v>
      </c>
      <c r="G39" s="584" t="s">
        <v>40</v>
      </c>
      <c r="H39" s="584" t="s">
        <v>34</v>
      </c>
      <c r="I39" s="585" t="s">
        <v>56</v>
      </c>
      <c r="J39" s="16" t="s">
        <v>45</v>
      </c>
      <c r="K39" s="32">
        <v>657.8</v>
      </c>
      <c r="L39" s="32">
        <v>0</v>
      </c>
      <c r="M39" s="32">
        <v>657.8</v>
      </c>
      <c r="N39" s="32">
        <v>657.8</v>
      </c>
    </row>
    <row r="40" spans="1:14" s="128" customFormat="1" ht="54" x14ac:dyDescent="0.35">
      <c r="A40" s="17"/>
      <c r="B40" s="30" t="s">
        <v>50</v>
      </c>
      <c r="C40" s="31" t="s">
        <v>1</v>
      </c>
      <c r="D40" s="16" t="s">
        <v>32</v>
      </c>
      <c r="E40" s="16" t="s">
        <v>47</v>
      </c>
      <c r="F40" s="583" t="s">
        <v>36</v>
      </c>
      <c r="G40" s="584" t="s">
        <v>40</v>
      </c>
      <c r="H40" s="584" t="s">
        <v>34</v>
      </c>
      <c r="I40" s="585" t="s">
        <v>56</v>
      </c>
      <c r="J40" s="16" t="s">
        <v>51</v>
      </c>
      <c r="K40" s="32">
        <v>4.4000000000000004</v>
      </c>
      <c r="L40" s="32">
        <v>0</v>
      </c>
      <c r="M40" s="32">
        <v>4.4000000000000004</v>
      </c>
      <c r="N40" s="32">
        <v>4.4000000000000004</v>
      </c>
    </row>
    <row r="41" spans="1:14" s="128" customFormat="1" ht="180" x14ac:dyDescent="0.35">
      <c r="A41" s="17"/>
      <c r="B41" s="50" t="s">
        <v>365</v>
      </c>
      <c r="C41" s="31" t="s">
        <v>1</v>
      </c>
      <c r="D41" s="16" t="s">
        <v>32</v>
      </c>
      <c r="E41" s="16" t="s">
        <v>47</v>
      </c>
      <c r="F41" s="583" t="s">
        <v>36</v>
      </c>
      <c r="G41" s="584" t="s">
        <v>40</v>
      </c>
      <c r="H41" s="584" t="s">
        <v>34</v>
      </c>
      <c r="I41" s="585" t="s">
        <v>364</v>
      </c>
      <c r="J41" s="16"/>
      <c r="K41" s="32">
        <f>K42</f>
        <v>63</v>
      </c>
      <c r="L41" s="32">
        <v>0</v>
      </c>
      <c r="M41" s="32">
        <v>63</v>
      </c>
      <c r="N41" s="32">
        <v>63</v>
      </c>
    </row>
    <row r="42" spans="1:14" s="128" customFormat="1" ht="54" x14ac:dyDescent="0.35">
      <c r="A42" s="17"/>
      <c r="B42" s="30" t="s">
        <v>50</v>
      </c>
      <c r="C42" s="31" t="s">
        <v>1</v>
      </c>
      <c r="D42" s="16" t="s">
        <v>32</v>
      </c>
      <c r="E42" s="16" t="s">
        <v>47</v>
      </c>
      <c r="F42" s="583" t="s">
        <v>36</v>
      </c>
      <c r="G42" s="584" t="s">
        <v>40</v>
      </c>
      <c r="H42" s="584" t="s">
        <v>34</v>
      </c>
      <c r="I42" s="585" t="s">
        <v>364</v>
      </c>
      <c r="J42" s="16" t="s">
        <v>51</v>
      </c>
      <c r="K42" s="32">
        <v>63</v>
      </c>
      <c r="L42" s="32">
        <v>0</v>
      </c>
      <c r="M42" s="32">
        <v>63</v>
      </c>
      <c r="N42" s="32">
        <v>63</v>
      </c>
    </row>
    <row r="43" spans="1:14" s="128" customFormat="1" ht="72" x14ac:dyDescent="0.35">
      <c r="A43" s="17"/>
      <c r="B43" s="30" t="s">
        <v>55</v>
      </c>
      <c r="C43" s="31" t="s">
        <v>1</v>
      </c>
      <c r="D43" s="16" t="s">
        <v>32</v>
      </c>
      <c r="E43" s="16" t="s">
        <v>47</v>
      </c>
      <c r="F43" s="583" t="s">
        <v>36</v>
      </c>
      <c r="G43" s="584" t="s">
        <v>40</v>
      </c>
      <c r="H43" s="584" t="s">
        <v>34</v>
      </c>
      <c r="I43" s="585" t="s">
        <v>530</v>
      </c>
      <c r="J43" s="16"/>
      <c r="K43" s="32">
        <f>SUM(K44:K45)</f>
        <v>3579.2</v>
      </c>
      <c r="L43" s="32">
        <v>0</v>
      </c>
      <c r="M43" s="32">
        <v>3579.2</v>
      </c>
      <c r="N43" s="32">
        <v>3579.2</v>
      </c>
    </row>
    <row r="44" spans="1:14" s="128" customFormat="1" ht="108" x14ac:dyDescent="0.35">
      <c r="A44" s="17"/>
      <c r="B44" s="30" t="s">
        <v>44</v>
      </c>
      <c r="C44" s="31" t="s">
        <v>1</v>
      </c>
      <c r="D44" s="16" t="s">
        <v>32</v>
      </c>
      <c r="E44" s="16" t="s">
        <v>47</v>
      </c>
      <c r="F44" s="583" t="s">
        <v>36</v>
      </c>
      <c r="G44" s="584" t="s">
        <v>40</v>
      </c>
      <c r="H44" s="584" t="s">
        <v>34</v>
      </c>
      <c r="I44" s="585" t="s">
        <v>530</v>
      </c>
      <c r="J44" s="16" t="s">
        <v>45</v>
      </c>
      <c r="K44" s="32">
        <v>3387.6</v>
      </c>
      <c r="L44" s="32">
        <v>0</v>
      </c>
      <c r="M44" s="32">
        <v>3387.6</v>
      </c>
      <c r="N44" s="32">
        <v>3387.6</v>
      </c>
    </row>
    <row r="45" spans="1:14" s="128" customFormat="1" ht="54" x14ac:dyDescent="0.35">
      <c r="A45" s="17"/>
      <c r="B45" s="30" t="s">
        <v>50</v>
      </c>
      <c r="C45" s="31" t="s">
        <v>1</v>
      </c>
      <c r="D45" s="16" t="s">
        <v>32</v>
      </c>
      <c r="E45" s="16" t="s">
        <v>47</v>
      </c>
      <c r="F45" s="583" t="s">
        <v>36</v>
      </c>
      <c r="G45" s="584" t="s">
        <v>40</v>
      </c>
      <c r="H45" s="584" t="s">
        <v>34</v>
      </c>
      <c r="I45" s="585" t="s">
        <v>530</v>
      </c>
      <c r="J45" s="16" t="s">
        <v>51</v>
      </c>
      <c r="K45" s="32">
        <v>191.6</v>
      </c>
      <c r="L45" s="32">
        <v>0</v>
      </c>
      <c r="M45" s="32">
        <v>191.6</v>
      </c>
      <c r="N45" s="32">
        <v>191.6</v>
      </c>
    </row>
    <row r="46" spans="1:14" s="13" customFormat="1" ht="18" x14ac:dyDescent="0.35">
      <c r="A46" s="17"/>
      <c r="B46" s="30" t="s">
        <v>57</v>
      </c>
      <c r="C46" s="31" t="s">
        <v>1</v>
      </c>
      <c r="D46" s="16" t="s">
        <v>32</v>
      </c>
      <c r="E46" s="16" t="s">
        <v>47</v>
      </c>
      <c r="F46" s="583" t="s">
        <v>36</v>
      </c>
      <c r="G46" s="584" t="s">
        <v>40</v>
      </c>
      <c r="H46" s="584" t="s">
        <v>58</v>
      </c>
      <c r="I46" s="585" t="s">
        <v>39</v>
      </c>
      <c r="J46" s="16"/>
      <c r="K46" s="32">
        <f t="shared" ref="K46:N47" si="2">K47</f>
        <v>127.4</v>
      </c>
      <c r="L46" s="32">
        <v>0</v>
      </c>
      <c r="M46" s="32">
        <v>127.4</v>
      </c>
      <c r="N46" s="32">
        <v>84.4</v>
      </c>
    </row>
    <row r="47" spans="1:14" s="123" customFormat="1" ht="36" x14ac:dyDescent="0.35">
      <c r="A47" s="17"/>
      <c r="B47" s="30" t="s">
        <v>42</v>
      </c>
      <c r="C47" s="31" t="s">
        <v>1</v>
      </c>
      <c r="D47" s="16" t="s">
        <v>32</v>
      </c>
      <c r="E47" s="16" t="s">
        <v>47</v>
      </c>
      <c r="F47" s="583" t="s">
        <v>36</v>
      </c>
      <c r="G47" s="584" t="s">
        <v>40</v>
      </c>
      <c r="H47" s="584" t="s">
        <v>58</v>
      </c>
      <c r="I47" s="585" t="s">
        <v>43</v>
      </c>
      <c r="J47" s="16"/>
      <c r="K47" s="32">
        <f t="shared" si="2"/>
        <v>127.4</v>
      </c>
      <c r="L47" s="32">
        <v>0</v>
      </c>
      <c r="M47" s="32">
        <v>127.4</v>
      </c>
      <c r="N47" s="32">
        <v>84.4</v>
      </c>
    </row>
    <row r="48" spans="1:14" s="13" customFormat="1" ht="54" x14ac:dyDescent="0.35">
      <c r="A48" s="17"/>
      <c r="B48" s="30" t="s">
        <v>50</v>
      </c>
      <c r="C48" s="31" t="s">
        <v>1</v>
      </c>
      <c r="D48" s="16" t="s">
        <v>32</v>
      </c>
      <c r="E48" s="16" t="s">
        <v>47</v>
      </c>
      <c r="F48" s="583" t="s">
        <v>36</v>
      </c>
      <c r="G48" s="584" t="s">
        <v>40</v>
      </c>
      <c r="H48" s="584" t="s">
        <v>58</v>
      </c>
      <c r="I48" s="585" t="s">
        <v>43</v>
      </c>
      <c r="J48" s="16" t="s">
        <v>51</v>
      </c>
      <c r="K48" s="32">
        <v>127.4</v>
      </c>
      <c r="L48" s="32">
        <v>0</v>
      </c>
      <c r="M48" s="32">
        <v>127.4</v>
      </c>
      <c r="N48" s="32">
        <v>84.4</v>
      </c>
    </row>
    <row r="49" spans="1:14" s="13" customFormat="1" ht="18" x14ac:dyDescent="0.35">
      <c r="A49" s="17"/>
      <c r="B49" s="30" t="s">
        <v>383</v>
      </c>
      <c r="C49" s="31" t="s">
        <v>1</v>
      </c>
      <c r="D49" s="16" t="s">
        <v>32</v>
      </c>
      <c r="E49" s="16" t="s">
        <v>60</v>
      </c>
      <c r="F49" s="583"/>
      <c r="G49" s="584"/>
      <c r="H49" s="584"/>
      <c r="I49" s="585"/>
      <c r="J49" s="16"/>
      <c r="K49" s="32">
        <f t="shared" ref="K49:N53" si="3">K50</f>
        <v>24.700000000000003</v>
      </c>
      <c r="L49" s="32">
        <v>0</v>
      </c>
      <c r="M49" s="32">
        <v>24.700000000000003</v>
      </c>
      <c r="N49" s="32">
        <v>21.5</v>
      </c>
    </row>
    <row r="50" spans="1:14" s="13" customFormat="1" ht="58.5" customHeight="1" x14ac:dyDescent="0.35">
      <c r="A50" s="17"/>
      <c r="B50" s="30" t="s">
        <v>48</v>
      </c>
      <c r="C50" s="31" t="s">
        <v>1</v>
      </c>
      <c r="D50" s="16" t="s">
        <v>32</v>
      </c>
      <c r="E50" s="16" t="s">
        <v>60</v>
      </c>
      <c r="F50" s="583" t="s">
        <v>36</v>
      </c>
      <c r="G50" s="584" t="s">
        <v>37</v>
      </c>
      <c r="H50" s="584" t="s">
        <v>38</v>
      </c>
      <c r="I50" s="585" t="s">
        <v>39</v>
      </c>
      <c r="J50" s="16"/>
      <c r="K50" s="32">
        <f t="shared" si="3"/>
        <v>24.700000000000003</v>
      </c>
      <c r="L50" s="32">
        <v>0</v>
      </c>
      <c r="M50" s="32">
        <v>24.700000000000003</v>
      </c>
      <c r="N50" s="32">
        <v>21.5</v>
      </c>
    </row>
    <row r="51" spans="1:14" s="13" customFormat="1" ht="36" x14ac:dyDescent="0.35">
      <c r="A51" s="17"/>
      <c r="B51" s="30" t="s">
        <v>328</v>
      </c>
      <c r="C51" s="31" t="s">
        <v>1</v>
      </c>
      <c r="D51" s="16" t="s">
        <v>32</v>
      </c>
      <c r="E51" s="16" t="s">
        <v>60</v>
      </c>
      <c r="F51" s="583" t="s">
        <v>36</v>
      </c>
      <c r="G51" s="584" t="s">
        <v>40</v>
      </c>
      <c r="H51" s="584" t="s">
        <v>38</v>
      </c>
      <c r="I51" s="585" t="s">
        <v>39</v>
      </c>
      <c r="J51" s="16"/>
      <c r="K51" s="32">
        <f t="shared" si="3"/>
        <v>24.700000000000003</v>
      </c>
      <c r="L51" s="32">
        <v>0</v>
      </c>
      <c r="M51" s="32">
        <v>24.700000000000003</v>
      </c>
      <c r="N51" s="32">
        <v>21.5</v>
      </c>
    </row>
    <row r="52" spans="1:14" s="13" customFormat="1" ht="36" x14ac:dyDescent="0.35">
      <c r="A52" s="17"/>
      <c r="B52" s="30" t="s">
        <v>49</v>
      </c>
      <c r="C52" s="31" t="s">
        <v>1</v>
      </c>
      <c r="D52" s="16" t="s">
        <v>32</v>
      </c>
      <c r="E52" s="16" t="s">
        <v>60</v>
      </c>
      <c r="F52" s="583" t="s">
        <v>36</v>
      </c>
      <c r="G52" s="584" t="s">
        <v>40</v>
      </c>
      <c r="H52" s="584" t="s">
        <v>34</v>
      </c>
      <c r="I52" s="585" t="s">
        <v>39</v>
      </c>
      <c r="J52" s="16"/>
      <c r="K52" s="32">
        <f t="shared" si="3"/>
        <v>24.700000000000003</v>
      </c>
      <c r="L52" s="32">
        <v>0</v>
      </c>
      <c r="M52" s="32">
        <v>24.700000000000003</v>
      </c>
      <c r="N52" s="32">
        <v>21.5</v>
      </c>
    </row>
    <row r="53" spans="1:14" s="13" customFormat="1" ht="76.5" customHeight="1" x14ac:dyDescent="0.35">
      <c r="A53" s="17"/>
      <c r="B53" s="30" t="s">
        <v>385</v>
      </c>
      <c r="C53" s="31" t="s">
        <v>1</v>
      </c>
      <c r="D53" s="16" t="s">
        <v>32</v>
      </c>
      <c r="E53" s="16" t="s">
        <v>60</v>
      </c>
      <c r="F53" s="583" t="s">
        <v>36</v>
      </c>
      <c r="G53" s="584" t="s">
        <v>40</v>
      </c>
      <c r="H53" s="584" t="s">
        <v>34</v>
      </c>
      <c r="I53" s="585" t="s">
        <v>384</v>
      </c>
      <c r="J53" s="16"/>
      <c r="K53" s="32">
        <f t="shared" si="3"/>
        <v>24.700000000000003</v>
      </c>
      <c r="L53" s="32">
        <v>0</v>
      </c>
      <c r="M53" s="32">
        <v>24.700000000000003</v>
      </c>
      <c r="N53" s="32">
        <v>21.5</v>
      </c>
    </row>
    <row r="54" spans="1:14" s="13" customFormat="1" ht="54" x14ac:dyDescent="0.35">
      <c r="A54" s="17"/>
      <c r="B54" s="30" t="s">
        <v>50</v>
      </c>
      <c r="C54" s="31" t="s">
        <v>1</v>
      </c>
      <c r="D54" s="16" t="s">
        <v>32</v>
      </c>
      <c r="E54" s="16" t="s">
        <v>60</v>
      </c>
      <c r="F54" s="583" t="s">
        <v>36</v>
      </c>
      <c r="G54" s="584" t="s">
        <v>40</v>
      </c>
      <c r="H54" s="584" t="s">
        <v>34</v>
      </c>
      <c r="I54" s="585" t="s">
        <v>384</v>
      </c>
      <c r="J54" s="16" t="s">
        <v>51</v>
      </c>
      <c r="K54" s="32">
        <f>6.1+18.6</f>
        <v>24.700000000000003</v>
      </c>
      <c r="L54" s="32">
        <v>0</v>
      </c>
      <c r="M54" s="32">
        <v>24.700000000000003</v>
      </c>
      <c r="N54" s="32">
        <v>21.5</v>
      </c>
    </row>
    <row r="55" spans="1:14" s="123" customFormat="1" ht="18" x14ac:dyDescent="0.35">
      <c r="A55" s="17"/>
      <c r="B55" s="30" t="s">
        <v>61</v>
      </c>
      <c r="C55" s="31" t="s">
        <v>1</v>
      </c>
      <c r="D55" s="16" t="s">
        <v>32</v>
      </c>
      <c r="E55" s="16" t="s">
        <v>62</v>
      </c>
      <c r="F55" s="583"/>
      <c r="G55" s="584"/>
      <c r="H55" s="584"/>
      <c r="I55" s="585"/>
      <c r="J55" s="16"/>
      <c r="K55" s="32">
        <f t="shared" ref="K55:N58" si="4">K56</f>
        <v>5000</v>
      </c>
      <c r="L55" s="32">
        <v>0</v>
      </c>
      <c r="M55" s="32">
        <v>5000</v>
      </c>
      <c r="N55" s="32">
        <v>5000</v>
      </c>
    </row>
    <row r="56" spans="1:14" s="123" customFormat="1" ht="36" x14ac:dyDescent="0.35">
      <c r="A56" s="17"/>
      <c r="B56" s="30" t="s">
        <v>423</v>
      </c>
      <c r="C56" s="31" t="s">
        <v>1</v>
      </c>
      <c r="D56" s="16" t="s">
        <v>32</v>
      </c>
      <c r="E56" s="16" t="s">
        <v>62</v>
      </c>
      <c r="F56" s="583" t="s">
        <v>63</v>
      </c>
      <c r="G56" s="584" t="s">
        <v>37</v>
      </c>
      <c r="H56" s="584" t="s">
        <v>38</v>
      </c>
      <c r="I56" s="585" t="s">
        <v>39</v>
      </c>
      <c r="J56" s="16"/>
      <c r="K56" s="32">
        <f t="shared" si="4"/>
        <v>5000</v>
      </c>
      <c r="L56" s="32">
        <v>0</v>
      </c>
      <c r="M56" s="32">
        <v>5000</v>
      </c>
      <c r="N56" s="32">
        <v>5000</v>
      </c>
    </row>
    <row r="57" spans="1:14" s="123" customFormat="1" ht="18" x14ac:dyDescent="0.35">
      <c r="A57" s="17"/>
      <c r="B57" s="33" t="s">
        <v>424</v>
      </c>
      <c r="C57" s="31" t="s">
        <v>1</v>
      </c>
      <c r="D57" s="16" t="s">
        <v>32</v>
      </c>
      <c r="E57" s="16" t="s">
        <v>62</v>
      </c>
      <c r="F57" s="583" t="s">
        <v>63</v>
      </c>
      <c r="G57" s="584" t="s">
        <v>40</v>
      </c>
      <c r="H57" s="584" t="s">
        <v>38</v>
      </c>
      <c r="I57" s="585" t="s">
        <v>39</v>
      </c>
      <c r="J57" s="16"/>
      <c r="K57" s="32">
        <f>K58</f>
        <v>5000</v>
      </c>
      <c r="L57" s="32">
        <v>0</v>
      </c>
      <c r="M57" s="32">
        <v>5000</v>
      </c>
      <c r="N57" s="32">
        <v>5000</v>
      </c>
    </row>
    <row r="58" spans="1:14" s="123" customFormat="1" ht="36" x14ac:dyDescent="0.35">
      <c r="A58" s="17"/>
      <c r="B58" s="30" t="s">
        <v>422</v>
      </c>
      <c r="C58" s="31" t="s">
        <v>1</v>
      </c>
      <c r="D58" s="16" t="s">
        <v>32</v>
      </c>
      <c r="E58" s="16" t="s">
        <v>62</v>
      </c>
      <c r="F58" s="583" t="s">
        <v>63</v>
      </c>
      <c r="G58" s="584" t="s">
        <v>40</v>
      </c>
      <c r="H58" s="584" t="s">
        <v>38</v>
      </c>
      <c r="I58" s="585" t="s">
        <v>64</v>
      </c>
      <c r="J58" s="16"/>
      <c r="K58" s="32">
        <f t="shared" si="4"/>
        <v>5000</v>
      </c>
      <c r="L58" s="32">
        <v>0</v>
      </c>
      <c r="M58" s="32">
        <v>5000</v>
      </c>
      <c r="N58" s="32">
        <v>5000</v>
      </c>
    </row>
    <row r="59" spans="1:14" s="123" customFormat="1" ht="18" x14ac:dyDescent="0.35">
      <c r="A59" s="17"/>
      <c r="B59" s="30" t="s">
        <v>52</v>
      </c>
      <c r="C59" s="31" t="s">
        <v>1</v>
      </c>
      <c r="D59" s="16" t="s">
        <v>32</v>
      </c>
      <c r="E59" s="16" t="s">
        <v>62</v>
      </c>
      <c r="F59" s="583" t="s">
        <v>63</v>
      </c>
      <c r="G59" s="584" t="s">
        <v>40</v>
      </c>
      <c r="H59" s="584" t="s">
        <v>38</v>
      </c>
      <c r="I59" s="585" t="s">
        <v>64</v>
      </c>
      <c r="J59" s="16" t="s">
        <v>53</v>
      </c>
      <c r="K59" s="32">
        <v>5000</v>
      </c>
      <c r="L59" s="32">
        <v>0</v>
      </c>
      <c r="M59" s="32">
        <v>5000</v>
      </c>
      <c r="N59" s="32">
        <v>5000</v>
      </c>
    </row>
    <row r="60" spans="1:14" s="123" customFormat="1" ht="18" x14ac:dyDescent="0.35">
      <c r="A60" s="17"/>
      <c r="B60" s="30" t="s">
        <v>65</v>
      </c>
      <c r="C60" s="31" t="s">
        <v>1</v>
      </c>
      <c r="D60" s="16" t="s">
        <v>32</v>
      </c>
      <c r="E60" s="16" t="s">
        <v>66</v>
      </c>
      <c r="F60" s="583"/>
      <c r="G60" s="584"/>
      <c r="H60" s="584"/>
      <c r="I60" s="585"/>
      <c r="J60" s="16"/>
      <c r="K60" s="32">
        <f>K66+K61</f>
        <v>4743.1000000000004</v>
      </c>
      <c r="L60" s="32">
        <v>0</v>
      </c>
      <c r="M60" s="32">
        <v>4743.1000000000004</v>
      </c>
      <c r="N60" s="32">
        <v>4743.1000000000004</v>
      </c>
    </row>
    <row r="61" spans="1:14" s="123" customFormat="1" ht="72" x14ac:dyDescent="0.35">
      <c r="A61" s="17"/>
      <c r="B61" s="30" t="s">
        <v>67</v>
      </c>
      <c r="C61" s="31" t="s">
        <v>1</v>
      </c>
      <c r="D61" s="16" t="s">
        <v>32</v>
      </c>
      <c r="E61" s="16" t="s">
        <v>66</v>
      </c>
      <c r="F61" s="583" t="s">
        <v>68</v>
      </c>
      <c r="G61" s="584" t="s">
        <v>37</v>
      </c>
      <c r="H61" s="584" t="s">
        <v>38</v>
      </c>
      <c r="I61" s="585" t="s">
        <v>39</v>
      </c>
      <c r="J61" s="16"/>
      <c r="K61" s="32">
        <f t="shared" ref="K61:N64" si="5">K62</f>
        <v>303.60000000000002</v>
      </c>
      <c r="L61" s="32">
        <v>0</v>
      </c>
      <c r="M61" s="32">
        <v>303.60000000000002</v>
      </c>
      <c r="N61" s="32">
        <v>303.60000000000002</v>
      </c>
    </row>
    <row r="62" spans="1:14" s="123" customFormat="1" ht="36" x14ac:dyDescent="0.35">
      <c r="A62" s="17"/>
      <c r="B62" s="30" t="s">
        <v>328</v>
      </c>
      <c r="C62" s="31" t="s">
        <v>1</v>
      </c>
      <c r="D62" s="16" t="s">
        <v>32</v>
      </c>
      <c r="E62" s="16" t="s">
        <v>66</v>
      </c>
      <c r="F62" s="583" t="s">
        <v>68</v>
      </c>
      <c r="G62" s="584" t="s">
        <v>40</v>
      </c>
      <c r="H62" s="584" t="s">
        <v>38</v>
      </c>
      <c r="I62" s="585" t="s">
        <v>39</v>
      </c>
      <c r="J62" s="16"/>
      <c r="K62" s="32">
        <f t="shared" si="5"/>
        <v>303.60000000000002</v>
      </c>
      <c r="L62" s="32">
        <v>0</v>
      </c>
      <c r="M62" s="32">
        <v>303.60000000000002</v>
      </c>
      <c r="N62" s="32">
        <v>303.60000000000002</v>
      </c>
    </row>
    <row r="63" spans="1:14" s="123" customFormat="1" ht="54" x14ac:dyDescent="0.35">
      <c r="A63" s="17"/>
      <c r="B63" s="33" t="s">
        <v>254</v>
      </c>
      <c r="C63" s="31" t="s">
        <v>1</v>
      </c>
      <c r="D63" s="16" t="s">
        <v>32</v>
      </c>
      <c r="E63" s="16" t="s">
        <v>66</v>
      </c>
      <c r="F63" s="583" t="s">
        <v>68</v>
      </c>
      <c r="G63" s="584" t="s">
        <v>40</v>
      </c>
      <c r="H63" s="584" t="s">
        <v>32</v>
      </c>
      <c r="I63" s="585" t="s">
        <v>39</v>
      </c>
      <c r="J63" s="16"/>
      <c r="K63" s="32">
        <f t="shared" si="5"/>
        <v>303.60000000000002</v>
      </c>
      <c r="L63" s="32">
        <v>0</v>
      </c>
      <c r="M63" s="32">
        <v>303.60000000000002</v>
      </c>
      <c r="N63" s="32">
        <v>303.60000000000002</v>
      </c>
    </row>
    <row r="64" spans="1:14" s="123" customFormat="1" ht="54" x14ac:dyDescent="0.35">
      <c r="A64" s="17"/>
      <c r="B64" s="33" t="s">
        <v>69</v>
      </c>
      <c r="C64" s="31" t="s">
        <v>1</v>
      </c>
      <c r="D64" s="16" t="s">
        <v>32</v>
      </c>
      <c r="E64" s="16" t="s">
        <v>66</v>
      </c>
      <c r="F64" s="583" t="s">
        <v>68</v>
      </c>
      <c r="G64" s="584" t="s">
        <v>40</v>
      </c>
      <c r="H64" s="584" t="s">
        <v>32</v>
      </c>
      <c r="I64" s="585" t="s">
        <v>70</v>
      </c>
      <c r="J64" s="16"/>
      <c r="K64" s="32">
        <f t="shared" si="5"/>
        <v>303.60000000000002</v>
      </c>
      <c r="L64" s="32">
        <v>0</v>
      </c>
      <c r="M64" s="32">
        <v>303.60000000000002</v>
      </c>
      <c r="N64" s="32">
        <v>303.60000000000002</v>
      </c>
    </row>
    <row r="65" spans="1:14" s="123" customFormat="1" ht="54" x14ac:dyDescent="0.35">
      <c r="A65" s="17"/>
      <c r="B65" s="34" t="s">
        <v>71</v>
      </c>
      <c r="C65" s="31" t="s">
        <v>1</v>
      </c>
      <c r="D65" s="16" t="s">
        <v>32</v>
      </c>
      <c r="E65" s="16" t="s">
        <v>66</v>
      </c>
      <c r="F65" s="583" t="s">
        <v>68</v>
      </c>
      <c r="G65" s="584" t="s">
        <v>40</v>
      </c>
      <c r="H65" s="584" t="s">
        <v>32</v>
      </c>
      <c r="I65" s="585" t="s">
        <v>70</v>
      </c>
      <c r="J65" s="16" t="s">
        <v>72</v>
      </c>
      <c r="K65" s="32">
        <v>303.60000000000002</v>
      </c>
      <c r="L65" s="32">
        <v>0</v>
      </c>
      <c r="M65" s="32">
        <v>303.60000000000002</v>
      </c>
      <c r="N65" s="32">
        <v>303.60000000000002</v>
      </c>
    </row>
    <row r="66" spans="1:14" s="123" customFormat="1" ht="54" x14ac:dyDescent="0.35">
      <c r="A66" s="17"/>
      <c r="B66" s="30" t="s">
        <v>35</v>
      </c>
      <c r="C66" s="31" t="s">
        <v>1</v>
      </c>
      <c r="D66" s="16" t="s">
        <v>32</v>
      </c>
      <c r="E66" s="16" t="s">
        <v>66</v>
      </c>
      <c r="F66" s="583" t="s">
        <v>36</v>
      </c>
      <c r="G66" s="584" t="s">
        <v>37</v>
      </c>
      <c r="H66" s="584" t="s">
        <v>38</v>
      </c>
      <c r="I66" s="585" t="s">
        <v>39</v>
      </c>
      <c r="J66" s="16"/>
      <c r="K66" s="32">
        <f>K67</f>
        <v>4439.5</v>
      </c>
      <c r="L66" s="32">
        <v>0</v>
      </c>
      <c r="M66" s="32">
        <v>4439.5</v>
      </c>
      <c r="N66" s="32">
        <v>4439.5</v>
      </c>
    </row>
    <row r="67" spans="1:14" s="123" customFormat="1" ht="36" x14ac:dyDescent="0.35">
      <c r="A67" s="17"/>
      <c r="B67" s="30" t="s">
        <v>328</v>
      </c>
      <c r="C67" s="31" t="s">
        <v>1</v>
      </c>
      <c r="D67" s="16" t="s">
        <v>32</v>
      </c>
      <c r="E67" s="16" t="s">
        <v>66</v>
      </c>
      <c r="F67" s="583" t="s">
        <v>36</v>
      </c>
      <c r="G67" s="584" t="s">
        <v>40</v>
      </c>
      <c r="H67" s="584" t="s">
        <v>38</v>
      </c>
      <c r="I67" s="585" t="s">
        <v>39</v>
      </c>
      <c r="J67" s="16"/>
      <c r="K67" s="32">
        <f>K72+K68+K77+K80</f>
        <v>4439.5</v>
      </c>
      <c r="L67" s="32">
        <v>0</v>
      </c>
      <c r="M67" s="32">
        <v>4439.5</v>
      </c>
      <c r="N67" s="32">
        <v>4439.5</v>
      </c>
    </row>
    <row r="68" spans="1:14" s="123" customFormat="1" ht="18" x14ac:dyDescent="0.35">
      <c r="A68" s="17"/>
      <c r="B68" s="34" t="s">
        <v>57</v>
      </c>
      <c r="C68" s="31" t="s">
        <v>1</v>
      </c>
      <c r="D68" s="16" t="s">
        <v>32</v>
      </c>
      <c r="E68" s="16" t="s">
        <v>66</v>
      </c>
      <c r="F68" s="583" t="s">
        <v>36</v>
      </c>
      <c r="G68" s="584" t="s">
        <v>40</v>
      </c>
      <c r="H68" s="584" t="s">
        <v>58</v>
      </c>
      <c r="I68" s="585" t="s">
        <v>39</v>
      </c>
      <c r="J68" s="16"/>
      <c r="K68" s="32">
        <f>K69</f>
        <v>1247.8</v>
      </c>
      <c r="L68" s="32">
        <v>0</v>
      </c>
      <c r="M68" s="32">
        <v>1247.8</v>
      </c>
      <c r="N68" s="32">
        <v>1247.8</v>
      </c>
    </row>
    <row r="69" spans="1:14" s="123" customFormat="1" ht="54" x14ac:dyDescent="0.35">
      <c r="A69" s="17"/>
      <c r="B69" s="34" t="s">
        <v>375</v>
      </c>
      <c r="C69" s="31" t="s">
        <v>1</v>
      </c>
      <c r="D69" s="16" t="s">
        <v>32</v>
      </c>
      <c r="E69" s="16" t="s">
        <v>66</v>
      </c>
      <c r="F69" s="583" t="s">
        <v>36</v>
      </c>
      <c r="G69" s="584" t="s">
        <v>40</v>
      </c>
      <c r="H69" s="584" t="s">
        <v>58</v>
      </c>
      <c r="I69" s="585" t="s">
        <v>374</v>
      </c>
      <c r="J69" s="16"/>
      <c r="K69" s="32">
        <f>K70+K71</f>
        <v>1247.8</v>
      </c>
      <c r="L69" s="32">
        <v>0</v>
      </c>
      <c r="M69" s="32">
        <v>1247.8</v>
      </c>
      <c r="N69" s="32">
        <v>1247.8</v>
      </c>
    </row>
    <row r="70" spans="1:14" s="123" customFormat="1" ht="54" x14ac:dyDescent="0.35">
      <c r="A70" s="17"/>
      <c r="B70" s="30" t="s">
        <v>50</v>
      </c>
      <c r="C70" s="31" t="s">
        <v>1</v>
      </c>
      <c r="D70" s="16" t="s">
        <v>32</v>
      </c>
      <c r="E70" s="16" t="s">
        <v>66</v>
      </c>
      <c r="F70" s="583" t="s">
        <v>36</v>
      </c>
      <c r="G70" s="584" t="s">
        <v>40</v>
      </c>
      <c r="H70" s="584" t="s">
        <v>58</v>
      </c>
      <c r="I70" s="585" t="s">
        <v>374</v>
      </c>
      <c r="J70" s="16" t="s">
        <v>51</v>
      </c>
      <c r="K70" s="32">
        <v>1019.5</v>
      </c>
      <c r="L70" s="32">
        <v>0</v>
      </c>
      <c r="M70" s="32">
        <v>1019.5</v>
      </c>
      <c r="N70" s="32">
        <v>1019.5</v>
      </c>
    </row>
    <row r="71" spans="1:14" s="123" customFormat="1" ht="18" x14ac:dyDescent="0.35">
      <c r="A71" s="17"/>
      <c r="B71" s="30" t="s">
        <v>52</v>
      </c>
      <c r="C71" s="31" t="s">
        <v>1</v>
      </c>
      <c r="D71" s="16" t="s">
        <v>32</v>
      </c>
      <c r="E71" s="16" t="s">
        <v>66</v>
      </c>
      <c r="F71" s="583" t="s">
        <v>36</v>
      </c>
      <c r="G71" s="584" t="s">
        <v>40</v>
      </c>
      <c r="H71" s="584" t="s">
        <v>58</v>
      </c>
      <c r="I71" s="585" t="s">
        <v>374</v>
      </c>
      <c r="J71" s="16" t="s">
        <v>53</v>
      </c>
      <c r="K71" s="32">
        <v>228.3</v>
      </c>
      <c r="L71" s="32">
        <v>0</v>
      </c>
      <c r="M71" s="32">
        <v>228.3</v>
      </c>
      <c r="N71" s="32">
        <v>228.3</v>
      </c>
    </row>
    <row r="72" spans="1:14" s="123" customFormat="1" ht="18" x14ac:dyDescent="0.35">
      <c r="A72" s="17"/>
      <c r="B72" s="30" t="s">
        <v>59</v>
      </c>
      <c r="C72" s="31" t="s">
        <v>1</v>
      </c>
      <c r="D72" s="16" t="s">
        <v>32</v>
      </c>
      <c r="E72" s="16" t="s">
        <v>66</v>
      </c>
      <c r="F72" s="583" t="s">
        <v>36</v>
      </c>
      <c r="G72" s="584" t="s">
        <v>40</v>
      </c>
      <c r="H72" s="584" t="s">
        <v>47</v>
      </c>
      <c r="I72" s="585" t="s">
        <v>39</v>
      </c>
      <c r="J72" s="16"/>
      <c r="K72" s="32">
        <f>K73+K75</f>
        <v>3011.6</v>
      </c>
      <c r="L72" s="32">
        <v>0</v>
      </c>
      <c r="M72" s="32">
        <v>3011.6</v>
      </c>
      <c r="N72" s="32">
        <v>3011.6</v>
      </c>
    </row>
    <row r="73" spans="1:14" s="123" customFormat="1" ht="54" x14ac:dyDescent="0.35">
      <c r="A73" s="17"/>
      <c r="B73" s="35" t="s">
        <v>341</v>
      </c>
      <c r="C73" s="31" t="s">
        <v>1</v>
      </c>
      <c r="D73" s="16" t="s">
        <v>32</v>
      </c>
      <c r="E73" s="16" t="s">
        <v>66</v>
      </c>
      <c r="F73" s="583" t="s">
        <v>36</v>
      </c>
      <c r="G73" s="584" t="s">
        <v>40</v>
      </c>
      <c r="H73" s="584" t="s">
        <v>47</v>
      </c>
      <c r="I73" s="585" t="s">
        <v>100</v>
      </c>
      <c r="J73" s="16"/>
      <c r="K73" s="32">
        <f>K74</f>
        <v>1016.8</v>
      </c>
      <c r="L73" s="32">
        <v>0</v>
      </c>
      <c r="M73" s="32">
        <v>1016.8</v>
      </c>
      <c r="N73" s="32">
        <v>1016.8</v>
      </c>
    </row>
    <row r="74" spans="1:14" s="123" customFormat="1" ht="54" x14ac:dyDescent="0.35">
      <c r="A74" s="17"/>
      <c r="B74" s="30" t="s">
        <v>50</v>
      </c>
      <c r="C74" s="31" t="s">
        <v>1</v>
      </c>
      <c r="D74" s="16" t="s">
        <v>32</v>
      </c>
      <c r="E74" s="16" t="s">
        <v>66</v>
      </c>
      <c r="F74" s="583" t="s">
        <v>36</v>
      </c>
      <c r="G74" s="584" t="s">
        <v>40</v>
      </c>
      <c r="H74" s="584" t="s">
        <v>47</v>
      </c>
      <c r="I74" s="585" t="s">
        <v>100</v>
      </c>
      <c r="J74" s="16" t="s">
        <v>51</v>
      </c>
      <c r="K74" s="32">
        <v>1016.8</v>
      </c>
      <c r="L74" s="32">
        <v>0</v>
      </c>
      <c r="M74" s="32">
        <v>1016.8</v>
      </c>
      <c r="N74" s="32">
        <v>1016.8</v>
      </c>
    </row>
    <row r="75" spans="1:14" s="123" customFormat="1" ht="54" x14ac:dyDescent="0.35">
      <c r="A75" s="17"/>
      <c r="B75" s="30" t="s">
        <v>343</v>
      </c>
      <c r="C75" s="31" t="s">
        <v>1</v>
      </c>
      <c r="D75" s="16" t="s">
        <v>32</v>
      </c>
      <c r="E75" s="16" t="s">
        <v>66</v>
      </c>
      <c r="F75" s="583" t="s">
        <v>36</v>
      </c>
      <c r="G75" s="584" t="s">
        <v>40</v>
      </c>
      <c r="H75" s="584" t="s">
        <v>47</v>
      </c>
      <c r="I75" s="585" t="s">
        <v>342</v>
      </c>
      <c r="J75" s="16"/>
      <c r="K75" s="32">
        <f>K76</f>
        <v>1994.8</v>
      </c>
      <c r="L75" s="32">
        <v>0</v>
      </c>
      <c r="M75" s="32">
        <v>1994.8</v>
      </c>
      <c r="N75" s="32">
        <v>1994.8</v>
      </c>
    </row>
    <row r="76" spans="1:14" s="123" customFormat="1" ht="54" x14ac:dyDescent="0.35">
      <c r="A76" s="17"/>
      <c r="B76" s="30" t="s">
        <v>50</v>
      </c>
      <c r="C76" s="31" t="s">
        <v>1</v>
      </c>
      <c r="D76" s="16" t="s">
        <v>32</v>
      </c>
      <c r="E76" s="16" t="s">
        <v>66</v>
      </c>
      <c r="F76" s="583" t="s">
        <v>36</v>
      </c>
      <c r="G76" s="584" t="s">
        <v>40</v>
      </c>
      <c r="H76" s="584" t="s">
        <v>47</v>
      </c>
      <c r="I76" s="585" t="s">
        <v>342</v>
      </c>
      <c r="J76" s="16" t="s">
        <v>51</v>
      </c>
      <c r="K76" s="32">
        <v>1994.8</v>
      </c>
      <c r="L76" s="32">
        <v>0</v>
      </c>
      <c r="M76" s="32">
        <v>1994.8</v>
      </c>
      <c r="N76" s="32">
        <v>1994.8</v>
      </c>
    </row>
    <row r="77" spans="1:14" s="123" customFormat="1" ht="36" x14ac:dyDescent="0.35">
      <c r="A77" s="17"/>
      <c r="B77" s="30" t="s">
        <v>445</v>
      </c>
      <c r="C77" s="31" t="s">
        <v>1</v>
      </c>
      <c r="D77" s="16" t="s">
        <v>32</v>
      </c>
      <c r="E77" s="16" t="s">
        <v>66</v>
      </c>
      <c r="F77" s="583" t="s">
        <v>36</v>
      </c>
      <c r="G77" s="584" t="s">
        <v>40</v>
      </c>
      <c r="H77" s="584" t="s">
        <v>400</v>
      </c>
      <c r="I77" s="585" t="s">
        <v>39</v>
      </c>
      <c r="J77" s="16"/>
      <c r="K77" s="32">
        <f t="shared" ref="K77:N78" si="6">K78</f>
        <v>120.1</v>
      </c>
      <c r="L77" s="32">
        <v>0</v>
      </c>
      <c r="M77" s="32">
        <v>120.1</v>
      </c>
      <c r="N77" s="32">
        <v>120.1</v>
      </c>
    </row>
    <row r="78" spans="1:14" s="123" customFormat="1" ht="36" x14ac:dyDescent="0.35">
      <c r="A78" s="17"/>
      <c r="B78" s="35" t="s">
        <v>122</v>
      </c>
      <c r="C78" s="31" t="s">
        <v>1</v>
      </c>
      <c r="D78" s="16" t="s">
        <v>32</v>
      </c>
      <c r="E78" s="16" t="s">
        <v>66</v>
      </c>
      <c r="F78" s="583" t="s">
        <v>36</v>
      </c>
      <c r="G78" s="584" t="s">
        <v>40</v>
      </c>
      <c r="H78" s="584" t="s">
        <v>400</v>
      </c>
      <c r="I78" s="585" t="s">
        <v>85</v>
      </c>
      <c r="J78" s="16"/>
      <c r="K78" s="32">
        <f t="shared" si="6"/>
        <v>120.1</v>
      </c>
      <c r="L78" s="32">
        <v>0</v>
      </c>
      <c r="M78" s="32">
        <v>120.1</v>
      </c>
      <c r="N78" s="32">
        <v>120.1</v>
      </c>
    </row>
    <row r="79" spans="1:14" s="123" customFormat="1" ht="54" x14ac:dyDescent="0.35">
      <c r="A79" s="17"/>
      <c r="B79" s="30" t="s">
        <v>50</v>
      </c>
      <c r="C79" s="31" t="s">
        <v>1</v>
      </c>
      <c r="D79" s="16" t="s">
        <v>32</v>
      </c>
      <c r="E79" s="16" t="s">
        <v>66</v>
      </c>
      <c r="F79" s="583" t="s">
        <v>36</v>
      </c>
      <c r="G79" s="584" t="s">
        <v>40</v>
      </c>
      <c r="H79" s="584" t="s">
        <v>400</v>
      </c>
      <c r="I79" s="585" t="s">
        <v>85</v>
      </c>
      <c r="J79" s="16" t="s">
        <v>51</v>
      </c>
      <c r="K79" s="32">
        <v>120.1</v>
      </c>
      <c r="L79" s="32">
        <v>0</v>
      </c>
      <c r="M79" s="32">
        <v>120.1</v>
      </c>
      <c r="N79" s="32">
        <v>120.1</v>
      </c>
    </row>
    <row r="80" spans="1:14" s="123" customFormat="1" ht="36" x14ac:dyDescent="0.35">
      <c r="A80" s="17"/>
      <c r="B80" s="30" t="s">
        <v>441</v>
      </c>
      <c r="C80" s="31" t="s">
        <v>1</v>
      </c>
      <c r="D80" s="16" t="s">
        <v>32</v>
      </c>
      <c r="E80" s="16" t="s">
        <v>66</v>
      </c>
      <c r="F80" s="583" t="s">
        <v>36</v>
      </c>
      <c r="G80" s="584" t="s">
        <v>40</v>
      </c>
      <c r="H80" s="584" t="s">
        <v>36</v>
      </c>
      <c r="I80" s="585" t="s">
        <v>39</v>
      </c>
      <c r="J80" s="16"/>
      <c r="K80" s="32">
        <f t="shared" ref="K80:N81" si="7">K81</f>
        <v>60</v>
      </c>
      <c r="L80" s="32">
        <v>0</v>
      </c>
      <c r="M80" s="32">
        <v>60</v>
      </c>
      <c r="N80" s="32">
        <v>60</v>
      </c>
    </row>
    <row r="81" spans="1:14" s="123" customFormat="1" ht="18" x14ac:dyDescent="0.35">
      <c r="A81" s="17"/>
      <c r="B81" s="35" t="s">
        <v>439</v>
      </c>
      <c r="C81" s="31" t="s">
        <v>1</v>
      </c>
      <c r="D81" s="16" t="s">
        <v>32</v>
      </c>
      <c r="E81" s="16" t="s">
        <v>66</v>
      </c>
      <c r="F81" s="583" t="s">
        <v>36</v>
      </c>
      <c r="G81" s="584" t="s">
        <v>40</v>
      </c>
      <c r="H81" s="584" t="s">
        <v>36</v>
      </c>
      <c r="I81" s="585" t="s">
        <v>440</v>
      </c>
      <c r="J81" s="16"/>
      <c r="K81" s="32">
        <f t="shared" si="7"/>
        <v>60</v>
      </c>
      <c r="L81" s="32">
        <v>0</v>
      </c>
      <c r="M81" s="32">
        <v>60</v>
      </c>
      <c r="N81" s="32">
        <v>60</v>
      </c>
    </row>
    <row r="82" spans="1:14" s="123" customFormat="1" ht="54" x14ac:dyDescent="0.35">
      <c r="A82" s="17"/>
      <c r="B82" s="30" t="s">
        <v>50</v>
      </c>
      <c r="C82" s="31" t="s">
        <v>1</v>
      </c>
      <c r="D82" s="16" t="s">
        <v>32</v>
      </c>
      <c r="E82" s="16" t="s">
        <v>66</v>
      </c>
      <c r="F82" s="583" t="s">
        <v>36</v>
      </c>
      <c r="G82" s="584" t="s">
        <v>40</v>
      </c>
      <c r="H82" s="584" t="s">
        <v>36</v>
      </c>
      <c r="I82" s="585" t="s">
        <v>440</v>
      </c>
      <c r="J82" s="16" t="s">
        <v>51</v>
      </c>
      <c r="K82" s="32">
        <v>60</v>
      </c>
      <c r="L82" s="32">
        <v>0</v>
      </c>
      <c r="M82" s="32">
        <v>60</v>
      </c>
      <c r="N82" s="32">
        <v>60</v>
      </c>
    </row>
    <row r="83" spans="1:14" s="123" customFormat="1" ht="36" x14ac:dyDescent="0.35">
      <c r="A83" s="17"/>
      <c r="B83" s="30" t="s">
        <v>73</v>
      </c>
      <c r="C83" s="31" t="s">
        <v>1</v>
      </c>
      <c r="D83" s="16" t="s">
        <v>58</v>
      </c>
      <c r="E83" s="16"/>
      <c r="F83" s="583"/>
      <c r="G83" s="584"/>
      <c r="H83" s="584"/>
      <c r="I83" s="585"/>
      <c r="J83" s="16"/>
      <c r="K83" s="32">
        <f>K84+K92</f>
        <v>11858.099999999999</v>
      </c>
      <c r="L83" s="32">
        <v>0</v>
      </c>
      <c r="M83" s="32">
        <v>11858.099999999999</v>
      </c>
      <c r="N83" s="32">
        <v>11858.499999999998</v>
      </c>
    </row>
    <row r="84" spans="1:14" s="123" customFormat="1" ht="72" x14ac:dyDescent="0.35">
      <c r="A84" s="17"/>
      <c r="B84" s="219" t="s">
        <v>436</v>
      </c>
      <c r="C84" s="31" t="s">
        <v>1</v>
      </c>
      <c r="D84" s="16" t="s">
        <v>58</v>
      </c>
      <c r="E84" s="16" t="s">
        <v>99</v>
      </c>
      <c r="F84" s="583"/>
      <c r="G84" s="584"/>
      <c r="H84" s="584"/>
      <c r="I84" s="585"/>
      <c r="J84" s="16"/>
      <c r="K84" s="32">
        <f t="shared" ref="K84:N86" si="8">K85</f>
        <v>362.29999999999995</v>
      </c>
      <c r="L84" s="32">
        <v>0</v>
      </c>
      <c r="M84" s="32">
        <v>362.29999999999995</v>
      </c>
      <c r="N84" s="32">
        <v>362.29999999999995</v>
      </c>
    </row>
    <row r="85" spans="1:14" s="123" customFormat="1" ht="54" x14ac:dyDescent="0.35">
      <c r="A85" s="17"/>
      <c r="B85" s="30" t="s">
        <v>75</v>
      </c>
      <c r="C85" s="31" t="s">
        <v>1</v>
      </c>
      <c r="D85" s="16" t="s">
        <v>58</v>
      </c>
      <c r="E85" s="16" t="s">
        <v>99</v>
      </c>
      <c r="F85" s="583" t="s">
        <v>76</v>
      </c>
      <c r="G85" s="584" t="s">
        <v>37</v>
      </c>
      <c r="H85" s="584" t="s">
        <v>38</v>
      </c>
      <c r="I85" s="585" t="s">
        <v>39</v>
      </c>
      <c r="J85" s="16"/>
      <c r="K85" s="32">
        <f t="shared" si="8"/>
        <v>362.29999999999995</v>
      </c>
      <c r="L85" s="32">
        <v>0</v>
      </c>
      <c r="M85" s="32">
        <v>362.29999999999995</v>
      </c>
      <c r="N85" s="32">
        <v>362.29999999999995</v>
      </c>
    </row>
    <row r="86" spans="1:14" s="123" customFormat="1" ht="54" x14ac:dyDescent="0.35">
      <c r="A86" s="17"/>
      <c r="B86" s="36" t="s">
        <v>77</v>
      </c>
      <c r="C86" s="31" t="s">
        <v>1</v>
      </c>
      <c r="D86" s="16" t="s">
        <v>58</v>
      </c>
      <c r="E86" s="16" t="s">
        <v>99</v>
      </c>
      <c r="F86" s="583" t="s">
        <v>76</v>
      </c>
      <c r="G86" s="584" t="s">
        <v>40</v>
      </c>
      <c r="H86" s="584" t="s">
        <v>38</v>
      </c>
      <c r="I86" s="585" t="s">
        <v>39</v>
      </c>
      <c r="J86" s="16"/>
      <c r="K86" s="32">
        <f t="shared" si="8"/>
        <v>362.29999999999995</v>
      </c>
      <c r="L86" s="32">
        <v>0</v>
      </c>
      <c r="M86" s="32">
        <v>362.29999999999995</v>
      </c>
      <c r="N86" s="32">
        <v>362.29999999999995</v>
      </c>
    </row>
    <row r="87" spans="1:14" s="123" customFormat="1" ht="72" x14ac:dyDescent="0.35">
      <c r="A87" s="17"/>
      <c r="B87" s="30" t="s">
        <v>78</v>
      </c>
      <c r="C87" s="31" t="s">
        <v>1</v>
      </c>
      <c r="D87" s="16" t="s">
        <v>58</v>
      </c>
      <c r="E87" s="16" t="s">
        <v>99</v>
      </c>
      <c r="F87" s="583" t="s">
        <v>76</v>
      </c>
      <c r="G87" s="584" t="s">
        <v>40</v>
      </c>
      <c r="H87" s="584" t="s">
        <v>32</v>
      </c>
      <c r="I87" s="585" t="s">
        <v>39</v>
      </c>
      <c r="J87" s="16"/>
      <c r="K87" s="32">
        <f>K88+K90</f>
        <v>362.29999999999995</v>
      </c>
      <c r="L87" s="32">
        <v>0</v>
      </c>
      <c r="M87" s="32">
        <v>362.29999999999995</v>
      </c>
      <c r="N87" s="32">
        <v>362.29999999999995</v>
      </c>
    </row>
    <row r="88" spans="1:14" s="123" customFormat="1" ht="36" x14ac:dyDescent="0.35">
      <c r="A88" s="17"/>
      <c r="B88" s="36" t="s">
        <v>428</v>
      </c>
      <c r="C88" s="31" t="s">
        <v>1</v>
      </c>
      <c r="D88" s="16" t="s">
        <v>58</v>
      </c>
      <c r="E88" s="16" t="s">
        <v>99</v>
      </c>
      <c r="F88" s="583" t="s">
        <v>76</v>
      </c>
      <c r="G88" s="584" t="s">
        <v>40</v>
      </c>
      <c r="H88" s="584" t="s">
        <v>32</v>
      </c>
      <c r="I88" s="585" t="s">
        <v>79</v>
      </c>
      <c r="J88" s="16"/>
      <c r="K88" s="32">
        <f>K89</f>
        <v>298.39999999999998</v>
      </c>
      <c r="L88" s="32">
        <v>0</v>
      </c>
      <c r="M88" s="32">
        <v>298.39999999999998</v>
      </c>
      <c r="N88" s="32">
        <v>298.39999999999998</v>
      </c>
    </row>
    <row r="89" spans="1:14" s="123" customFormat="1" ht="54" x14ac:dyDescent="0.35">
      <c r="A89" s="17"/>
      <c r="B89" s="30" t="s">
        <v>50</v>
      </c>
      <c r="C89" s="31" t="s">
        <v>1</v>
      </c>
      <c r="D89" s="16" t="s">
        <v>58</v>
      </c>
      <c r="E89" s="16" t="s">
        <v>99</v>
      </c>
      <c r="F89" s="583" t="s">
        <v>76</v>
      </c>
      <c r="G89" s="584" t="s">
        <v>40</v>
      </c>
      <c r="H89" s="584" t="s">
        <v>32</v>
      </c>
      <c r="I89" s="585" t="s">
        <v>79</v>
      </c>
      <c r="J89" s="16" t="s">
        <v>51</v>
      </c>
      <c r="K89" s="32">
        <v>298.39999999999998</v>
      </c>
      <c r="L89" s="32">
        <v>0</v>
      </c>
      <c r="M89" s="32">
        <v>298.39999999999998</v>
      </c>
      <c r="N89" s="32">
        <v>298.39999999999998</v>
      </c>
    </row>
    <row r="90" spans="1:14" s="123" customFormat="1" ht="54" x14ac:dyDescent="0.35">
      <c r="A90" s="17"/>
      <c r="B90" s="30" t="s">
        <v>80</v>
      </c>
      <c r="C90" s="31" t="s">
        <v>1</v>
      </c>
      <c r="D90" s="16" t="s">
        <v>58</v>
      </c>
      <c r="E90" s="16" t="s">
        <v>99</v>
      </c>
      <c r="F90" s="583" t="s">
        <v>76</v>
      </c>
      <c r="G90" s="584" t="s">
        <v>40</v>
      </c>
      <c r="H90" s="584" t="s">
        <v>32</v>
      </c>
      <c r="I90" s="585" t="s">
        <v>81</v>
      </c>
      <c r="J90" s="16"/>
      <c r="K90" s="32">
        <f>K91</f>
        <v>63.9</v>
      </c>
      <c r="L90" s="32">
        <v>0</v>
      </c>
      <c r="M90" s="32">
        <v>63.9</v>
      </c>
      <c r="N90" s="32">
        <v>63.9</v>
      </c>
    </row>
    <row r="91" spans="1:14" s="123" customFormat="1" ht="54" x14ac:dyDescent="0.35">
      <c r="A91" s="17"/>
      <c r="B91" s="30" t="s">
        <v>50</v>
      </c>
      <c r="C91" s="31" t="s">
        <v>1</v>
      </c>
      <c r="D91" s="16" t="s">
        <v>58</v>
      </c>
      <c r="E91" s="16" t="s">
        <v>99</v>
      </c>
      <c r="F91" s="583" t="s">
        <v>76</v>
      </c>
      <c r="G91" s="584" t="s">
        <v>40</v>
      </c>
      <c r="H91" s="584" t="s">
        <v>32</v>
      </c>
      <c r="I91" s="585" t="s">
        <v>81</v>
      </c>
      <c r="J91" s="16" t="s">
        <v>51</v>
      </c>
      <c r="K91" s="32">
        <v>63.9</v>
      </c>
      <c r="L91" s="32">
        <v>0</v>
      </c>
      <c r="M91" s="32">
        <v>63.9</v>
      </c>
      <c r="N91" s="32">
        <v>63.9</v>
      </c>
    </row>
    <row r="92" spans="1:14" s="123" customFormat="1" ht="54" x14ac:dyDescent="0.35">
      <c r="A92" s="17"/>
      <c r="B92" s="35" t="s">
        <v>82</v>
      </c>
      <c r="C92" s="31" t="s">
        <v>1</v>
      </c>
      <c r="D92" s="16" t="s">
        <v>58</v>
      </c>
      <c r="E92" s="16" t="s">
        <v>83</v>
      </c>
      <c r="F92" s="583"/>
      <c r="G92" s="584"/>
      <c r="H92" s="584"/>
      <c r="I92" s="585"/>
      <c r="J92" s="16"/>
      <c r="K92" s="32">
        <f t="shared" ref="K92:N92" si="9">K93</f>
        <v>11495.8</v>
      </c>
      <c r="L92" s="32">
        <v>0</v>
      </c>
      <c r="M92" s="32">
        <v>11495.8</v>
      </c>
      <c r="N92" s="32">
        <v>11496.199999999999</v>
      </c>
    </row>
    <row r="93" spans="1:14" s="123" customFormat="1" ht="57.75" customHeight="1" x14ac:dyDescent="0.35">
      <c r="A93" s="17"/>
      <c r="B93" s="30" t="s">
        <v>75</v>
      </c>
      <c r="C93" s="31" t="s">
        <v>1</v>
      </c>
      <c r="D93" s="16" t="s">
        <v>58</v>
      </c>
      <c r="E93" s="16" t="s">
        <v>83</v>
      </c>
      <c r="F93" s="583" t="s">
        <v>76</v>
      </c>
      <c r="G93" s="584" t="s">
        <v>37</v>
      </c>
      <c r="H93" s="584" t="s">
        <v>38</v>
      </c>
      <c r="I93" s="585" t="s">
        <v>39</v>
      </c>
      <c r="J93" s="16"/>
      <c r="K93" s="32">
        <f>K101+K94+K107</f>
        <v>11495.8</v>
      </c>
      <c r="L93" s="32">
        <v>0</v>
      </c>
      <c r="M93" s="32">
        <v>11495.8</v>
      </c>
      <c r="N93" s="32">
        <v>11496.199999999999</v>
      </c>
    </row>
    <row r="94" spans="1:14" s="123" customFormat="1" ht="39.75" customHeight="1" x14ac:dyDescent="0.35">
      <c r="A94" s="17"/>
      <c r="B94" s="35" t="s">
        <v>120</v>
      </c>
      <c r="C94" s="31" t="s">
        <v>1</v>
      </c>
      <c r="D94" s="16" t="s">
        <v>58</v>
      </c>
      <c r="E94" s="16" t="s">
        <v>83</v>
      </c>
      <c r="F94" s="583" t="s">
        <v>76</v>
      </c>
      <c r="G94" s="584" t="s">
        <v>84</v>
      </c>
      <c r="H94" s="584" t="s">
        <v>38</v>
      </c>
      <c r="I94" s="585" t="s">
        <v>39</v>
      </c>
      <c r="J94" s="16"/>
      <c r="K94" s="32">
        <f>K95+K98</f>
        <v>465.40000000000003</v>
      </c>
      <c r="L94" s="32">
        <v>0</v>
      </c>
      <c r="M94" s="32">
        <v>465.40000000000003</v>
      </c>
      <c r="N94" s="32">
        <v>465.40000000000003</v>
      </c>
    </row>
    <row r="95" spans="1:14" s="123" customFormat="1" ht="39" customHeight="1" x14ac:dyDescent="0.35">
      <c r="A95" s="17"/>
      <c r="B95" s="35" t="s">
        <v>259</v>
      </c>
      <c r="C95" s="31" t="s">
        <v>1</v>
      </c>
      <c r="D95" s="16" t="s">
        <v>58</v>
      </c>
      <c r="E95" s="16" t="s">
        <v>83</v>
      </c>
      <c r="F95" s="583" t="s">
        <v>76</v>
      </c>
      <c r="G95" s="584" t="s">
        <v>84</v>
      </c>
      <c r="H95" s="584" t="s">
        <v>32</v>
      </c>
      <c r="I95" s="585" t="s">
        <v>39</v>
      </c>
      <c r="J95" s="16"/>
      <c r="K95" s="32">
        <f>K96</f>
        <v>21.8</v>
      </c>
      <c r="L95" s="32">
        <v>0</v>
      </c>
      <c r="M95" s="32">
        <v>21.8</v>
      </c>
      <c r="N95" s="32">
        <v>21.8</v>
      </c>
    </row>
    <row r="96" spans="1:14" s="123" customFormat="1" ht="36" customHeight="1" x14ac:dyDescent="0.35">
      <c r="A96" s="17"/>
      <c r="B96" s="33" t="s">
        <v>122</v>
      </c>
      <c r="C96" s="31" t="s">
        <v>1</v>
      </c>
      <c r="D96" s="16" t="s">
        <v>58</v>
      </c>
      <c r="E96" s="16" t="s">
        <v>83</v>
      </c>
      <c r="F96" s="583" t="s">
        <v>76</v>
      </c>
      <c r="G96" s="584" t="s">
        <v>84</v>
      </c>
      <c r="H96" s="584" t="s">
        <v>32</v>
      </c>
      <c r="I96" s="585" t="s">
        <v>85</v>
      </c>
      <c r="J96" s="16"/>
      <c r="K96" s="32">
        <f t="shared" ref="K96:N96" si="10">K97</f>
        <v>21.8</v>
      </c>
      <c r="L96" s="32">
        <v>0</v>
      </c>
      <c r="M96" s="32">
        <v>21.8</v>
      </c>
      <c r="N96" s="32">
        <v>21.8</v>
      </c>
    </row>
    <row r="97" spans="1:14" s="123" customFormat="1" ht="57.75" customHeight="1" x14ac:dyDescent="0.35">
      <c r="A97" s="17"/>
      <c r="B97" s="30" t="s">
        <v>50</v>
      </c>
      <c r="C97" s="31" t="s">
        <v>1</v>
      </c>
      <c r="D97" s="16" t="s">
        <v>58</v>
      </c>
      <c r="E97" s="16" t="s">
        <v>83</v>
      </c>
      <c r="F97" s="583" t="s">
        <v>76</v>
      </c>
      <c r="G97" s="584" t="s">
        <v>84</v>
      </c>
      <c r="H97" s="584" t="s">
        <v>32</v>
      </c>
      <c r="I97" s="585" t="s">
        <v>85</v>
      </c>
      <c r="J97" s="16" t="s">
        <v>51</v>
      </c>
      <c r="K97" s="32">
        <v>21.8</v>
      </c>
      <c r="L97" s="32">
        <v>0</v>
      </c>
      <c r="M97" s="32">
        <v>21.8</v>
      </c>
      <c r="N97" s="32">
        <v>21.8</v>
      </c>
    </row>
    <row r="98" spans="1:14" s="123" customFormat="1" ht="57.75" customHeight="1" x14ac:dyDescent="0.35">
      <c r="A98" s="17"/>
      <c r="B98" s="33" t="s">
        <v>121</v>
      </c>
      <c r="C98" s="31" t="s">
        <v>1</v>
      </c>
      <c r="D98" s="16" t="s">
        <v>58</v>
      </c>
      <c r="E98" s="16" t="s">
        <v>83</v>
      </c>
      <c r="F98" s="583" t="s">
        <v>76</v>
      </c>
      <c r="G98" s="584" t="s">
        <v>84</v>
      </c>
      <c r="H98" s="584" t="s">
        <v>34</v>
      </c>
      <c r="I98" s="585" t="s">
        <v>39</v>
      </c>
      <c r="J98" s="16"/>
      <c r="K98" s="32">
        <f t="shared" ref="K98:N99" si="11">K99</f>
        <v>443.6</v>
      </c>
      <c r="L98" s="32">
        <v>0</v>
      </c>
      <c r="M98" s="32">
        <v>443.6</v>
      </c>
      <c r="N98" s="32">
        <v>443.6</v>
      </c>
    </row>
    <row r="99" spans="1:14" s="123" customFormat="1" ht="31.5" customHeight="1" x14ac:dyDescent="0.35">
      <c r="A99" s="17"/>
      <c r="B99" s="33" t="s">
        <v>122</v>
      </c>
      <c r="C99" s="31" t="s">
        <v>1</v>
      </c>
      <c r="D99" s="16" t="s">
        <v>58</v>
      </c>
      <c r="E99" s="16" t="s">
        <v>83</v>
      </c>
      <c r="F99" s="583" t="s">
        <v>76</v>
      </c>
      <c r="G99" s="584" t="s">
        <v>84</v>
      </c>
      <c r="H99" s="584" t="s">
        <v>34</v>
      </c>
      <c r="I99" s="585" t="s">
        <v>85</v>
      </c>
      <c r="J99" s="16"/>
      <c r="K99" s="32">
        <f t="shared" si="11"/>
        <v>443.6</v>
      </c>
      <c r="L99" s="32">
        <v>0</v>
      </c>
      <c r="M99" s="32">
        <v>443.6</v>
      </c>
      <c r="N99" s="32">
        <v>443.6</v>
      </c>
    </row>
    <row r="100" spans="1:14" s="123" customFormat="1" ht="54" x14ac:dyDescent="0.35">
      <c r="A100" s="17"/>
      <c r="B100" s="30" t="s">
        <v>50</v>
      </c>
      <c r="C100" s="31" t="s">
        <v>1</v>
      </c>
      <c r="D100" s="16" t="s">
        <v>58</v>
      </c>
      <c r="E100" s="16" t="s">
        <v>83</v>
      </c>
      <c r="F100" s="583" t="s">
        <v>76</v>
      </c>
      <c r="G100" s="584" t="s">
        <v>84</v>
      </c>
      <c r="H100" s="584" t="s">
        <v>34</v>
      </c>
      <c r="I100" s="585" t="s">
        <v>85</v>
      </c>
      <c r="J100" s="16" t="s">
        <v>51</v>
      </c>
      <c r="K100" s="32">
        <v>443.6</v>
      </c>
      <c r="L100" s="32">
        <v>0</v>
      </c>
      <c r="M100" s="32">
        <v>443.6</v>
      </c>
      <c r="N100" s="32">
        <v>443.6</v>
      </c>
    </row>
    <row r="101" spans="1:14" s="123" customFormat="1" ht="72" x14ac:dyDescent="0.35">
      <c r="A101" s="17"/>
      <c r="B101" s="35" t="s">
        <v>357</v>
      </c>
      <c r="C101" s="31" t="s">
        <v>1</v>
      </c>
      <c r="D101" s="16" t="s">
        <v>58</v>
      </c>
      <c r="E101" s="16" t="s">
        <v>83</v>
      </c>
      <c r="F101" s="583" t="s">
        <v>76</v>
      </c>
      <c r="G101" s="584" t="s">
        <v>25</v>
      </c>
      <c r="H101" s="584" t="s">
        <v>38</v>
      </c>
      <c r="I101" s="585" t="s">
        <v>39</v>
      </c>
      <c r="J101" s="16"/>
      <c r="K101" s="32">
        <f t="shared" ref="K101:N102" si="12">K102</f>
        <v>11008.6</v>
      </c>
      <c r="L101" s="32">
        <v>0</v>
      </c>
      <c r="M101" s="32">
        <v>11008.6</v>
      </c>
      <c r="N101" s="32">
        <v>11009</v>
      </c>
    </row>
    <row r="102" spans="1:14" s="123" customFormat="1" ht="72" x14ac:dyDescent="0.35">
      <c r="A102" s="17"/>
      <c r="B102" s="33" t="s">
        <v>310</v>
      </c>
      <c r="C102" s="31" t="s">
        <v>1</v>
      </c>
      <c r="D102" s="16" t="s">
        <v>58</v>
      </c>
      <c r="E102" s="16" t="s">
        <v>83</v>
      </c>
      <c r="F102" s="583" t="s">
        <v>76</v>
      </c>
      <c r="G102" s="584" t="s">
        <v>25</v>
      </c>
      <c r="H102" s="584" t="s">
        <v>32</v>
      </c>
      <c r="I102" s="585" t="s">
        <v>39</v>
      </c>
      <c r="J102" s="16"/>
      <c r="K102" s="32">
        <f t="shared" si="12"/>
        <v>11008.6</v>
      </c>
      <c r="L102" s="32">
        <v>0</v>
      </c>
      <c r="M102" s="32">
        <v>11008.6</v>
      </c>
      <c r="N102" s="32">
        <v>11009</v>
      </c>
    </row>
    <row r="103" spans="1:14" s="123" customFormat="1" ht="38.25" customHeight="1" x14ac:dyDescent="0.35">
      <c r="A103" s="17"/>
      <c r="B103" s="85" t="s">
        <v>437</v>
      </c>
      <c r="C103" s="31" t="s">
        <v>1</v>
      </c>
      <c r="D103" s="16" t="s">
        <v>58</v>
      </c>
      <c r="E103" s="16" t="s">
        <v>83</v>
      </c>
      <c r="F103" s="583" t="s">
        <v>76</v>
      </c>
      <c r="G103" s="584" t="s">
        <v>25</v>
      </c>
      <c r="H103" s="584" t="s">
        <v>32</v>
      </c>
      <c r="I103" s="585" t="s">
        <v>86</v>
      </c>
      <c r="J103" s="16"/>
      <c r="K103" s="32">
        <f>K104+K105+K106</f>
        <v>11008.6</v>
      </c>
      <c r="L103" s="32">
        <v>0</v>
      </c>
      <c r="M103" s="32">
        <v>11008.6</v>
      </c>
      <c r="N103" s="32">
        <v>11009</v>
      </c>
    </row>
    <row r="104" spans="1:14" s="123" customFormat="1" ht="108" x14ac:dyDescent="0.35">
      <c r="A104" s="17"/>
      <c r="B104" s="30" t="s">
        <v>44</v>
      </c>
      <c r="C104" s="31" t="s">
        <v>1</v>
      </c>
      <c r="D104" s="16" t="s">
        <v>58</v>
      </c>
      <c r="E104" s="16" t="s">
        <v>83</v>
      </c>
      <c r="F104" s="583" t="s">
        <v>76</v>
      </c>
      <c r="G104" s="584" t="s">
        <v>25</v>
      </c>
      <c r="H104" s="584" t="s">
        <v>32</v>
      </c>
      <c r="I104" s="585" t="s">
        <v>86</v>
      </c>
      <c r="J104" s="16" t="s">
        <v>45</v>
      </c>
      <c r="K104" s="32">
        <f>10605+40.2</f>
        <v>10645.2</v>
      </c>
      <c r="L104" s="32">
        <v>0</v>
      </c>
      <c r="M104" s="32">
        <v>10645.2</v>
      </c>
      <c r="N104" s="32">
        <v>10645.2</v>
      </c>
    </row>
    <row r="105" spans="1:14" s="123" customFormat="1" ht="54" x14ac:dyDescent="0.35">
      <c r="A105" s="17"/>
      <c r="B105" s="30" t="s">
        <v>50</v>
      </c>
      <c r="C105" s="31" t="s">
        <v>1</v>
      </c>
      <c r="D105" s="16" t="s">
        <v>58</v>
      </c>
      <c r="E105" s="16" t="s">
        <v>83</v>
      </c>
      <c r="F105" s="583" t="s">
        <v>76</v>
      </c>
      <c r="G105" s="584" t="s">
        <v>25</v>
      </c>
      <c r="H105" s="584" t="s">
        <v>32</v>
      </c>
      <c r="I105" s="585" t="s">
        <v>86</v>
      </c>
      <c r="J105" s="16" t="s">
        <v>51</v>
      </c>
      <c r="K105" s="32">
        <v>357.1</v>
      </c>
      <c r="L105" s="32">
        <v>0</v>
      </c>
      <c r="M105" s="32">
        <v>357.1</v>
      </c>
      <c r="N105" s="32">
        <v>357.5</v>
      </c>
    </row>
    <row r="106" spans="1:14" s="123" customFormat="1" ht="18" x14ac:dyDescent="0.35">
      <c r="A106" s="17"/>
      <c r="B106" s="30" t="s">
        <v>52</v>
      </c>
      <c r="C106" s="31" t="s">
        <v>1</v>
      </c>
      <c r="D106" s="16" t="s">
        <v>58</v>
      </c>
      <c r="E106" s="16" t="s">
        <v>83</v>
      </c>
      <c r="F106" s="583" t="s">
        <v>76</v>
      </c>
      <c r="G106" s="584" t="s">
        <v>25</v>
      </c>
      <c r="H106" s="584" t="s">
        <v>32</v>
      </c>
      <c r="I106" s="585" t="s">
        <v>86</v>
      </c>
      <c r="J106" s="16" t="s">
        <v>53</v>
      </c>
      <c r="K106" s="32">
        <v>6.3</v>
      </c>
      <c r="L106" s="32">
        <v>0</v>
      </c>
      <c r="M106" s="32">
        <v>6.3</v>
      </c>
      <c r="N106" s="32">
        <v>6.3</v>
      </c>
    </row>
    <row r="107" spans="1:14" s="123" customFormat="1" ht="54" x14ac:dyDescent="0.35">
      <c r="A107" s="17"/>
      <c r="B107" s="268" t="s">
        <v>465</v>
      </c>
      <c r="C107" s="31" t="s">
        <v>1</v>
      </c>
      <c r="D107" s="16" t="s">
        <v>58</v>
      </c>
      <c r="E107" s="16" t="s">
        <v>83</v>
      </c>
      <c r="F107" s="583" t="s">
        <v>76</v>
      </c>
      <c r="G107" s="584" t="s">
        <v>26</v>
      </c>
      <c r="H107" s="584" t="s">
        <v>38</v>
      </c>
      <c r="I107" s="585" t="s">
        <v>39</v>
      </c>
      <c r="J107" s="16"/>
      <c r="K107" s="32">
        <f t="shared" ref="K107:N109" si="13">K108</f>
        <v>21.8</v>
      </c>
      <c r="L107" s="32">
        <v>0</v>
      </c>
      <c r="M107" s="32">
        <v>21.8</v>
      </c>
      <c r="N107" s="32">
        <v>21.8</v>
      </c>
    </row>
    <row r="108" spans="1:14" s="123" customFormat="1" ht="72" x14ac:dyDescent="0.35">
      <c r="A108" s="17"/>
      <c r="B108" s="269" t="s">
        <v>466</v>
      </c>
      <c r="C108" s="31" t="s">
        <v>1</v>
      </c>
      <c r="D108" s="16" t="s">
        <v>58</v>
      </c>
      <c r="E108" s="16" t="s">
        <v>83</v>
      </c>
      <c r="F108" s="583" t="s">
        <v>76</v>
      </c>
      <c r="G108" s="584" t="s">
        <v>26</v>
      </c>
      <c r="H108" s="584" t="s">
        <v>32</v>
      </c>
      <c r="I108" s="585" t="s">
        <v>39</v>
      </c>
      <c r="J108" s="16"/>
      <c r="K108" s="32">
        <f t="shared" si="13"/>
        <v>21.8</v>
      </c>
      <c r="L108" s="32">
        <v>0</v>
      </c>
      <c r="M108" s="32">
        <v>21.8</v>
      </c>
      <c r="N108" s="32">
        <v>21.8</v>
      </c>
    </row>
    <row r="109" spans="1:14" s="123" customFormat="1" ht="54" x14ac:dyDescent="0.35">
      <c r="A109" s="17"/>
      <c r="B109" s="266" t="s">
        <v>80</v>
      </c>
      <c r="C109" s="31" t="s">
        <v>1</v>
      </c>
      <c r="D109" s="16" t="s">
        <v>58</v>
      </c>
      <c r="E109" s="16" t="s">
        <v>83</v>
      </c>
      <c r="F109" s="583" t="s">
        <v>76</v>
      </c>
      <c r="G109" s="584" t="s">
        <v>26</v>
      </c>
      <c r="H109" s="584" t="s">
        <v>32</v>
      </c>
      <c r="I109" s="585" t="s">
        <v>81</v>
      </c>
      <c r="J109" s="16"/>
      <c r="K109" s="32">
        <f t="shared" si="13"/>
        <v>21.8</v>
      </c>
      <c r="L109" s="32">
        <v>0</v>
      </c>
      <c r="M109" s="32">
        <v>21.8</v>
      </c>
      <c r="N109" s="32">
        <v>21.8</v>
      </c>
    </row>
    <row r="110" spans="1:14" s="123" customFormat="1" ht="54" x14ac:dyDescent="0.35">
      <c r="A110" s="17"/>
      <c r="B110" s="267" t="s">
        <v>50</v>
      </c>
      <c r="C110" s="31" t="s">
        <v>1</v>
      </c>
      <c r="D110" s="16" t="s">
        <v>58</v>
      </c>
      <c r="E110" s="16" t="s">
        <v>83</v>
      </c>
      <c r="F110" s="583" t="s">
        <v>76</v>
      </c>
      <c r="G110" s="584" t="s">
        <v>26</v>
      </c>
      <c r="H110" s="584" t="s">
        <v>32</v>
      </c>
      <c r="I110" s="585" t="s">
        <v>81</v>
      </c>
      <c r="J110" s="16" t="s">
        <v>51</v>
      </c>
      <c r="K110" s="32">
        <v>21.8</v>
      </c>
      <c r="L110" s="32">
        <v>0</v>
      </c>
      <c r="M110" s="32">
        <v>21.8</v>
      </c>
      <c r="N110" s="32">
        <v>21.8</v>
      </c>
    </row>
    <row r="111" spans="1:14" s="123" customFormat="1" ht="18" x14ac:dyDescent="0.35">
      <c r="A111" s="17"/>
      <c r="B111" s="30" t="s">
        <v>87</v>
      </c>
      <c r="C111" s="31" t="s">
        <v>1</v>
      </c>
      <c r="D111" s="16" t="s">
        <v>47</v>
      </c>
      <c r="E111" s="16"/>
      <c r="F111" s="583"/>
      <c r="G111" s="584"/>
      <c r="H111" s="584"/>
      <c r="I111" s="585"/>
      <c r="J111" s="16"/>
      <c r="K111" s="32">
        <f>K112+K121+K127</f>
        <v>28289</v>
      </c>
      <c r="L111" s="32">
        <v>0</v>
      </c>
      <c r="M111" s="32">
        <v>28289</v>
      </c>
      <c r="N111" s="32">
        <v>31457.599999999999</v>
      </c>
    </row>
    <row r="112" spans="1:14" s="13" customFormat="1" ht="18" x14ac:dyDescent="0.35">
      <c r="A112" s="17"/>
      <c r="B112" s="30" t="s">
        <v>88</v>
      </c>
      <c r="C112" s="31" t="s">
        <v>1</v>
      </c>
      <c r="D112" s="16" t="s">
        <v>47</v>
      </c>
      <c r="E112" s="16" t="s">
        <v>60</v>
      </c>
      <c r="F112" s="583"/>
      <c r="G112" s="584"/>
      <c r="H112" s="584"/>
      <c r="I112" s="585"/>
      <c r="J112" s="16"/>
      <c r="K112" s="32">
        <f t="shared" ref="K112:N113" si="14">K113</f>
        <v>12695.300000000001</v>
      </c>
      <c r="L112" s="32">
        <v>0</v>
      </c>
      <c r="M112" s="32">
        <v>12695.300000000001</v>
      </c>
      <c r="N112" s="32">
        <v>17253.900000000001</v>
      </c>
    </row>
    <row r="113" spans="1:14" s="123" customFormat="1" ht="59.25" customHeight="1" x14ac:dyDescent="0.35">
      <c r="A113" s="17"/>
      <c r="B113" s="30" t="s">
        <v>89</v>
      </c>
      <c r="C113" s="31" t="s">
        <v>1</v>
      </c>
      <c r="D113" s="16" t="s">
        <v>47</v>
      </c>
      <c r="E113" s="16" t="s">
        <v>60</v>
      </c>
      <c r="F113" s="583" t="s">
        <v>62</v>
      </c>
      <c r="G113" s="584" t="s">
        <v>37</v>
      </c>
      <c r="H113" s="584" t="s">
        <v>38</v>
      </c>
      <c r="I113" s="585" t="s">
        <v>39</v>
      </c>
      <c r="J113" s="16"/>
      <c r="K113" s="32">
        <f t="shared" si="14"/>
        <v>12695.300000000001</v>
      </c>
      <c r="L113" s="32">
        <v>0</v>
      </c>
      <c r="M113" s="32">
        <v>12695.300000000001</v>
      </c>
      <c r="N113" s="32">
        <v>17253.900000000001</v>
      </c>
    </row>
    <row r="114" spans="1:14" s="13" customFormat="1" ht="36" x14ac:dyDescent="0.35">
      <c r="A114" s="17"/>
      <c r="B114" s="30" t="s">
        <v>328</v>
      </c>
      <c r="C114" s="31" t="s">
        <v>1</v>
      </c>
      <c r="D114" s="16" t="s">
        <v>47</v>
      </c>
      <c r="E114" s="16" t="s">
        <v>60</v>
      </c>
      <c r="F114" s="583" t="s">
        <v>62</v>
      </c>
      <c r="G114" s="584" t="s">
        <v>40</v>
      </c>
      <c r="H114" s="584" t="s">
        <v>38</v>
      </c>
      <c r="I114" s="585" t="s">
        <v>39</v>
      </c>
      <c r="J114" s="16"/>
      <c r="K114" s="32">
        <f>K115+K118</f>
        <v>12695.300000000001</v>
      </c>
      <c r="L114" s="32">
        <v>0</v>
      </c>
      <c r="M114" s="32">
        <v>12695.300000000001</v>
      </c>
      <c r="N114" s="32">
        <v>17253.900000000001</v>
      </c>
    </row>
    <row r="115" spans="1:14" s="13" customFormat="1" ht="54" x14ac:dyDescent="0.35">
      <c r="A115" s="17"/>
      <c r="B115" s="30" t="s">
        <v>90</v>
      </c>
      <c r="C115" s="31" t="s">
        <v>1</v>
      </c>
      <c r="D115" s="16" t="s">
        <v>47</v>
      </c>
      <c r="E115" s="16" t="s">
        <v>60</v>
      </c>
      <c r="F115" s="583" t="s">
        <v>62</v>
      </c>
      <c r="G115" s="584" t="s">
        <v>40</v>
      </c>
      <c r="H115" s="584" t="s">
        <v>32</v>
      </c>
      <c r="I115" s="585" t="s">
        <v>39</v>
      </c>
      <c r="J115" s="16"/>
      <c r="K115" s="32">
        <f t="shared" ref="K115:N115" si="15">K116</f>
        <v>11070.6</v>
      </c>
      <c r="L115" s="32">
        <v>0</v>
      </c>
      <c r="M115" s="32">
        <v>11070.6</v>
      </c>
      <c r="N115" s="32">
        <v>15776.9</v>
      </c>
    </row>
    <row r="116" spans="1:14" s="13" customFormat="1" ht="72" x14ac:dyDescent="0.35">
      <c r="A116" s="17"/>
      <c r="B116" s="50" t="s">
        <v>397</v>
      </c>
      <c r="C116" s="31" t="s">
        <v>1</v>
      </c>
      <c r="D116" s="16" t="s">
        <v>47</v>
      </c>
      <c r="E116" s="16" t="s">
        <v>60</v>
      </c>
      <c r="F116" s="583" t="s">
        <v>62</v>
      </c>
      <c r="G116" s="584" t="s">
        <v>40</v>
      </c>
      <c r="H116" s="584" t="s">
        <v>32</v>
      </c>
      <c r="I116" s="585" t="s">
        <v>56</v>
      </c>
      <c r="J116" s="16"/>
      <c r="K116" s="32">
        <f>K117</f>
        <v>11070.6</v>
      </c>
      <c r="L116" s="32">
        <v>0</v>
      </c>
      <c r="M116" s="32">
        <v>11070.6</v>
      </c>
      <c r="N116" s="32">
        <v>15776.9</v>
      </c>
    </row>
    <row r="117" spans="1:14" s="123" customFormat="1" ht="18" x14ac:dyDescent="0.35">
      <c r="A117" s="17"/>
      <c r="B117" s="30" t="s">
        <v>52</v>
      </c>
      <c r="C117" s="31" t="s">
        <v>1</v>
      </c>
      <c r="D117" s="16" t="s">
        <v>47</v>
      </c>
      <c r="E117" s="16" t="s">
        <v>60</v>
      </c>
      <c r="F117" s="583" t="s">
        <v>62</v>
      </c>
      <c r="G117" s="584" t="s">
        <v>40</v>
      </c>
      <c r="H117" s="584" t="s">
        <v>32</v>
      </c>
      <c r="I117" s="585" t="s">
        <v>56</v>
      </c>
      <c r="J117" s="16" t="s">
        <v>53</v>
      </c>
      <c r="K117" s="32">
        <v>11070.6</v>
      </c>
      <c r="L117" s="32">
        <v>0</v>
      </c>
      <c r="M117" s="32">
        <v>11070.6</v>
      </c>
      <c r="N117" s="32">
        <v>15776.9</v>
      </c>
    </row>
    <row r="118" spans="1:14" s="13" customFormat="1" ht="57" customHeight="1" x14ac:dyDescent="0.35">
      <c r="A118" s="17"/>
      <c r="B118" s="30" t="s">
        <v>91</v>
      </c>
      <c r="C118" s="31" t="s">
        <v>1</v>
      </c>
      <c r="D118" s="16" t="s">
        <v>47</v>
      </c>
      <c r="E118" s="16" t="s">
        <v>60</v>
      </c>
      <c r="F118" s="583" t="s">
        <v>62</v>
      </c>
      <c r="G118" s="584" t="s">
        <v>40</v>
      </c>
      <c r="H118" s="584" t="s">
        <v>34</v>
      </c>
      <c r="I118" s="585" t="s">
        <v>39</v>
      </c>
      <c r="J118" s="16"/>
      <c r="K118" s="32">
        <f t="shared" ref="K118:N119" si="16">K119</f>
        <v>1624.7</v>
      </c>
      <c r="L118" s="32">
        <v>0</v>
      </c>
      <c r="M118" s="32">
        <v>1624.7</v>
      </c>
      <c r="N118" s="32">
        <v>1477</v>
      </c>
    </row>
    <row r="119" spans="1:14" s="13" customFormat="1" ht="180" x14ac:dyDescent="0.35">
      <c r="A119" s="17"/>
      <c r="B119" s="30" t="s">
        <v>514</v>
      </c>
      <c r="C119" s="31" t="s">
        <v>1</v>
      </c>
      <c r="D119" s="16" t="s">
        <v>47</v>
      </c>
      <c r="E119" s="16" t="s">
        <v>60</v>
      </c>
      <c r="F119" s="583" t="s">
        <v>62</v>
      </c>
      <c r="G119" s="584" t="s">
        <v>40</v>
      </c>
      <c r="H119" s="584" t="s">
        <v>34</v>
      </c>
      <c r="I119" s="585" t="s">
        <v>92</v>
      </c>
      <c r="J119" s="16"/>
      <c r="K119" s="32">
        <f t="shared" si="16"/>
        <v>1624.7</v>
      </c>
      <c r="L119" s="32">
        <v>0</v>
      </c>
      <c r="M119" s="32">
        <v>1624.7</v>
      </c>
      <c r="N119" s="32">
        <v>1477</v>
      </c>
    </row>
    <row r="120" spans="1:14" s="123" customFormat="1" ht="54" x14ac:dyDescent="0.35">
      <c r="A120" s="17"/>
      <c r="B120" s="30" t="s">
        <v>50</v>
      </c>
      <c r="C120" s="31" t="s">
        <v>1</v>
      </c>
      <c r="D120" s="16" t="s">
        <v>47</v>
      </c>
      <c r="E120" s="16" t="s">
        <v>60</v>
      </c>
      <c r="F120" s="583" t="s">
        <v>62</v>
      </c>
      <c r="G120" s="584" t="s">
        <v>40</v>
      </c>
      <c r="H120" s="584" t="s">
        <v>34</v>
      </c>
      <c r="I120" s="585" t="s">
        <v>92</v>
      </c>
      <c r="J120" s="16" t="s">
        <v>51</v>
      </c>
      <c r="K120" s="32">
        <v>1624.7</v>
      </c>
      <c r="L120" s="32">
        <v>0</v>
      </c>
      <c r="M120" s="32">
        <v>1624.7</v>
      </c>
      <c r="N120" s="32">
        <v>1477</v>
      </c>
    </row>
    <row r="121" spans="1:14" s="13" customFormat="1" ht="18" x14ac:dyDescent="0.35">
      <c r="A121" s="17"/>
      <c r="B121" s="35" t="s">
        <v>93</v>
      </c>
      <c r="C121" s="31" t="s">
        <v>1</v>
      </c>
      <c r="D121" s="16" t="s">
        <v>47</v>
      </c>
      <c r="E121" s="16" t="s">
        <v>74</v>
      </c>
      <c r="F121" s="583"/>
      <c r="G121" s="584"/>
      <c r="H121" s="584"/>
      <c r="I121" s="585"/>
      <c r="J121" s="16"/>
      <c r="K121" s="32">
        <f t="shared" ref="K121:N125" si="17">K122</f>
        <v>6443.4</v>
      </c>
      <c r="L121" s="32">
        <v>0</v>
      </c>
      <c r="M121" s="32">
        <v>6443.4</v>
      </c>
      <c r="N121" s="32">
        <v>6701.1</v>
      </c>
    </row>
    <row r="122" spans="1:14" s="123" customFormat="1" ht="54" x14ac:dyDescent="0.35">
      <c r="A122" s="17"/>
      <c r="B122" s="30" t="s">
        <v>94</v>
      </c>
      <c r="C122" s="31" t="s">
        <v>1</v>
      </c>
      <c r="D122" s="16" t="s">
        <v>47</v>
      </c>
      <c r="E122" s="16" t="s">
        <v>74</v>
      </c>
      <c r="F122" s="583" t="s">
        <v>95</v>
      </c>
      <c r="G122" s="584" t="s">
        <v>37</v>
      </c>
      <c r="H122" s="584" t="s">
        <v>38</v>
      </c>
      <c r="I122" s="585" t="s">
        <v>39</v>
      </c>
      <c r="J122" s="16"/>
      <c r="K122" s="32">
        <f t="shared" si="17"/>
        <v>6443.4</v>
      </c>
      <c r="L122" s="32">
        <v>0</v>
      </c>
      <c r="M122" s="32">
        <v>6443.4</v>
      </c>
      <c r="N122" s="32">
        <v>6701.1</v>
      </c>
    </row>
    <row r="123" spans="1:14" s="13" customFormat="1" ht="36" x14ac:dyDescent="0.35">
      <c r="A123" s="17"/>
      <c r="B123" s="30" t="s">
        <v>328</v>
      </c>
      <c r="C123" s="31" t="s">
        <v>1</v>
      </c>
      <c r="D123" s="16" t="s">
        <v>47</v>
      </c>
      <c r="E123" s="16" t="s">
        <v>74</v>
      </c>
      <c r="F123" s="583" t="s">
        <v>95</v>
      </c>
      <c r="G123" s="584" t="s">
        <v>40</v>
      </c>
      <c r="H123" s="584" t="s">
        <v>38</v>
      </c>
      <c r="I123" s="585" t="s">
        <v>39</v>
      </c>
      <c r="J123" s="16"/>
      <c r="K123" s="32">
        <f t="shared" si="17"/>
        <v>6443.4</v>
      </c>
      <c r="L123" s="32">
        <v>0</v>
      </c>
      <c r="M123" s="32">
        <v>6443.4</v>
      </c>
      <c r="N123" s="32">
        <v>6701.1</v>
      </c>
    </row>
    <row r="124" spans="1:14" s="13" customFormat="1" ht="90" x14ac:dyDescent="0.35">
      <c r="A124" s="17"/>
      <c r="B124" s="30" t="s">
        <v>96</v>
      </c>
      <c r="C124" s="31" t="s">
        <v>1</v>
      </c>
      <c r="D124" s="16" t="s">
        <v>47</v>
      </c>
      <c r="E124" s="16" t="s">
        <v>74</v>
      </c>
      <c r="F124" s="583" t="s">
        <v>95</v>
      </c>
      <c r="G124" s="584" t="s">
        <v>40</v>
      </c>
      <c r="H124" s="584" t="s">
        <v>32</v>
      </c>
      <c r="I124" s="585" t="s">
        <v>39</v>
      </c>
      <c r="J124" s="16"/>
      <c r="K124" s="32">
        <f t="shared" si="17"/>
        <v>6443.4</v>
      </c>
      <c r="L124" s="32">
        <v>0</v>
      </c>
      <c r="M124" s="32">
        <v>6443.4</v>
      </c>
      <c r="N124" s="32">
        <v>6701.1</v>
      </c>
    </row>
    <row r="125" spans="1:14" s="13" customFormat="1" ht="75.75" customHeight="1" x14ac:dyDescent="0.35">
      <c r="A125" s="17"/>
      <c r="B125" s="36" t="s">
        <v>97</v>
      </c>
      <c r="C125" s="31" t="s">
        <v>1</v>
      </c>
      <c r="D125" s="16" t="s">
        <v>47</v>
      </c>
      <c r="E125" s="16" t="s">
        <v>74</v>
      </c>
      <c r="F125" s="583" t="s">
        <v>95</v>
      </c>
      <c r="G125" s="584" t="s">
        <v>40</v>
      </c>
      <c r="H125" s="584" t="s">
        <v>32</v>
      </c>
      <c r="I125" s="585" t="s">
        <v>98</v>
      </c>
      <c r="J125" s="16"/>
      <c r="K125" s="32">
        <f t="shared" si="17"/>
        <v>6443.4</v>
      </c>
      <c r="L125" s="32">
        <v>0</v>
      </c>
      <c r="M125" s="32">
        <v>6443.4</v>
      </c>
      <c r="N125" s="32">
        <v>6701.1</v>
      </c>
    </row>
    <row r="126" spans="1:14" s="123" customFormat="1" ht="54" x14ac:dyDescent="0.35">
      <c r="A126" s="17"/>
      <c r="B126" s="30" t="s">
        <v>50</v>
      </c>
      <c r="C126" s="31" t="s">
        <v>1</v>
      </c>
      <c r="D126" s="16" t="s">
        <v>47</v>
      </c>
      <c r="E126" s="16" t="s">
        <v>74</v>
      </c>
      <c r="F126" s="583" t="s">
        <v>95</v>
      </c>
      <c r="G126" s="584" t="s">
        <v>40</v>
      </c>
      <c r="H126" s="584" t="s">
        <v>32</v>
      </c>
      <c r="I126" s="585" t="s">
        <v>98</v>
      </c>
      <c r="J126" s="16" t="s">
        <v>51</v>
      </c>
      <c r="K126" s="32">
        <v>6443.4</v>
      </c>
      <c r="L126" s="32">
        <v>0</v>
      </c>
      <c r="M126" s="32">
        <v>6443.4</v>
      </c>
      <c r="N126" s="32">
        <v>6701.1</v>
      </c>
    </row>
    <row r="127" spans="1:14" s="13" customFormat="1" ht="36" x14ac:dyDescent="0.35">
      <c r="A127" s="17"/>
      <c r="B127" s="35" t="s">
        <v>101</v>
      </c>
      <c r="C127" s="31" t="s">
        <v>1</v>
      </c>
      <c r="D127" s="16" t="s">
        <v>47</v>
      </c>
      <c r="E127" s="16" t="s">
        <v>95</v>
      </c>
      <c r="F127" s="583"/>
      <c r="G127" s="584"/>
      <c r="H127" s="584"/>
      <c r="I127" s="585"/>
      <c r="J127" s="16"/>
      <c r="K127" s="32">
        <f>K128+K137+K144</f>
        <v>9150.2999999999993</v>
      </c>
      <c r="L127" s="32">
        <v>0</v>
      </c>
      <c r="M127" s="32">
        <v>9150.2999999999993</v>
      </c>
      <c r="N127" s="32">
        <v>7502.6</v>
      </c>
    </row>
    <row r="128" spans="1:14" s="123" customFormat="1" ht="72" x14ac:dyDescent="0.35">
      <c r="A128" s="17"/>
      <c r="B128" s="30" t="s">
        <v>102</v>
      </c>
      <c r="C128" s="31" t="s">
        <v>1</v>
      </c>
      <c r="D128" s="16" t="s">
        <v>47</v>
      </c>
      <c r="E128" s="16" t="s">
        <v>95</v>
      </c>
      <c r="F128" s="583" t="s">
        <v>66</v>
      </c>
      <c r="G128" s="584" t="s">
        <v>37</v>
      </c>
      <c r="H128" s="584" t="s">
        <v>38</v>
      </c>
      <c r="I128" s="585" t="s">
        <v>39</v>
      </c>
      <c r="J128" s="16"/>
      <c r="K128" s="32">
        <f>K133+K129</f>
        <v>1025.0999999999999</v>
      </c>
      <c r="L128" s="32">
        <v>0</v>
      </c>
      <c r="M128" s="32">
        <v>1025.0999999999999</v>
      </c>
      <c r="N128" s="32">
        <v>1025.0999999999999</v>
      </c>
    </row>
    <row r="129" spans="1:14" s="123" customFormat="1" ht="54" x14ac:dyDescent="0.35">
      <c r="A129" s="17"/>
      <c r="B129" s="35" t="s">
        <v>103</v>
      </c>
      <c r="C129" s="31" t="s">
        <v>1</v>
      </c>
      <c r="D129" s="16" t="s">
        <v>47</v>
      </c>
      <c r="E129" s="16" t="s">
        <v>95</v>
      </c>
      <c r="F129" s="583" t="s">
        <v>66</v>
      </c>
      <c r="G129" s="584" t="s">
        <v>40</v>
      </c>
      <c r="H129" s="584" t="s">
        <v>38</v>
      </c>
      <c r="I129" s="585" t="s">
        <v>39</v>
      </c>
      <c r="J129" s="16"/>
      <c r="K129" s="32">
        <f t="shared" ref="K129:N131" si="18">K130</f>
        <v>310</v>
      </c>
      <c r="L129" s="32">
        <v>0</v>
      </c>
      <c r="M129" s="32">
        <v>310</v>
      </c>
      <c r="N129" s="32">
        <v>310</v>
      </c>
    </row>
    <row r="130" spans="1:14" s="123" customFormat="1" ht="36" x14ac:dyDescent="0.35">
      <c r="A130" s="17"/>
      <c r="B130" s="30" t="s">
        <v>104</v>
      </c>
      <c r="C130" s="31" t="s">
        <v>1</v>
      </c>
      <c r="D130" s="16" t="s">
        <v>47</v>
      </c>
      <c r="E130" s="16" t="s">
        <v>95</v>
      </c>
      <c r="F130" s="583" t="s">
        <v>66</v>
      </c>
      <c r="G130" s="584" t="s">
        <v>40</v>
      </c>
      <c r="H130" s="584" t="s">
        <v>32</v>
      </c>
      <c r="I130" s="585" t="s">
        <v>39</v>
      </c>
      <c r="J130" s="16"/>
      <c r="K130" s="32">
        <f t="shared" si="18"/>
        <v>310</v>
      </c>
      <c r="L130" s="32">
        <v>0</v>
      </c>
      <c r="M130" s="32">
        <v>310</v>
      </c>
      <c r="N130" s="32">
        <v>310</v>
      </c>
    </row>
    <row r="131" spans="1:14" s="123" customFormat="1" ht="36" x14ac:dyDescent="0.35">
      <c r="A131" s="17"/>
      <c r="B131" s="35" t="s">
        <v>105</v>
      </c>
      <c r="C131" s="31" t="s">
        <v>1</v>
      </c>
      <c r="D131" s="16" t="s">
        <v>47</v>
      </c>
      <c r="E131" s="16" t="s">
        <v>95</v>
      </c>
      <c r="F131" s="583" t="s">
        <v>66</v>
      </c>
      <c r="G131" s="584" t="s">
        <v>40</v>
      </c>
      <c r="H131" s="584" t="s">
        <v>32</v>
      </c>
      <c r="I131" s="585" t="s">
        <v>106</v>
      </c>
      <c r="J131" s="16"/>
      <c r="K131" s="32">
        <f t="shared" si="18"/>
        <v>310</v>
      </c>
      <c r="L131" s="32">
        <v>0</v>
      </c>
      <c r="M131" s="32">
        <v>310</v>
      </c>
      <c r="N131" s="32">
        <v>310</v>
      </c>
    </row>
    <row r="132" spans="1:14" s="123" customFormat="1" ht="54" x14ac:dyDescent="0.35">
      <c r="A132" s="17"/>
      <c r="B132" s="30" t="s">
        <v>50</v>
      </c>
      <c r="C132" s="31" t="s">
        <v>1</v>
      </c>
      <c r="D132" s="16" t="s">
        <v>47</v>
      </c>
      <c r="E132" s="16" t="s">
        <v>95</v>
      </c>
      <c r="F132" s="583" t="s">
        <v>66</v>
      </c>
      <c r="G132" s="584" t="s">
        <v>40</v>
      </c>
      <c r="H132" s="584" t="s">
        <v>32</v>
      </c>
      <c r="I132" s="585" t="s">
        <v>106</v>
      </c>
      <c r="J132" s="16" t="s">
        <v>51</v>
      </c>
      <c r="K132" s="32">
        <v>310</v>
      </c>
      <c r="L132" s="32">
        <v>0</v>
      </c>
      <c r="M132" s="32">
        <v>310</v>
      </c>
      <c r="N132" s="32">
        <v>310</v>
      </c>
    </row>
    <row r="133" spans="1:14" s="123" customFormat="1" ht="36" x14ac:dyDescent="0.35">
      <c r="A133" s="17"/>
      <c r="B133" s="35" t="s">
        <v>107</v>
      </c>
      <c r="C133" s="31" t="s">
        <v>1</v>
      </c>
      <c r="D133" s="16" t="s">
        <v>47</v>
      </c>
      <c r="E133" s="16" t="s">
        <v>95</v>
      </c>
      <c r="F133" s="583" t="s">
        <v>66</v>
      </c>
      <c r="G133" s="584" t="s">
        <v>84</v>
      </c>
      <c r="H133" s="584" t="s">
        <v>38</v>
      </c>
      <c r="I133" s="585" t="s">
        <v>39</v>
      </c>
      <c r="J133" s="16"/>
      <c r="K133" s="32">
        <f t="shared" ref="K133:N135" si="19">K134</f>
        <v>715.1</v>
      </c>
      <c r="L133" s="32">
        <v>0</v>
      </c>
      <c r="M133" s="32">
        <v>715.1</v>
      </c>
      <c r="N133" s="32">
        <v>715.1</v>
      </c>
    </row>
    <row r="134" spans="1:14" s="13" customFormat="1" ht="54" x14ac:dyDescent="0.35">
      <c r="A134" s="17"/>
      <c r="B134" s="35" t="s">
        <v>108</v>
      </c>
      <c r="C134" s="31" t="s">
        <v>1</v>
      </c>
      <c r="D134" s="16" t="s">
        <v>47</v>
      </c>
      <c r="E134" s="16" t="s">
        <v>95</v>
      </c>
      <c r="F134" s="583" t="s">
        <v>66</v>
      </c>
      <c r="G134" s="584" t="s">
        <v>84</v>
      </c>
      <c r="H134" s="584" t="s">
        <v>32</v>
      </c>
      <c r="I134" s="585" t="s">
        <v>39</v>
      </c>
      <c r="J134" s="16"/>
      <c r="K134" s="32">
        <f t="shared" si="19"/>
        <v>715.1</v>
      </c>
      <c r="L134" s="32">
        <v>0</v>
      </c>
      <c r="M134" s="32">
        <v>715.1</v>
      </c>
      <c r="N134" s="32">
        <v>715.1</v>
      </c>
    </row>
    <row r="135" spans="1:14" s="123" customFormat="1" ht="79.5" customHeight="1" x14ac:dyDescent="0.35">
      <c r="A135" s="17"/>
      <c r="B135" s="35" t="s">
        <v>109</v>
      </c>
      <c r="C135" s="31" t="s">
        <v>1</v>
      </c>
      <c r="D135" s="16" t="s">
        <v>47</v>
      </c>
      <c r="E135" s="16" t="s">
        <v>95</v>
      </c>
      <c r="F135" s="583" t="s">
        <v>66</v>
      </c>
      <c r="G135" s="584" t="s">
        <v>84</v>
      </c>
      <c r="H135" s="584" t="s">
        <v>32</v>
      </c>
      <c r="I135" s="585" t="s">
        <v>110</v>
      </c>
      <c r="J135" s="16"/>
      <c r="K135" s="32">
        <f t="shared" si="19"/>
        <v>715.1</v>
      </c>
      <c r="L135" s="32">
        <v>0</v>
      </c>
      <c r="M135" s="32">
        <v>715.1</v>
      </c>
      <c r="N135" s="32">
        <v>715.1</v>
      </c>
    </row>
    <row r="136" spans="1:14" s="13" customFormat="1" ht="54" x14ac:dyDescent="0.35">
      <c r="A136" s="17"/>
      <c r="B136" s="30" t="s">
        <v>50</v>
      </c>
      <c r="C136" s="31" t="s">
        <v>1</v>
      </c>
      <c r="D136" s="16" t="s">
        <v>47</v>
      </c>
      <c r="E136" s="16" t="s">
        <v>95</v>
      </c>
      <c r="F136" s="583" t="s">
        <v>66</v>
      </c>
      <c r="G136" s="584" t="s">
        <v>84</v>
      </c>
      <c r="H136" s="584" t="s">
        <v>32</v>
      </c>
      <c r="I136" s="585" t="s">
        <v>110</v>
      </c>
      <c r="J136" s="16" t="s">
        <v>51</v>
      </c>
      <c r="K136" s="32">
        <v>715.1</v>
      </c>
      <c r="L136" s="32">
        <v>0</v>
      </c>
      <c r="M136" s="32">
        <v>715.1</v>
      </c>
      <c r="N136" s="32">
        <v>715.1</v>
      </c>
    </row>
    <row r="137" spans="1:14" s="123" customFormat="1" ht="72" x14ac:dyDescent="0.35">
      <c r="A137" s="17"/>
      <c r="B137" s="30" t="s">
        <v>111</v>
      </c>
      <c r="C137" s="31" t="s">
        <v>1</v>
      </c>
      <c r="D137" s="16" t="s">
        <v>47</v>
      </c>
      <c r="E137" s="16" t="s">
        <v>95</v>
      </c>
      <c r="F137" s="583" t="s">
        <v>83</v>
      </c>
      <c r="G137" s="584" t="s">
        <v>37</v>
      </c>
      <c r="H137" s="584" t="s">
        <v>38</v>
      </c>
      <c r="I137" s="585" t="s">
        <v>39</v>
      </c>
      <c r="J137" s="16"/>
      <c r="K137" s="32">
        <f t="shared" ref="K137:N138" si="20">K138</f>
        <v>891.2</v>
      </c>
      <c r="L137" s="32">
        <v>0</v>
      </c>
      <c r="M137" s="32">
        <v>891.2</v>
      </c>
      <c r="N137" s="32">
        <v>934.2</v>
      </c>
    </row>
    <row r="138" spans="1:14" s="123" customFormat="1" ht="36" x14ac:dyDescent="0.35">
      <c r="A138" s="17"/>
      <c r="B138" s="30" t="s">
        <v>328</v>
      </c>
      <c r="C138" s="31" t="s">
        <v>1</v>
      </c>
      <c r="D138" s="16" t="s">
        <v>47</v>
      </c>
      <c r="E138" s="16" t="s">
        <v>95</v>
      </c>
      <c r="F138" s="583" t="s">
        <v>83</v>
      </c>
      <c r="G138" s="584" t="s">
        <v>40</v>
      </c>
      <c r="H138" s="584" t="s">
        <v>38</v>
      </c>
      <c r="I138" s="585" t="s">
        <v>39</v>
      </c>
      <c r="J138" s="16"/>
      <c r="K138" s="32">
        <f t="shared" si="20"/>
        <v>891.2</v>
      </c>
      <c r="L138" s="32">
        <v>0</v>
      </c>
      <c r="M138" s="32">
        <v>891.2</v>
      </c>
      <c r="N138" s="32">
        <v>934.2</v>
      </c>
    </row>
    <row r="139" spans="1:14" s="13" customFormat="1" ht="72" x14ac:dyDescent="0.35">
      <c r="A139" s="17"/>
      <c r="B139" s="35" t="s">
        <v>295</v>
      </c>
      <c r="C139" s="31" t="s">
        <v>1</v>
      </c>
      <c r="D139" s="16" t="s">
        <v>47</v>
      </c>
      <c r="E139" s="16" t="s">
        <v>95</v>
      </c>
      <c r="F139" s="583" t="s">
        <v>83</v>
      </c>
      <c r="G139" s="584" t="s">
        <v>40</v>
      </c>
      <c r="H139" s="584" t="s">
        <v>32</v>
      </c>
      <c r="I139" s="585" t="s">
        <v>39</v>
      </c>
      <c r="J139" s="16"/>
      <c r="K139" s="32">
        <f>K142+K140</f>
        <v>891.2</v>
      </c>
      <c r="L139" s="32">
        <v>0</v>
      </c>
      <c r="M139" s="32">
        <v>891.2</v>
      </c>
      <c r="N139" s="32">
        <v>934.2</v>
      </c>
    </row>
    <row r="140" spans="1:14" s="13" customFormat="1" ht="54" x14ac:dyDescent="0.35">
      <c r="A140" s="17"/>
      <c r="B140" s="35" t="s">
        <v>112</v>
      </c>
      <c r="C140" s="31" t="s">
        <v>1</v>
      </c>
      <c r="D140" s="16" t="s">
        <v>47</v>
      </c>
      <c r="E140" s="16" t="s">
        <v>95</v>
      </c>
      <c r="F140" s="583" t="s">
        <v>83</v>
      </c>
      <c r="G140" s="584" t="s">
        <v>40</v>
      </c>
      <c r="H140" s="584" t="s">
        <v>32</v>
      </c>
      <c r="I140" s="585" t="s">
        <v>113</v>
      </c>
      <c r="J140" s="16"/>
      <c r="K140" s="32">
        <f>K141</f>
        <v>112.2</v>
      </c>
      <c r="L140" s="32">
        <v>0</v>
      </c>
      <c r="M140" s="32">
        <v>112.2</v>
      </c>
      <c r="N140" s="32">
        <v>112.2</v>
      </c>
    </row>
    <row r="141" spans="1:14" s="13" customFormat="1" ht="54" x14ac:dyDescent="0.35">
      <c r="A141" s="17"/>
      <c r="B141" s="30" t="s">
        <v>50</v>
      </c>
      <c r="C141" s="31" t="s">
        <v>1</v>
      </c>
      <c r="D141" s="16" t="s">
        <v>47</v>
      </c>
      <c r="E141" s="16" t="s">
        <v>95</v>
      </c>
      <c r="F141" s="583" t="s">
        <v>83</v>
      </c>
      <c r="G141" s="584" t="s">
        <v>40</v>
      </c>
      <c r="H141" s="584" t="s">
        <v>32</v>
      </c>
      <c r="I141" s="585" t="s">
        <v>113</v>
      </c>
      <c r="J141" s="16" t="s">
        <v>51</v>
      </c>
      <c r="K141" s="32">
        <v>112.2</v>
      </c>
      <c r="L141" s="32">
        <v>0</v>
      </c>
      <c r="M141" s="32">
        <v>112.2</v>
      </c>
      <c r="N141" s="32">
        <v>112.2</v>
      </c>
    </row>
    <row r="142" spans="1:14" s="13" customFormat="1" ht="90" x14ac:dyDescent="0.35">
      <c r="A142" s="17"/>
      <c r="B142" s="30" t="s">
        <v>515</v>
      </c>
      <c r="C142" s="31" t="s">
        <v>1</v>
      </c>
      <c r="D142" s="16" t="s">
        <v>47</v>
      </c>
      <c r="E142" s="16" t="s">
        <v>95</v>
      </c>
      <c r="F142" s="583" t="s">
        <v>83</v>
      </c>
      <c r="G142" s="584" t="s">
        <v>40</v>
      </c>
      <c r="H142" s="584" t="s">
        <v>32</v>
      </c>
      <c r="I142" s="585" t="s">
        <v>513</v>
      </c>
      <c r="J142" s="16"/>
      <c r="K142" s="32">
        <f t="shared" ref="K142:N142" si="21">K143</f>
        <v>779</v>
      </c>
      <c r="L142" s="32">
        <v>0</v>
      </c>
      <c r="M142" s="32">
        <v>779</v>
      </c>
      <c r="N142" s="32">
        <v>822</v>
      </c>
    </row>
    <row r="143" spans="1:14" s="13" customFormat="1" ht="54" x14ac:dyDescent="0.35">
      <c r="A143" s="17"/>
      <c r="B143" s="30" t="s">
        <v>50</v>
      </c>
      <c r="C143" s="31" t="s">
        <v>1</v>
      </c>
      <c r="D143" s="16" t="s">
        <v>47</v>
      </c>
      <c r="E143" s="16" t="s">
        <v>95</v>
      </c>
      <c r="F143" s="583" t="s">
        <v>83</v>
      </c>
      <c r="G143" s="584" t="s">
        <v>40</v>
      </c>
      <c r="H143" s="584" t="s">
        <v>32</v>
      </c>
      <c r="I143" s="585" t="s">
        <v>513</v>
      </c>
      <c r="J143" s="16" t="s">
        <v>51</v>
      </c>
      <c r="K143" s="32">
        <v>779</v>
      </c>
      <c r="L143" s="32">
        <v>0</v>
      </c>
      <c r="M143" s="32">
        <v>779</v>
      </c>
      <c r="N143" s="32">
        <v>822</v>
      </c>
    </row>
    <row r="144" spans="1:14" s="13" customFormat="1" ht="54" x14ac:dyDescent="0.35">
      <c r="A144" s="17"/>
      <c r="B144" s="30" t="s">
        <v>35</v>
      </c>
      <c r="C144" s="31" t="s">
        <v>1</v>
      </c>
      <c r="D144" s="16" t="s">
        <v>47</v>
      </c>
      <c r="E144" s="16" t="s">
        <v>95</v>
      </c>
      <c r="F144" s="583" t="s">
        <v>36</v>
      </c>
      <c r="G144" s="584" t="s">
        <v>37</v>
      </c>
      <c r="H144" s="584" t="s">
        <v>38</v>
      </c>
      <c r="I144" s="585" t="s">
        <v>39</v>
      </c>
      <c r="J144" s="16"/>
      <c r="K144" s="32">
        <f t="shared" ref="K144:N145" si="22">K145</f>
        <v>7234</v>
      </c>
      <c r="L144" s="32">
        <v>0</v>
      </c>
      <c r="M144" s="32">
        <v>7234</v>
      </c>
      <c r="N144" s="32">
        <v>5543.3</v>
      </c>
    </row>
    <row r="145" spans="1:14" s="13" customFormat="1" ht="36" x14ac:dyDescent="0.35">
      <c r="A145" s="17"/>
      <c r="B145" s="30" t="s">
        <v>328</v>
      </c>
      <c r="C145" s="31" t="s">
        <v>1</v>
      </c>
      <c r="D145" s="16" t="s">
        <v>47</v>
      </c>
      <c r="E145" s="16" t="s">
        <v>95</v>
      </c>
      <c r="F145" s="583" t="s">
        <v>36</v>
      </c>
      <c r="G145" s="584" t="s">
        <v>40</v>
      </c>
      <c r="H145" s="584" t="s">
        <v>38</v>
      </c>
      <c r="I145" s="585" t="s">
        <v>39</v>
      </c>
      <c r="J145" s="16"/>
      <c r="K145" s="32">
        <f t="shared" si="22"/>
        <v>7234</v>
      </c>
      <c r="L145" s="32">
        <v>0</v>
      </c>
      <c r="M145" s="32">
        <v>7234</v>
      </c>
      <c r="N145" s="32">
        <v>5543.3</v>
      </c>
    </row>
    <row r="146" spans="1:14" s="13" customFormat="1" ht="54" x14ac:dyDescent="0.35">
      <c r="A146" s="17"/>
      <c r="B146" s="30" t="s">
        <v>320</v>
      </c>
      <c r="C146" s="31" t="s">
        <v>1</v>
      </c>
      <c r="D146" s="16" t="s">
        <v>47</v>
      </c>
      <c r="E146" s="16" t="s">
        <v>95</v>
      </c>
      <c r="F146" s="583" t="s">
        <v>36</v>
      </c>
      <c r="G146" s="584" t="s">
        <v>40</v>
      </c>
      <c r="H146" s="584" t="s">
        <v>83</v>
      </c>
      <c r="I146" s="585" t="s">
        <v>39</v>
      </c>
      <c r="J146" s="16"/>
      <c r="K146" s="32">
        <f>K147+K150</f>
        <v>7234</v>
      </c>
      <c r="L146" s="32">
        <v>0</v>
      </c>
      <c r="M146" s="32">
        <v>7234</v>
      </c>
      <c r="N146" s="32">
        <v>5543.3</v>
      </c>
    </row>
    <row r="147" spans="1:14" s="13" customFormat="1" ht="41.25" customHeight="1" x14ac:dyDescent="0.35">
      <c r="A147" s="17"/>
      <c r="B147" s="85" t="s">
        <v>437</v>
      </c>
      <c r="C147" s="31" t="s">
        <v>1</v>
      </c>
      <c r="D147" s="16" t="s">
        <v>47</v>
      </c>
      <c r="E147" s="16" t="s">
        <v>95</v>
      </c>
      <c r="F147" s="583" t="s">
        <v>36</v>
      </c>
      <c r="G147" s="584" t="s">
        <v>40</v>
      </c>
      <c r="H147" s="584" t="s">
        <v>83</v>
      </c>
      <c r="I147" s="585" t="s">
        <v>86</v>
      </c>
      <c r="J147" s="16"/>
      <c r="K147" s="32">
        <f>K148+K149</f>
        <v>5491</v>
      </c>
      <c r="L147" s="32">
        <v>0</v>
      </c>
      <c r="M147" s="32">
        <v>5491</v>
      </c>
      <c r="N147" s="32">
        <v>5543.3</v>
      </c>
    </row>
    <row r="148" spans="1:14" s="13" customFormat="1" ht="108" x14ac:dyDescent="0.35">
      <c r="A148" s="17"/>
      <c r="B148" s="30" t="s">
        <v>44</v>
      </c>
      <c r="C148" s="31" t="s">
        <v>1</v>
      </c>
      <c r="D148" s="16" t="s">
        <v>47</v>
      </c>
      <c r="E148" s="16" t="s">
        <v>95</v>
      </c>
      <c r="F148" s="583" t="s">
        <v>36</v>
      </c>
      <c r="G148" s="584" t="s">
        <v>40</v>
      </c>
      <c r="H148" s="584" t="s">
        <v>83</v>
      </c>
      <c r="I148" s="585" t="s">
        <v>86</v>
      </c>
      <c r="J148" s="16" t="s">
        <v>45</v>
      </c>
      <c r="K148" s="32">
        <v>5398</v>
      </c>
      <c r="L148" s="32">
        <v>0</v>
      </c>
      <c r="M148" s="32">
        <v>5398</v>
      </c>
      <c r="N148" s="32">
        <v>5398</v>
      </c>
    </row>
    <row r="149" spans="1:14" s="13" customFormat="1" ht="54" x14ac:dyDescent="0.35">
      <c r="A149" s="17"/>
      <c r="B149" s="30" t="s">
        <v>50</v>
      </c>
      <c r="C149" s="31" t="s">
        <v>1</v>
      </c>
      <c r="D149" s="16" t="s">
        <v>47</v>
      </c>
      <c r="E149" s="16" t="s">
        <v>95</v>
      </c>
      <c r="F149" s="583" t="s">
        <v>36</v>
      </c>
      <c r="G149" s="584" t="s">
        <v>40</v>
      </c>
      <c r="H149" s="584" t="s">
        <v>83</v>
      </c>
      <c r="I149" s="585" t="s">
        <v>86</v>
      </c>
      <c r="J149" s="16" t="s">
        <v>51</v>
      </c>
      <c r="K149" s="32">
        <f>145.3-52.3</f>
        <v>93.000000000000014</v>
      </c>
      <c r="L149" s="32">
        <v>0</v>
      </c>
      <c r="M149" s="32">
        <v>93.000000000000014</v>
      </c>
      <c r="N149" s="32">
        <v>145.30000000000001</v>
      </c>
    </row>
    <row r="150" spans="1:14" s="13" customFormat="1" ht="54" x14ac:dyDescent="0.35">
      <c r="A150" s="17"/>
      <c r="B150" s="30" t="s">
        <v>529</v>
      </c>
      <c r="C150" s="31" t="s">
        <v>1</v>
      </c>
      <c r="D150" s="16" t="s">
        <v>47</v>
      </c>
      <c r="E150" s="16" t="s">
        <v>95</v>
      </c>
      <c r="F150" s="583" t="s">
        <v>36</v>
      </c>
      <c r="G150" s="584" t="s">
        <v>40</v>
      </c>
      <c r="H150" s="584" t="s">
        <v>83</v>
      </c>
      <c r="I150" s="585" t="s">
        <v>528</v>
      </c>
      <c r="J150" s="16"/>
      <c r="K150" s="32">
        <f>K151</f>
        <v>1743</v>
      </c>
      <c r="L150" s="32">
        <v>0</v>
      </c>
      <c r="M150" s="32">
        <v>1743</v>
      </c>
      <c r="N150" s="32">
        <v>0</v>
      </c>
    </row>
    <row r="151" spans="1:14" s="13" customFormat="1" ht="54" x14ac:dyDescent="0.35">
      <c r="A151" s="17"/>
      <c r="B151" s="30" t="s">
        <v>50</v>
      </c>
      <c r="C151" s="31" t="s">
        <v>1</v>
      </c>
      <c r="D151" s="16" t="s">
        <v>47</v>
      </c>
      <c r="E151" s="16" t="s">
        <v>95</v>
      </c>
      <c r="F151" s="583" t="s">
        <v>36</v>
      </c>
      <c r="G151" s="584" t="s">
        <v>40</v>
      </c>
      <c r="H151" s="584" t="s">
        <v>83</v>
      </c>
      <c r="I151" s="585" t="s">
        <v>528</v>
      </c>
      <c r="J151" s="16" t="s">
        <v>51</v>
      </c>
      <c r="K151" s="32">
        <f>52.3+1690.7</f>
        <v>1743</v>
      </c>
      <c r="L151" s="32">
        <v>0</v>
      </c>
      <c r="M151" s="32">
        <v>1743</v>
      </c>
      <c r="N151" s="32">
        <v>0</v>
      </c>
    </row>
    <row r="152" spans="1:14" s="13" customFormat="1" ht="18" x14ac:dyDescent="0.35">
      <c r="A152" s="17"/>
      <c r="B152" s="319" t="s">
        <v>475</v>
      </c>
      <c r="C152" s="31" t="s">
        <v>1</v>
      </c>
      <c r="D152" s="16" t="s">
        <v>60</v>
      </c>
      <c r="E152" s="16" t="s">
        <v>58</v>
      </c>
      <c r="F152" s="583"/>
      <c r="G152" s="584"/>
      <c r="H152" s="584"/>
      <c r="I152" s="585"/>
      <c r="J152" s="16"/>
      <c r="K152" s="32">
        <f t="shared" ref="K152:N152" si="23">K153</f>
        <v>3516.2</v>
      </c>
      <c r="L152" s="32">
        <v>0</v>
      </c>
      <c r="M152" s="32">
        <v>3516.2</v>
      </c>
      <c r="N152" s="32">
        <v>0</v>
      </c>
    </row>
    <row r="153" spans="1:14" s="13" customFormat="1" ht="72" x14ac:dyDescent="0.35">
      <c r="A153" s="17"/>
      <c r="B153" s="319" t="s">
        <v>476</v>
      </c>
      <c r="C153" s="31" t="s">
        <v>1</v>
      </c>
      <c r="D153" s="16" t="s">
        <v>60</v>
      </c>
      <c r="E153" s="16" t="s">
        <v>58</v>
      </c>
      <c r="F153" s="583" t="s">
        <v>99</v>
      </c>
      <c r="G153" s="584" t="s">
        <v>37</v>
      </c>
      <c r="H153" s="584" t="s">
        <v>38</v>
      </c>
      <c r="I153" s="585" t="s">
        <v>39</v>
      </c>
      <c r="J153" s="16"/>
      <c r="K153" s="32">
        <f t="shared" ref="K153:N156" si="24">K154</f>
        <v>3516.2</v>
      </c>
      <c r="L153" s="32">
        <v>0</v>
      </c>
      <c r="M153" s="32">
        <v>3516.2</v>
      </c>
      <c r="N153" s="32">
        <v>0</v>
      </c>
    </row>
    <row r="154" spans="1:14" s="13" customFormat="1" ht="54" x14ac:dyDescent="0.35">
      <c r="A154" s="17"/>
      <c r="B154" s="30" t="s">
        <v>477</v>
      </c>
      <c r="C154" s="31" t="s">
        <v>1</v>
      </c>
      <c r="D154" s="16" t="s">
        <v>60</v>
      </c>
      <c r="E154" s="16" t="s">
        <v>58</v>
      </c>
      <c r="F154" s="583" t="s">
        <v>99</v>
      </c>
      <c r="G154" s="584" t="s">
        <v>29</v>
      </c>
      <c r="H154" s="584" t="s">
        <v>38</v>
      </c>
      <c r="I154" s="585" t="s">
        <v>39</v>
      </c>
      <c r="J154" s="16"/>
      <c r="K154" s="32">
        <f t="shared" si="24"/>
        <v>3516.2</v>
      </c>
      <c r="L154" s="32">
        <v>0</v>
      </c>
      <c r="M154" s="32">
        <v>3516.2</v>
      </c>
      <c r="N154" s="32">
        <v>0</v>
      </c>
    </row>
    <row r="155" spans="1:14" s="13" customFormat="1" ht="54" x14ac:dyDescent="0.35">
      <c r="A155" s="17"/>
      <c r="B155" s="30" t="s">
        <v>478</v>
      </c>
      <c r="C155" s="31" t="s">
        <v>1</v>
      </c>
      <c r="D155" s="16" t="s">
        <v>60</v>
      </c>
      <c r="E155" s="16" t="s">
        <v>58</v>
      </c>
      <c r="F155" s="583" t="s">
        <v>99</v>
      </c>
      <c r="G155" s="584" t="s">
        <v>29</v>
      </c>
      <c r="H155" s="584" t="s">
        <v>32</v>
      </c>
      <c r="I155" s="585" t="s">
        <v>39</v>
      </c>
      <c r="J155" s="16"/>
      <c r="K155" s="32">
        <f t="shared" si="24"/>
        <v>3516.2</v>
      </c>
      <c r="L155" s="32">
        <v>0</v>
      </c>
      <c r="M155" s="32">
        <v>3516.2</v>
      </c>
      <c r="N155" s="32">
        <v>0</v>
      </c>
    </row>
    <row r="156" spans="1:14" s="13" customFormat="1" ht="36" x14ac:dyDescent="0.35">
      <c r="A156" s="17"/>
      <c r="B156" s="30" t="s">
        <v>479</v>
      </c>
      <c r="C156" s="31" t="s">
        <v>1</v>
      </c>
      <c r="D156" s="16" t="s">
        <v>60</v>
      </c>
      <c r="E156" s="16" t="s">
        <v>58</v>
      </c>
      <c r="F156" s="583" t="s">
        <v>99</v>
      </c>
      <c r="G156" s="584" t="s">
        <v>29</v>
      </c>
      <c r="H156" s="584" t="s">
        <v>32</v>
      </c>
      <c r="I156" s="585" t="s">
        <v>480</v>
      </c>
      <c r="J156" s="16"/>
      <c r="K156" s="32">
        <f t="shared" si="24"/>
        <v>3516.2</v>
      </c>
      <c r="L156" s="32">
        <v>0</v>
      </c>
      <c r="M156" s="32">
        <v>3516.2</v>
      </c>
      <c r="N156" s="32">
        <v>0</v>
      </c>
    </row>
    <row r="157" spans="1:14" s="13" customFormat="1" ht="54" x14ac:dyDescent="0.35">
      <c r="A157" s="17"/>
      <c r="B157" s="30" t="s">
        <v>50</v>
      </c>
      <c r="C157" s="31" t="s">
        <v>1</v>
      </c>
      <c r="D157" s="16" t="s">
        <v>60</v>
      </c>
      <c r="E157" s="16" t="s">
        <v>58</v>
      </c>
      <c r="F157" s="583" t="s">
        <v>99</v>
      </c>
      <c r="G157" s="584" t="s">
        <v>29</v>
      </c>
      <c r="H157" s="584" t="s">
        <v>32</v>
      </c>
      <c r="I157" s="585" t="s">
        <v>480</v>
      </c>
      <c r="J157" s="16" t="s">
        <v>51</v>
      </c>
      <c r="K157" s="32">
        <v>3516.2</v>
      </c>
      <c r="L157" s="32">
        <v>0</v>
      </c>
      <c r="M157" s="32">
        <v>3516.2</v>
      </c>
      <c r="N157" s="32">
        <v>0</v>
      </c>
    </row>
    <row r="158" spans="1:14" s="123" customFormat="1" ht="18" x14ac:dyDescent="0.35">
      <c r="A158" s="17"/>
      <c r="B158" s="30" t="s">
        <v>114</v>
      </c>
      <c r="C158" s="31" t="s">
        <v>1</v>
      </c>
      <c r="D158" s="16" t="s">
        <v>99</v>
      </c>
      <c r="E158" s="16"/>
      <c r="F158" s="583"/>
      <c r="G158" s="584"/>
      <c r="H158" s="584"/>
      <c r="I158" s="585"/>
      <c r="J158" s="16"/>
      <c r="K158" s="32">
        <f>K159+K165</f>
        <v>1456.1</v>
      </c>
      <c r="L158" s="32">
        <v>0</v>
      </c>
      <c r="M158" s="32">
        <v>1456.1</v>
      </c>
      <c r="N158" s="32">
        <v>1456.1</v>
      </c>
    </row>
    <row r="159" spans="1:14" s="123" customFormat="1" ht="18" x14ac:dyDescent="0.35">
      <c r="A159" s="17"/>
      <c r="B159" s="30" t="s">
        <v>344</v>
      </c>
      <c r="C159" s="31" t="s">
        <v>1</v>
      </c>
      <c r="D159" s="16" t="s">
        <v>99</v>
      </c>
      <c r="E159" s="16" t="s">
        <v>32</v>
      </c>
      <c r="F159" s="583"/>
      <c r="G159" s="584"/>
      <c r="H159" s="584"/>
      <c r="I159" s="585"/>
      <c r="J159" s="16"/>
      <c r="K159" s="32">
        <f t="shared" ref="K159:N163" si="25">K160</f>
        <v>504</v>
      </c>
      <c r="L159" s="32">
        <v>0</v>
      </c>
      <c r="M159" s="32">
        <v>504</v>
      </c>
      <c r="N159" s="32">
        <v>504</v>
      </c>
    </row>
    <row r="160" spans="1:14" s="123" customFormat="1" ht="54" x14ac:dyDescent="0.35">
      <c r="A160" s="17"/>
      <c r="B160" s="37" t="s">
        <v>284</v>
      </c>
      <c r="C160" s="31" t="s">
        <v>1</v>
      </c>
      <c r="D160" s="16" t="s">
        <v>99</v>
      </c>
      <c r="E160" s="16" t="s">
        <v>32</v>
      </c>
      <c r="F160" s="583" t="s">
        <v>74</v>
      </c>
      <c r="G160" s="584" t="s">
        <v>37</v>
      </c>
      <c r="H160" s="584" t="s">
        <v>38</v>
      </c>
      <c r="I160" s="585" t="s">
        <v>39</v>
      </c>
      <c r="J160" s="16"/>
      <c r="K160" s="32">
        <f t="shared" si="25"/>
        <v>504</v>
      </c>
      <c r="L160" s="32">
        <v>0</v>
      </c>
      <c r="M160" s="32">
        <v>504</v>
      </c>
      <c r="N160" s="32">
        <v>504</v>
      </c>
    </row>
    <row r="161" spans="1:14" s="123" customFormat="1" ht="36" x14ac:dyDescent="0.35">
      <c r="A161" s="17"/>
      <c r="B161" s="30" t="s">
        <v>328</v>
      </c>
      <c r="C161" s="31" t="s">
        <v>1</v>
      </c>
      <c r="D161" s="16" t="s">
        <v>99</v>
      </c>
      <c r="E161" s="16" t="s">
        <v>32</v>
      </c>
      <c r="F161" s="583" t="s">
        <v>74</v>
      </c>
      <c r="G161" s="584" t="s">
        <v>40</v>
      </c>
      <c r="H161" s="584" t="s">
        <v>38</v>
      </c>
      <c r="I161" s="585" t="s">
        <v>39</v>
      </c>
      <c r="J161" s="16"/>
      <c r="K161" s="32">
        <f t="shared" si="25"/>
        <v>504</v>
      </c>
      <c r="L161" s="32">
        <v>0</v>
      </c>
      <c r="M161" s="32">
        <v>504</v>
      </c>
      <c r="N161" s="32">
        <v>504</v>
      </c>
    </row>
    <row r="162" spans="1:14" s="123" customFormat="1" ht="90" x14ac:dyDescent="0.35">
      <c r="A162" s="17"/>
      <c r="B162" s="33" t="s">
        <v>426</v>
      </c>
      <c r="C162" s="31" t="s">
        <v>1</v>
      </c>
      <c r="D162" s="16" t="s">
        <v>99</v>
      </c>
      <c r="E162" s="16" t="s">
        <v>32</v>
      </c>
      <c r="F162" s="583" t="s">
        <v>74</v>
      </c>
      <c r="G162" s="584" t="s">
        <v>40</v>
      </c>
      <c r="H162" s="584" t="s">
        <v>47</v>
      </c>
      <c r="I162" s="585" t="s">
        <v>39</v>
      </c>
      <c r="J162" s="16"/>
      <c r="K162" s="32">
        <f t="shared" si="25"/>
        <v>504</v>
      </c>
      <c r="L162" s="32">
        <v>0</v>
      </c>
      <c r="M162" s="32">
        <v>504</v>
      </c>
      <c r="N162" s="32">
        <v>504</v>
      </c>
    </row>
    <row r="163" spans="1:14" s="123" customFormat="1" ht="75.75" customHeight="1" x14ac:dyDescent="0.35">
      <c r="A163" s="17"/>
      <c r="B163" s="33" t="s">
        <v>420</v>
      </c>
      <c r="C163" s="31" t="s">
        <v>1</v>
      </c>
      <c r="D163" s="16" t="s">
        <v>99</v>
      </c>
      <c r="E163" s="16" t="s">
        <v>32</v>
      </c>
      <c r="F163" s="583" t="s">
        <v>74</v>
      </c>
      <c r="G163" s="584" t="s">
        <v>40</v>
      </c>
      <c r="H163" s="584" t="s">
        <v>47</v>
      </c>
      <c r="I163" s="585" t="s">
        <v>345</v>
      </c>
      <c r="J163" s="16"/>
      <c r="K163" s="32">
        <f t="shared" si="25"/>
        <v>504</v>
      </c>
      <c r="L163" s="32">
        <v>0</v>
      </c>
      <c r="M163" s="32">
        <v>504</v>
      </c>
      <c r="N163" s="32">
        <v>504</v>
      </c>
    </row>
    <row r="164" spans="1:14" s="123" customFormat="1" ht="36" x14ac:dyDescent="0.35">
      <c r="A164" s="17"/>
      <c r="B164" s="34" t="s">
        <v>115</v>
      </c>
      <c r="C164" s="31" t="s">
        <v>1</v>
      </c>
      <c r="D164" s="16" t="s">
        <v>99</v>
      </c>
      <c r="E164" s="16" t="s">
        <v>32</v>
      </c>
      <c r="F164" s="583" t="s">
        <v>74</v>
      </c>
      <c r="G164" s="584" t="s">
        <v>40</v>
      </c>
      <c r="H164" s="584" t="s">
        <v>47</v>
      </c>
      <c r="I164" s="585" t="s">
        <v>345</v>
      </c>
      <c r="J164" s="16" t="s">
        <v>116</v>
      </c>
      <c r="K164" s="32">
        <v>504</v>
      </c>
      <c r="L164" s="32">
        <v>0</v>
      </c>
      <c r="M164" s="32">
        <v>504</v>
      </c>
      <c r="N164" s="32">
        <v>504</v>
      </c>
    </row>
    <row r="165" spans="1:14" s="123" customFormat="1" ht="36" x14ac:dyDescent="0.35">
      <c r="A165" s="17"/>
      <c r="B165" s="30" t="s">
        <v>117</v>
      </c>
      <c r="C165" s="31" t="s">
        <v>1</v>
      </c>
      <c r="D165" s="16" t="s">
        <v>99</v>
      </c>
      <c r="E165" s="16" t="s">
        <v>76</v>
      </c>
      <c r="F165" s="583"/>
      <c r="G165" s="584"/>
      <c r="H165" s="584"/>
      <c r="I165" s="585"/>
      <c r="J165" s="16"/>
      <c r="K165" s="32">
        <f t="shared" ref="K165:M168" si="26">K166</f>
        <v>952.1</v>
      </c>
      <c r="L165" s="32">
        <v>0</v>
      </c>
      <c r="M165" s="32">
        <v>952.1</v>
      </c>
      <c r="N165" s="32">
        <v>952.1</v>
      </c>
    </row>
    <row r="166" spans="1:14" s="123" customFormat="1" ht="72" x14ac:dyDescent="0.35">
      <c r="A166" s="17"/>
      <c r="B166" s="30" t="s">
        <v>67</v>
      </c>
      <c r="C166" s="31" t="s">
        <v>1</v>
      </c>
      <c r="D166" s="16" t="s">
        <v>99</v>
      </c>
      <c r="E166" s="16" t="s">
        <v>76</v>
      </c>
      <c r="F166" s="583" t="s">
        <v>68</v>
      </c>
      <c r="G166" s="584" t="s">
        <v>37</v>
      </c>
      <c r="H166" s="584" t="s">
        <v>38</v>
      </c>
      <c r="I166" s="585" t="s">
        <v>39</v>
      </c>
      <c r="J166" s="16"/>
      <c r="K166" s="32">
        <f t="shared" si="26"/>
        <v>952.1</v>
      </c>
      <c r="L166" s="32">
        <v>0</v>
      </c>
      <c r="M166" s="32">
        <v>952.1</v>
      </c>
      <c r="N166" s="32">
        <v>952.1</v>
      </c>
    </row>
    <row r="167" spans="1:14" s="123" customFormat="1" ht="36" x14ac:dyDescent="0.35">
      <c r="A167" s="17"/>
      <c r="B167" s="30" t="s">
        <v>328</v>
      </c>
      <c r="C167" s="31" t="s">
        <v>1</v>
      </c>
      <c r="D167" s="16" t="s">
        <v>99</v>
      </c>
      <c r="E167" s="16" t="s">
        <v>76</v>
      </c>
      <c r="F167" s="583" t="s">
        <v>68</v>
      </c>
      <c r="G167" s="584" t="s">
        <v>40</v>
      </c>
      <c r="H167" s="584" t="s">
        <v>38</v>
      </c>
      <c r="I167" s="585" t="s">
        <v>39</v>
      </c>
      <c r="J167" s="16"/>
      <c r="K167" s="32">
        <f t="shared" si="26"/>
        <v>952.1</v>
      </c>
      <c r="L167" s="32">
        <v>0</v>
      </c>
      <c r="M167" s="32">
        <v>952.1</v>
      </c>
      <c r="N167" s="32">
        <v>952.1</v>
      </c>
    </row>
    <row r="168" spans="1:14" s="123" customFormat="1" ht="54" x14ac:dyDescent="0.35">
      <c r="A168" s="17"/>
      <c r="B168" s="33" t="s">
        <v>254</v>
      </c>
      <c r="C168" s="31" t="s">
        <v>1</v>
      </c>
      <c r="D168" s="16" t="s">
        <v>99</v>
      </c>
      <c r="E168" s="16" t="s">
        <v>76</v>
      </c>
      <c r="F168" s="583" t="s">
        <v>68</v>
      </c>
      <c r="G168" s="584" t="s">
        <v>40</v>
      </c>
      <c r="H168" s="584" t="s">
        <v>32</v>
      </c>
      <c r="I168" s="585" t="s">
        <v>39</v>
      </c>
      <c r="J168" s="16"/>
      <c r="K168" s="32">
        <f t="shared" si="26"/>
        <v>952.1</v>
      </c>
      <c r="L168" s="32">
        <v>0</v>
      </c>
      <c r="M168" s="32">
        <v>952.1</v>
      </c>
      <c r="N168" s="32">
        <v>952.1</v>
      </c>
    </row>
    <row r="169" spans="1:14" s="123" customFormat="1" ht="54" x14ac:dyDescent="0.35">
      <c r="A169" s="17"/>
      <c r="B169" s="33" t="s">
        <v>69</v>
      </c>
      <c r="C169" s="31" t="s">
        <v>1</v>
      </c>
      <c r="D169" s="16" t="s">
        <v>99</v>
      </c>
      <c r="E169" s="16" t="s">
        <v>76</v>
      </c>
      <c r="F169" s="583" t="s">
        <v>68</v>
      </c>
      <c r="G169" s="584" t="s">
        <v>40</v>
      </c>
      <c r="H169" s="584" t="s">
        <v>32</v>
      </c>
      <c r="I169" s="585" t="s">
        <v>70</v>
      </c>
      <c r="J169" s="16"/>
      <c r="K169" s="32">
        <f>K170</f>
        <v>952.1</v>
      </c>
      <c r="L169" s="32">
        <v>0</v>
      </c>
      <c r="M169" s="32">
        <v>952.1</v>
      </c>
      <c r="N169" s="32">
        <v>952.1</v>
      </c>
    </row>
    <row r="170" spans="1:14" s="123" customFormat="1" ht="54" x14ac:dyDescent="0.35">
      <c r="A170" s="17"/>
      <c r="B170" s="34" t="s">
        <v>71</v>
      </c>
      <c r="C170" s="31" t="s">
        <v>1</v>
      </c>
      <c r="D170" s="16" t="s">
        <v>99</v>
      </c>
      <c r="E170" s="16" t="s">
        <v>76</v>
      </c>
      <c r="F170" s="583" t="s">
        <v>68</v>
      </c>
      <c r="G170" s="584" t="s">
        <v>40</v>
      </c>
      <c r="H170" s="584" t="s">
        <v>32</v>
      </c>
      <c r="I170" s="585" t="s">
        <v>70</v>
      </c>
      <c r="J170" s="16" t="s">
        <v>72</v>
      </c>
      <c r="K170" s="32">
        <v>952.1</v>
      </c>
      <c r="L170" s="32">
        <v>0</v>
      </c>
      <c r="M170" s="32">
        <v>952.1</v>
      </c>
      <c r="N170" s="32">
        <v>952.1</v>
      </c>
    </row>
    <row r="171" spans="1:14" s="123" customFormat="1" ht="18" x14ac:dyDescent="0.35">
      <c r="A171" s="17"/>
      <c r="B171" s="34"/>
      <c r="C171" s="31"/>
      <c r="D171" s="16"/>
      <c r="E171" s="16"/>
      <c r="F171" s="583"/>
      <c r="G171" s="584"/>
      <c r="H171" s="584"/>
      <c r="I171" s="585"/>
      <c r="J171" s="16"/>
      <c r="K171" s="32"/>
      <c r="L171" s="32"/>
      <c r="M171" s="32"/>
      <c r="N171" s="32"/>
    </row>
    <row r="172" spans="1:14" ht="52.2" x14ac:dyDescent="0.3">
      <c r="A172" s="122">
        <v>2</v>
      </c>
      <c r="B172" s="24" t="s">
        <v>2</v>
      </c>
      <c r="C172" s="25" t="s">
        <v>291</v>
      </c>
      <c r="D172" s="26"/>
      <c r="E172" s="26"/>
      <c r="F172" s="27"/>
      <c r="G172" s="28"/>
      <c r="H172" s="28"/>
      <c r="I172" s="29"/>
      <c r="J172" s="26"/>
      <c r="K172" s="46">
        <f>K173+K191</f>
        <v>35633.800000000003</v>
      </c>
      <c r="L172" s="46">
        <v>0</v>
      </c>
      <c r="M172" s="46">
        <v>35633.800000000003</v>
      </c>
      <c r="N172" s="46">
        <v>35626</v>
      </c>
    </row>
    <row r="173" spans="1:14" s="127" customFormat="1" ht="18" x14ac:dyDescent="0.35">
      <c r="A173" s="17"/>
      <c r="B173" s="30" t="s">
        <v>31</v>
      </c>
      <c r="C173" s="31" t="s">
        <v>291</v>
      </c>
      <c r="D173" s="16" t="s">
        <v>32</v>
      </c>
      <c r="E173" s="16"/>
      <c r="F173" s="583"/>
      <c r="G173" s="584"/>
      <c r="H173" s="584"/>
      <c r="I173" s="585"/>
      <c r="J173" s="16"/>
      <c r="K173" s="32">
        <f>K174+K182</f>
        <v>28633.8</v>
      </c>
      <c r="L173" s="32">
        <v>0</v>
      </c>
      <c r="M173" s="32">
        <v>28633.8</v>
      </c>
      <c r="N173" s="32">
        <v>28626</v>
      </c>
    </row>
    <row r="174" spans="1:14" s="128" customFormat="1" ht="54" x14ac:dyDescent="0.35">
      <c r="A174" s="17"/>
      <c r="B174" s="30" t="s">
        <v>124</v>
      </c>
      <c r="C174" s="31" t="s">
        <v>291</v>
      </c>
      <c r="D174" s="16" t="s">
        <v>32</v>
      </c>
      <c r="E174" s="16" t="s">
        <v>76</v>
      </c>
      <c r="F174" s="583"/>
      <c r="G174" s="584"/>
      <c r="H174" s="584"/>
      <c r="I174" s="585"/>
      <c r="J174" s="16"/>
      <c r="K174" s="32">
        <f t="shared" ref="K174:N177" si="27">K175</f>
        <v>25791.5</v>
      </c>
      <c r="L174" s="32">
        <v>0</v>
      </c>
      <c r="M174" s="32">
        <v>25791.5</v>
      </c>
      <c r="N174" s="32">
        <v>25792.2</v>
      </c>
    </row>
    <row r="175" spans="1:14" s="123" customFormat="1" ht="54.75" customHeight="1" x14ac:dyDescent="0.35">
      <c r="A175" s="17"/>
      <c r="B175" s="30" t="s">
        <v>218</v>
      </c>
      <c r="C175" s="31" t="s">
        <v>291</v>
      </c>
      <c r="D175" s="16" t="s">
        <v>32</v>
      </c>
      <c r="E175" s="16" t="s">
        <v>76</v>
      </c>
      <c r="F175" s="583" t="s">
        <v>219</v>
      </c>
      <c r="G175" s="584" t="s">
        <v>37</v>
      </c>
      <c r="H175" s="584" t="s">
        <v>38</v>
      </c>
      <c r="I175" s="585" t="s">
        <v>39</v>
      </c>
      <c r="J175" s="16"/>
      <c r="K175" s="32">
        <f t="shared" si="27"/>
        <v>25791.5</v>
      </c>
      <c r="L175" s="32">
        <v>0</v>
      </c>
      <c r="M175" s="32">
        <v>25791.5</v>
      </c>
      <c r="N175" s="32">
        <v>25792.2</v>
      </c>
    </row>
    <row r="176" spans="1:14" s="123" customFormat="1" ht="36" x14ac:dyDescent="0.35">
      <c r="A176" s="17"/>
      <c r="B176" s="30" t="s">
        <v>328</v>
      </c>
      <c r="C176" s="31" t="s">
        <v>291</v>
      </c>
      <c r="D176" s="16" t="s">
        <v>32</v>
      </c>
      <c r="E176" s="16" t="s">
        <v>76</v>
      </c>
      <c r="F176" s="38" t="s">
        <v>219</v>
      </c>
      <c r="G176" s="39" t="s">
        <v>40</v>
      </c>
      <c r="H176" s="584" t="s">
        <v>38</v>
      </c>
      <c r="I176" s="585" t="s">
        <v>39</v>
      </c>
      <c r="J176" s="16"/>
      <c r="K176" s="32">
        <f>K177</f>
        <v>25791.5</v>
      </c>
      <c r="L176" s="32">
        <v>0</v>
      </c>
      <c r="M176" s="32">
        <v>25791.5</v>
      </c>
      <c r="N176" s="32">
        <v>25792.2</v>
      </c>
    </row>
    <row r="177" spans="1:14" s="123" customFormat="1" ht="54" x14ac:dyDescent="0.35">
      <c r="A177" s="17"/>
      <c r="B177" s="30" t="s">
        <v>292</v>
      </c>
      <c r="C177" s="31" t="s">
        <v>291</v>
      </c>
      <c r="D177" s="16" t="s">
        <v>32</v>
      </c>
      <c r="E177" s="16" t="s">
        <v>76</v>
      </c>
      <c r="F177" s="38" t="s">
        <v>219</v>
      </c>
      <c r="G177" s="39" t="s">
        <v>40</v>
      </c>
      <c r="H177" s="584" t="s">
        <v>32</v>
      </c>
      <c r="I177" s="585" t="s">
        <v>39</v>
      </c>
      <c r="J177" s="16"/>
      <c r="K177" s="32">
        <f t="shared" si="27"/>
        <v>25791.5</v>
      </c>
      <c r="L177" s="32">
        <v>0</v>
      </c>
      <c r="M177" s="32">
        <v>25791.5</v>
      </c>
      <c r="N177" s="32">
        <v>25792.2</v>
      </c>
    </row>
    <row r="178" spans="1:14" s="123" customFormat="1" ht="36" x14ac:dyDescent="0.35">
      <c r="A178" s="17"/>
      <c r="B178" s="30" t="s">
        <v>42</v>
      </c>
      <c r="C178" s="31" t="s">
        <v>291</v>
      </c>
      <c r="D178" s="16" t="s">
        <v>32</v>
      </c>
      <c r="E178" s="16" t="s">
        <v>76</v>
      </c>
      <c r="F178" s="38" t="s">
        <v>219</v>
      </c>
      <c r="G178" s="39" t="s">
        <v>40</v>
      </c>
      <c r="H178" s="584" t="s">
        <v>32</v>
      </c>
      <c r="I178" s="585" t="s">
        <v>43</v>
      </c>
      <c r="J178" s="16"/>
      <c r="K178" s="32">
        <f>SUM(K179:K181)</f>
        <v>25791.5</v>
      </c>
      <c r="L178" s="32">
        <v>0</v>
      </c>
      <c r="M178" s="32">
        <v>25791.5</v>
      </c>
      <c r="N178" s="32">
        <v>25792.2</v>
      </c>
    </row>
    <row r="179" spans="1:14" s="123" customFormat="1" ht="108" x14ac:dyDescent="0.35">
      <c r="A179" s="17"/>
      <c r="B179" s="30" t="s">
        <v>44</v>
      </c>
      <c r="C179" s="31" t="s">
        <v>291</v>
      </c>
      <c r="D179" s="16" t="s">
        <v>32</v>
      </c>
      <c r="E179" s="16" t="s">
        <v>76</v>
      </c>
      <c r="F179" s="38" t="s">
        <v>219</v>
      </c>
      <c r="G179" s="39" t="s">
        <v>40</v>
      </c>
      <c r="H179" s="584" t="s">
        <v>32</v>
      </c>
      <c r="I179" s="585" t="s">
        <v>43</v>
      </c>
      <c r="J179" s="16" t="s">
        <v>45</v>
      </c>
      <c r="K179" s="32">
        <v>25067.7</v>
      </c>
      <c r="L179" s="32">
        <v>0</v>
      </c>
      <c r="M179" s="32">
        <v>25067.7</v>
      </c>
      <c r="N179" s="32">
        <v>25067.7</v>
      </c>
    </row>
    <row r="180" spans="1:14" s="123" customFormat="1" ht="54" x14ac:dyDescent="0.35">
      <c r="A180" s="17"/>
      <c r="B180" s="30" t="s">
        <v>50</v>
      </c>
      <c r="C180" s="31" t="s">
        <v>291</v>
      </c>
      <c r="D180" s="16" t="s">
        <v>32</v>
      </c>
      <c r="E180" s="16" t="s">
        <v>76</v>
      </c>
      <c r="F180" s="38" t="s">
        <v>219</v>
      </c>
      <c r="G180" s="39" t="s">
        <v>40</v>
      </c>
      <c r="H180" s="584" t="s">
        <v>32</v>
      </c>
      <c r="I180" s="585" t="s">
        <v>43</v>
      </c>
      <c r="J180" s="16" t="s">
        <v>51</v>
      </c>
      <c r="K180" s="32">
        <v>719.1</v>
      </c>
      <c r="L180" s="32">
        <v>0</v>
      </c>
      <c r="M180" s="32">
        <v>719.1</v>
      </c>
      <c r="N180" s="32">
        <v>719.9</v>
      </c>
    </row>
    <row r="181" spans="1:14" s="128" customFormat="1" ht="18" x14ac:dyDescent="0.35">
      <c r="A181" s="17"/>
      <c r="B181" s="30" t="s">
        <v>52</v>
      </c>
      <c r="C181" s="31" t="s">
        <v>291</v>
      </c>
      <c r="D181" s="16" t="s">
        <v>32</v>
      </c>
      <c r="E181" s="16" t="s">
        <v>76</v>
      </c>
      <c r="F181" s="38" t="s">
        <v>219</v>
      </c>
      <c r="G181" s="39" t="s">
        <v>40</v>
      </c>
      <c r="H181" s="584" t="s">
        <v>32</v>
      </c>
      <c r="I181" s="585" t="s">
        <v>43</v>
      </c>
      <c r="J181" s="16" t="s">
        <v>53</v>
      </c>
      <c r="K181" s="32">
        <v>4.7</v>
      </c>
      <c r="L181" s="32">
        <v>0</v>
      </c>
      <c r="M181" s="32">
        <v>4.7</v>
      </c>
      <c r="N181" s="32">
        <v>4.5999999999999996</v>
      </c>
    </row>
    <row r="182" spans="1:14" s="128" customFormat="1" ht="18" x14ac:dyDescent="0.35">
      <c r="A182" s="17"/>
      <c r="B182" s="30" t="s">
        <v>65</v>
      </c>
      <c r="C182" s="31" t="s">
        <v>291</v>
      </c>
      <c r="D182" s="16" t="s">
        <v>32</v>
      </c>
      <c r="E182" s="16" t="s">
        <v>66</v>
      </c>
      <c r="F182" s="38"/>
      <c r="G182" s="39"/>
      <c r="H182" s="584"/>
      <c r="I182" s="585"/>
      <c r="J182" s="16"/>
      <c r="K182" s="32">
        <f t="shared" ref="K182:N183" si="28">K183</f>
        <v>2842.2999999999997</v>
      </c>
      <c r="L182" s="32">
        <v>0</v>
      </c>
      <c r="M182" s="32">
        <v>2842.2999999999997</v>
      </c>
      <c r="N182" s="32">
        <v>2833.7999999999997</v>
      </c>
    </row>
    <row r="183" spans="1:14" s="128" customFormat="1" ht="54" x14ac:dyDescent="0.35">
      <c r="A183" s="17"/>
      <c r="B183" s="30" t="s">
        <v>218</v>
      </c>
      <c r="C183" s="31" t="s">
        <v>291</v>
      </c>
      <c r="D183" s="16" t="s">
        <v>32</v>
      </c>
      <c r="E183" s="16" t="s">
        <v>66</v>
      </c>
      <c r="F183" s="38" t="s">
        <v>219</v>
      </c>
      <c r="G183" s="39" t="s">
        <v>37</v>
      </c>
      <c r="H183" s="584" t="s">
        <v>38</v>
      </c>
      <c r="I183" s="585" t="s">
        <v>39</v>
      </c>
      <c r="J183" s="16"/>
      <c r="K183" s="32">
        <f t="shared" si="28"/>
        <v>2842.2999999999997</v>
      </c>
      <c r="L183" s="32">
        <v>0</v>
      </c>
      <c r="M183" s="32">
        <v>2842.2999999999997</v>
      </c>
      <c r="N183" s="32">
        <v>2833.7999999999997</v>
      </c>
    </row>
    <row r="184" spans="1:14" s="128" customFormat="1" ht="36" x14ac:dyDescent="0.35">
      <c r="A184" s="17"/>
      <c r="B184" s="30" t="s">
        <v>328</v>
      </c>
      <c r="C184" s="31" t="s">
        <v>291</v>
      </c>
      <c r="D184" s="16" t="s">
        <v>32</v>
      </c>
      <c r="E184" s="16" t="s">
        <v>66</v>
      </c>
      <c r="F184" s="38" t="s">
        <v>219</v>
      </c>
      <c r="G184" s="39" t="s">
        <v>40</v>
      </c>
      <c r="H184" s="584" t="s">
        <v>38</v>
      </c>
      <c r="I184" s="585" t="s">
        <v>39</v>
      </c>
      <c r="J184" s="16"/>
      <c r="K184" s="32">
        <f>K185+K188</f>
        <v>2842.2999999999997</v>
      </c>
      <c r="L184" s="32">
        <v>0</v>
      </c>
      <c r="M184" s="32">
        <v>2842.2999999999997</v>
      </c>
      <c r="N184" s="32">
        <v>2833.7999999999997</v>
      </c>
    </row>
    <row r="185" spans="1:14" s="128" customFormat="1" ht="36" x14ac:dyDescent="0.35">
      <c r="A185" s="17"/>
      <c r="B185" s="30" t="s">
        <v>340</v>
      </c>
      <c r="C185" s="31" t="s">
        <v>291</v>
      </c>
      <c r="D185" s="16" t="s">
        <v>32</v>
      </c>
      <c r="E185" s="16" t="s">
        <v>66</v>
      </c>
      <c r="F185" s="38" t="s">
        <v>219</v>
      </c>
      <c r="G185" s="39" t="s">
        <v>40</v>
      </c>
      <c r="H185" s="584" t="s">
        <v>58</v>
      </c>
      <c r="I185" s="585" t="s">
        <v>39</v>
      </c>
      <c r="J185" s="16"/>
      <c r="K185" s="32">
        <f t="shared" ref="K185:N186" si="29">K186</f>
        <v>2825.1</v>
      </c>
      <c r="L185" s="32">
        <v>0</v>
      </c>
      <c r="M185" s="32">
        <v>2825.1</v>
      </c>
      <c r="N185" s="32">
        <v>2816.6</v>
      </c>
    </row>
    <row r="186" spans="1:14" s="128" customFormat="1" ht="57" customHeight="1" x14ac:dyDescent="0.35">
      <c r="A186" s="17"/>
      <c r="B186" s="30" t="s">
        <v>341</v>
      </c>
      <c r="C186" s="31" t="s">
        <v>291</v>
      </c>
      <c r="D186" s="16" t="s">
        <v>32</v>
      </c>
      <c r="E186" s="16" t="s">
        <v>66</v>
      </c>
      <c r="F186" s="38" t="s">
        <v>219</v>
      </c>
      <c r="G186" s="39" t="s">
        <v>40</v>
      </c>
      <c r="H186" s="584" t="s">
        <v>58</v>
      </c>
      <c r="I186" s="585" t="s">
        <v>100</v>
      </c>
      <c r="J186" s="16"/>
      <c r="K186" s="32">
        <f t="shared" si="29"/>
        <v>2825.1</v>
      </c>
      <c r="L186" s="32">
        <v>0</v>
      </c>
      <c r="M186" s="32">
        <v>2825.1</v>
      </c>
      <c r="N186" s="32">
        <v>2816.6</v>
      </c>
    </row>
    <row r="187" spans="1:14" s="128" customFormat="1" ht="54" x14ac:dyDescent="0.35">
      <c r="A187" s="17"/>
      <c r="B187" s="30" t="s">
        <v>50</v>
      </c>
      <c r="C187" s="31" t="s">
        <v>291</v>
      </c>
      <c r="D187" s="16" t="s">
        <v>32</v>
      </c>
      <c r="E187" s="16" t="s">
        <v>66</v>
      </c>
      <c r="F187" s="38" t="s">
        <v>219</v>
      </c>
      <c r="G187" s="39" t="s">
        <v>40</v>
      </c>
      <c r="H187" s="584" t="s">
        <v>58</v>
      </c>
      <c r="I187" s="585" t="s">
        <v>100</v>
      </c>
      <c r="J187" s="16" t="s">
        <v>51</v>
      </c>
      <c r="K187" s="32">
        <v>2825.1</v>
      </c>
      <c r="L187" s="32">
        <v>0</v>
      </c>
      <c r="M187" s="32">
        <v>2825.1</v>
      </c>
      <c r="N187" s="32">
        <v>2816.6</v>
      </c>
    </row>
    <row r="188" spans="1:14" s="128" customFormat="1" ht="36" x14ac:dyDescent="0.35">
      <c r="A188" s="17"/>
      <c r="B188" s="30" t="s">
        <v>441</v>
      </c>
      <c r="C188" s="31" t="s">
        <v>291</v>
      </c>
      <c r="D188" s="16" t="s">
        <v>32</v>
      </c>
      <c r="E188" s="16" t="s">
        <v>66</v>
      </c>
      <c r="F188" s="38" t="s">
        <v>219</v>
      </c>
      <c r="G188" s="39" t="s">
        <v>40</v>
      </c>
      <c r="H188" s="584" t="s">
        <v>60</v>
      </c>
      <c r="I188" s="585" t="s">
        <v>39</v>
      </c>
      <c r="J188" s="16"/>
      <c r="K188" s="32">
        <f t="shared" ref="K188:N189" si="30">K189</f>
        <v>17.2</v>
      </c>
      <c r="L188" s="32">
        <v>0</v>
      </c>
      <c r="M188" s="32">
        <v>17.2</v>
      </c>
      <c r="N188" s="32">
        <v>17.2</v>
      </c>
    </row>
    <row r="189" spans="1:14" s="128" customFormat="1" ht="18" x14ac:dyDescent="0.35">
      <c r="A189" s="17"/>
      <c r="B189" s="30" t="s">
        <v>439</v>
      </c>
      <c r="C189" s="31" t="s">
        <v>291</v>
      </c>
      <c r="D189" s="16" t="s">
        <v>32</v>
      </c>
      <c r="E189" s="16" t="s">
        <v>66</v>
      </c>
      <c r="F189" s="38" t="s">
        <v>219</v>
      </c>
      <c r="G189" s="39" t="s">
        <v>40</v>
      </c>
      <c r="H189" s="584" t="s">
        <v>60</v>
      </c>
      <c r="I189" s="585" t="s">
        <v>440</v>
      </c>
      <c r="J189" s="16"/>
      <c r="K189" s="32">
        <f t="shared" si="30"/>
        <v>17.2</v>
      </c>
      <c r="L189" s="32">
        <v>0</v>
      </c>
      <c r="M189" s="32">
        <v>17.2</v>
      </c>
      <c r="N189" s="32">
        <v>17.2</v>
      </c>
    </row>
    <row r="190" spans="1:14" s="128" customFormat="1" ht="54" x14ac:dyDescent="0.35">
      <c r="A190" s="17"/>
      <c r="B190" s="30" t="s">
        <v>50</v>
      </c>
      <c r="C190" s="31" t="s">
        <v>291</v>
      </c>
      <c r="D190" s="16" t="s">
        <v>32</v>
      </c>
      <c r="E190" s="16" t="s">
        <v>66</v>
      </c>
      <c r="F190" s="38" t="s">
        <v>219</v>
      </c>
      <c r="G190" s="39" t="s">
        <v>40</v>
      </c>
      <c r="H190" s="584" t="s">
        <v>60</v>
      </c>
      <c r="I190" s="585" t="s">
        <v>440</v>
      </c>
      <c r="J190" s="16" t="s">
        <v>51</v>
      </c>
      <c r="K190" s="32">
        <v>17.2</v>
      </c>
      <c r="L190" s="32">
        <v>0</v>
      </c>
      <c r="M190" s="32">
        <v>17.2</v>
      </c>
      <c r="N190" s="32">
        <v>17.2</v>
      </c>
    </row>
    <row r="191" spans="1:14" s="128" customFormat="1" ht="54" x14ac:dyDescent="0.35">
      <c r="A191" s="17"/>
      <c r="B191" s="30" t="s">
        <v>195</v>
      </c>
      <c r="C191" s="31" t="s">
        <v>291</v>
      </c>
      <c r="D191" s="16" t="s">
        <v>83</v>
      </c>
      <c r="E191" s="16"/>
      <c r="F191" s="38"/>
      <c r="G191" s="39"/>
      <c r="H191" s="584"/>
      <c r="I191" s="585"/>
      <c r="J191" s="16"/>
      <c r="K191" s="32">
        <f t="shared" ref="K191:N194" si="31">K192</f>
        <v>7000</v>
      </c>
      <c r="L191" s="32">
        <v>0</v>
      </c>
      <c r="M191" s="32">
        <v>7000</v>
      </c>
      <c r="N191" s="32">
        <v>7000</v>
      </c>
    </row>
    <row r="192" spans="1:14" s="128" customFormat="1" ht="54" x14ac:dyDescent="0.35">
      <c r="A192" s="17"/>
      <c r="B192" s="36" t="s">
        <v>196</v>
      </c>
      <c r="C192" s="31" t="s">
        <v>291</v>
      </c>
      <c r="D192" s="16" t="s">
        <v>83</v>
      </c>
      <c r="E192" s="16" t="s">
        <v>32</v>
      </c>
      <c r="F192" s="38"/>
      <c r="G192" s="39"/>
      <c r="H192" s="584"/>
      <c r="I192" s="585"/>
      <c r="J192" s="16"/>
      <c r="K192" s="32">
        <f t="shared" si="31"/>
        <v>7000</v>
      </c>
      <c r="L192" s="32">
        <v>0</v>
      </c>
      <c r="M192" s="32">
        <v>7000</v>
      </c>
      <c r="N192" s="32">
        <v>7000</v>
      </c>
    </row>
    <row r="193" spans="1:14" s="128" customFormat="1" ht="54" x14ac:dyDescent="0.35">
      <c r="A193" s="17"/>
      <c r="B193" s="30" t="s">
        <v>218</v>
      </c>
      <c r="C193" s="31" t="s">
        <v>291</v>
      </c>
      <c r="D193" s="16" t="s">
        <v>83</v>
      </c>
      <c r="E193" s="16" t="s">
        <v>32</v>
      </c>
      <c r="F193" s="38" t="s">
        <v>219</v>
      </c>
      <c r="G193" s="39" t="s">
        <v>37</v>
      </c>
      <c r="H193" s="584" t="s">
        <v>38</v>
      </c>
      <c r="I193" s="585" t="s">
        <v>39</v>
      </c>
      <c r="J193" s="16"/>
      <c r="K193" s="32">
        <f t="shared" si="31"/>
        <v>7000</v>
      </c>
      <c r="L193" s="32">
        <v>0</v>
      </c>
      <c r="M193" s="32">
        <v>7000</v>
      </c>
      <c r="N193" s="32">
        <v>7000</v>
      </c>
    </row>
    <row r="194" spans="1:14" s="128" customFormat="1" ht="36" x14ac:dyDescent="0.35">
      <c r="A194" s="17"/>
      <c r="B194" s="30" t="s">
        <v>328</v>
      </c>
      <c r="C194" s="31" t="s">
        <v>291</v>
      </c>
      <c r="D194" s="16" t="s">
        <v>83</v>
      </c>
      <c r="E194" s="16" t="s">
        <v>32</v>
      </c>
      <c r="F194" s="38" t="s">
        <v>219</v>
      </c>
      <c r="G194" s="39" t="s">
        <v>40</v>
      </c>
      <c r="H194" s="584" t="s">
        <v>38</v>
      </c>
      <c r="I194" s="585" t="s">
        <v>39</v>
      </c>
      <c r="J194" s="16"/>
      <c r="K194" s="32">
        <f t="shared" si="31"/>
        <v>7000</v>
      </c>
      <c r="L194" s="32">
        <v>0</v>
      </c>
      <c r="M194" s="32">
        <v>7000</v>
      </c>
      <c r="N194" s="32">
        <v>7000</v>
      </c>
    </row>
    <row r="195" spans="1:14" s="128" customFormat="1" ht="36" x14ac:dyDescent="0.35">
      <c r="A195" s="17"/>
      <c r="B195" s="30" t="s">
        <v>293</v>
      </c>
      <c r="C195" s="31" t="s">
        <v>291</v>
      </c>
      <c r="D195" s="16" t="s">
        <v>83</v>
      </c>
      <c r="E195" s="16" t="s">
        <v>32</v>
      </c>
      <c r="F195" s="38" t="s">
        <v>219</v>
      </c>
      <c r="G195" s="39" t="s">
        <v>40</v>
      </c>
      <c r="H195" s="584" t="s">
        <v>34</v>
      </c>
      <c r="I195" s="585" t="s">
        <v>39</v>
      </c>
      <c r="J195" s="16"/>
      <c r="K195" s="32">
        <f>K196</f>
        <v>7000</v>
      </c>
      <c r="L195" s="32">
        <v>0</v>
      </c>
      <c r="M195" s="32">
        <v>7000</v>
      </c>
      <c r="N195" s="32">
        <v>7000</v>
      </c>
    </row>
    <row r="196" spans="1:14" s="128" customFormat="1" ht="36" x14ac:dyDescent="0.35">
      <c r="A196" s="17"/>
      <c r="B196" s="30" t="s">
        <v>252</v>
      </c>
      <c r="C196" s="31" t="s">
        <v>291</v>
      </c>
      <c r="D196" s="16" t="s">
        <v>83</v>
      </c>
      <c r="E196" s="16" t="s">
        <v>32</v>
      </c>
      <c r="F196" s="38" t="s">
        <v>219</v>
      </c>
      <c r="G196" s="39" t="s">
        <v>40</v>
      </c>
      <c r="H196" s="584" t="s">
        <v>34</v>
      </c>
      <c r="I196" s="585" t="s">
        <v>394</v>
      </c>
      <c r="J196" s="16"/>
      <c r="K196" s="32">
        <f t="shared" ref="K196:N196" si="32">K197</f>
        <v>7000</v>
      </c>
      <c r="L196" s="32">
        <v>0</v>
      </c>
      <c r="M196" s="32">
        <v>7000</v>
      </c>
      <c r="N196" s="32">
        <v>7000</v>
      </c>
    </row>
    <row r="197" spans="1:14" s="128" customFormat="1" ht="18" x14ac:dyDescent="0.35">
      <c r="A197" s="17"/>
      <c r="B197" s="30" t="s">
        <v>118</v>
      </c>
      <c r="C197" s="31" t="s">
        <v>291</v>
      </c>
      <c r="D197" s="16" t="s">
        <v>83</v>
      </c>
      <c r="E197" s="16" t="s">
        <v>32</v>
      </c>
      <c r="F197" s="38" t="s">
        <v>219</v>
      </c>
      <c r="G197" s="39" t="s">
        <v>40</v>
      </c>
      <c r="H197" s="584" t="s">
        <v>34</v>
      </c>
      <c r="I197" s="585" t="s">
        <v>394</v>
      </c>
      <c r="J197" s="16" t="s">
        <v>119</v>
      </c>
      <c r="K197" s="32">
        <v>7000</v>
      </c>
      <c r="L197" s="32">
        <v>0</v>
      </c>
      <c r="M197" s="32">
        <v>7000</v>
      </c>
      <c r="N197" s="32">
        <v>7000</v>
      </c>
    </row>
    <row r="198" spans="1:14" s="128" customFormat="1" ht="18" x14ac:dyDescent="0.35">
      <c r="A198" s="17"/>
      <c r="B198" s="30"/>
      <c r="C198" s="31"/>
      <c r="D198" s="16"/>
      <c r="E198" s="16"/>
      <c r="F198" s="38"/>
      <c r="G198" s="39"/>
      <c r="H198" s="584"/>
      <c r="I198" s="585"/>
      <c r="J198" s="16"/>
      <c r="K198" s="32"/>
      <c r="L198" s="32"/>
      <c r="M198" s="32"/>
      <c r="N198" s="32"/>
    </row>
    <row r="199" spans="1:14" s="129" customFormat="1" ht="52.2" x14ac:dyDescent="0.3">
      <c r="A199" s="122">
        <v>3</v>
      </c>
      <c r="B199" s="24" t="s">
        <v>30</v>
      </c>
      <c r="C199" s="25" t="s">
        <v>123</v>
      </c>
      <c r="D199" s="26"/>
      <c r="E199" s="26"/>
      <c r="F199" s="27"/>
      <c r="G199" s="28"/>
      <c r="H199" s="28"/>
      <c r="I199" s="29"/>
      <c r="J199" s="26"/>
      <c r="K199" s="46">
        <f t="shared" ref="K199:N202" si="33">K200</f>
        <v>4387.9000000000005</v>
      </c>
      <c r="L199" s="46">
        <v>0</v>
      </c>
      <c r="M199" s="46">
        <v>4387.9000000000005</v>
      </c>
      <c r="N199" s="46">
        <v>4388</v>
      </c>
    </row>
    <row r="200" spans="1:14" s="129" customFormat="1" ht="18" x14ac:dyDescent="0.35">
      <c r="A200" s="17"/>
      <c r="B200" s="30" t="s">
        <v>31</v>
      </c>
      <c r="C200" s="31" t="s">
        <v>123</v>
      </c>
      <c r="D200" s="16" t="s">
        <v>32</v>
      </c>
      <c r="E200" s="16"/>
      <c r="F200" s="583"/>
      <c r="G200" s="584"/>
      <c r="H200" s="584"/>
      <c r="I200" s="585"/>
      <c r="J200" s="16"/>
      <c r="K200" s="32">
        <f t="shared" si="33"/>
        <v>4387.9000000000005</v>
      </c>
      <c r="L200" s="32">
        <v>0</v>
      </c>
      <c r="M200" s="32">
        <v>4387.9000000000005</v>
      </c>
      <c r="N200" s="32">
        <v>4388</v>
      </c>
    </row>
    <row r="201" spans="1:14" s="129" customFormat="1" ht="54" x14ac:dyDescent="0.35">
      <c r="A201" s="17"/>
      <c r="B201" s="30" t="s">
        <v>124</v>
      </c>
      <c r="C201" s="31" t="s">
        <v>123</v>
      </c>
      <c r="D201" s="16" t="s">
        <v>32</v>
      </c>
      <c r="E201" s="16" t="s">
        <v>76</v>
      </c>
      <c r="F201" s="583"/>
      <c r="G201" s="584"/>
      <c r="H201" s="584"/>
      <c r="I201" s="585"/>
      <c r="J201" s="16"/>
      <c r="K201" s="32">
        <f t="shared" si="33"/>
        <v>4387.9000000000005</v>
      </c>
      <c r="L201" s="32">
        <v>0</v>
      </c>
      <c r="M201" s="32">
        <v>4387.9000000000005</v>
      </c>
      <c r="N201" s="32">
        <v>4388</v>
      </c>
    </row>
    <row r="202" spans="1:14" s="129" customFormat="1" ht="36" x14ac:dyDescent="0.35">
      <c r="A202" s="17"/>
      <c r="B202" s="33" t="s">
        <v>125</v>
      </c>
      <c r="C202" s="31" t="s">
        <v>123</v>
      </c>
      <c r="D202" s="16" t="s">
        <v>32</v>
      </c>
      <c r="E202" s="16" t="s">
        <v>76</v>
      </c>
      <c r="F202" s="583" t="s">
        <v>126</v>
      </c>
      <c r="G202" s="584" t="s">
        <v>37</v>
      </c>
      <c r="H202" s="584" t="s">
        <v>38</v>
      </c>
      <c r="I202" s="585" t="s">
        <v>39</v>
      </c>
      <c r="J202" s="16"/>
      <c r="K202" s="32">
        <f t="shared" si="33"/>
        <v>4387.9000000000005</v>
      </c>
      <c r="L202" s="32">
        <v>0</v>
      </c>
      <c r="M202" s="32">
        <v>4387.9000000000005</v>
      </c>
      <c r="N202" s="32">
        <v>4388</v>
      </c>
    </row>
    <row r="203" spans="1:14" s="129" customFormat="1" ht="34.5" customHeight="1" x14ac:dyDescent="0.35">
      <c r="A203" s="17"/>
      <c r="B203" s="33" t="s">
        <v>127</v>
      </c>
      <c r="C203" s="31" t="s">
        <v>123</v>
      </c>
      <c r="D203" s="16" t="s">
        <v>32</v>
      </c>
      <c r="E203" s="16" t="s">
        <v>76</v>
      </c>
      <c r="F203" s="583" t="s">
        <v>126</v>
      </c>
      <c r="G203" s="584" t="s">
        <v>40</v>
      </c>
      <c r="H203" s="584" t="s">
        <v>38</v>
      </c>
      <c r="I203" s="585" t="s">
        <v>39</v>
      </c>
      <c r="J203" s="16"/>
      <c r="K203" s="32">
        <f>K204</f>
        <v>4387.9000000000005</v>
      </c>
      <c r="L203" s="32">
        <v>0</v>
      </c>
      <c r="M203" s="32">
        <v>4387.9000000000005</v>
      </c>
      <c r="N203" s="32">
        <v>4388</v>
      </c>
    </row>
    <row r="204" spans="1:14" s="129" customFormat="1" ht="36" x14ac:dyDescent="0.35">
      <c r="A204" s="17"/>
      <c r="B204" s="30" t="s">
        <v>42</v>
      </c>
      <c r="C204" s="31" t="s">
        <v>123</v>
      </c>
      <c r="D204" s="16" t="s">
        <v>32</v>
      </c>
      <c r="E204" s="16" t="s">
        <v>76</v>
      </c>
      <c r="F204" s="583" t="s">
        <v>126</v>
      </c>
      <c r="G204" s="584" t="s">
        <v>40</v>
      </c>
      <c r="H204" s="584" t="s">
        <v>38</v>
      </c>
      <c r="I204" s="585" t="s">
        <v>43</v>
      </c>
      <c r="J204" s="16"/>
      <c r="K204" s="32">
        <f>K205+K206+K207</f>
        <v>4387.9000000000005</v>
      </c>
      <c r="L204" s="32">
        <v>0</v>
      </c>
      <c r="M204" s="32">
        <v>4387.9000000000005</v>
      </c>
      <c r="N204" s="32">
        <v>4388</v>
      </c>
    </row>
    <row r="205" spans="1:14" s="129" customFormat="1" ht="108" x14ac:dyDescent="0.35">
      <c r="A205" s="17"/>
      <c r="B205" s="30" t="s">
        <v>44</v>
      </c>
      <c r="C205" s="31" t="s">
        <v>123</v>
      </c>
      <c r="D205" s="16" t="s">
        <v>32</v>
      </c>
      <c r="E205" s="16" t="s">
        <v>76</v>
      </c>
      <c r="F205" s="583" t="s">
        <v>126</v>
      </c>
      <c r="G205" s="584" t="s">
        <v>40</v>
      </c>
      <c r="H205" s="584" t="s">
        <v>38</v>
      </c>
      <c r="I205" s="585" t="s">
        <v>43</v>
      </c>
      <c r="J205" s="16" t="s">
        <v>45</v>
      </c>
      <c r="K205" s="32">
        <v>4137.8</v>
      </c>
      <c r="L205" s="32">
        <v>0</v>
      </c>
      <c r="M205" s="32">
        <v>4137.8</v>
      </c>
      <c r="N205" s="32">
        <v>4137.8</v>
      </c>
    </row>
    <row r="206" spans="1:14" s="129" customFormat="1" ht="54" x14ac:dyDescent="0.35">
      <c r="A206" s="17"/>
      <c r="B206" s="30" t="s">
        <v>50</v>
      </c>
      <c r="C206" s="31" t="s">
        <v>123</v>
      </c>
      <c r="D206" s="16" t="s">
        <v>32</v>
      </c>
      <c r="E206" s="16" t="s">
        <v>76</v>
      </c>
      <c r="F206" s="583" t="s">
        <v>126</v>
      </c>
      <c r="G206" s="584" t="s">
        <v>40</v>
      </c>
      <c r="H206" s="584" t="s">
        <v>38</v>
      </c>
      <c r="I206" s="585" t="s">
        <v>43</v>
      </c>
      <c r="J206" s="16" t="s">
        <v>51</v>
      </c>
      <c r="K206" s="32">
        <v>240.1</v>
      </c>
      <c r="L206" s="32">
        <v>0</v>
      </c>
      <c r="M206" s="32">
        <v>240.1</v>
      </c>
      <c r="N206" s="32">
        <v>240.2</v>
      </c>
    </row>
    <row r="207" spans="1:14" s="129" customFormat="1" ht="18" x14ac:dyDescent="0.35">
      <c r="A207" s="17"/>
      <c r="B207" s="30" t="s">
        <v>52</v>
      </c>
      <c r="C207" s="31" t="s">
        <v>123</v>
      </c>
      <c r="D207" s="16" t="s">
        <v>32</v>
      </c>
      <c r="E207" s="16" t="s">
        <v>76</v>
      </c>
      <c r="F207" s="583" t="s">
        <v>126</v>
      </c>
      <c r="G207" s="584" t="s">
        <v>40</v>
      </c>
      <c r="H207" s="584" t="s">
        <v>38</v>
      </c>
      <c r="I207" s="585" t="s">
        <v>43</v>
      </c>
      <c r="J207" s="16" t="s">
        <v>53</v>
      </c>
      <c r="K207" s="32">
        <v>10</v>
      </c>
      <c r="L207" s="32">
        <v>0</v>
      </c>
      <c r="M207" s="32">
        <v>10</v>
      </c>
      <c r="N207" s="32">
        <v>10</v>
      </c>
    </row>
    <row r="208" spans="1:14" s="129" customFormat="1" ht="18" x14ac:dyDescent="0.35">
      <c r="A208" s="17"/>
      <c r="B208" s="30"/>
      <c r="C208" s="31"/>
      <c r="D208" s="16"/>
      <c r="E208" s="16"/>
      <c r="F208" s="583"/>
      <c r="G208" s="584"/>
      <c r="H208" s="584"/>
      <c r="I208" s="585"/>
      <c r="J208" s="16"/>
      <c r="K208" s="32"/>
      <c r="L208" s="32"/>
      <c r="M208" s="32"/>
      <c r="N208" s="32"/>
    </row>
    <row r="209" spans="1:14" s="138" customFormat="1" ht="52.2" x14ac:dyDescent="0.3">
      <c r="A209" s="130">
        <v>4</v>
      </c>
      <c r="B209" s="131" t="s">
        <v>5</v>
      </c>
      <c r="C209" s="132" t="s">
        <v>403</v>
      </c>
      <c r="D209" s="133"/>
      <c r="E209" s="133"/>
      <c r="F209" s="134"/>
      <c r="G209" s="135"/>
      <c r="H209" s="135"/>
      <c r="I209" s="136"/>
      <c r="J209" s="133"/>
      <c r="K209" s="137">
        <f>K210+K254+K241+K263</f>
        <v>75775.399999999994</v>
      </c>
      <c r="L209" s="137">
        <v>83274.2</v>
      </c>
      <c r="M209" s="137">
        <v>159049.59999999998</v>
      </c>
      <c r="N209" s="137">
        <v>74774.899999999994</v>
      </c>
    </row>
    <row r="210" spans="1:14" s="144" customFormat="1" ht="18" x14ac:dyDescent="0.35">
      <c r="A210" s="139"/>
      <c r="B210" s="113" t="s">
        <v>31</v>
      </c>
      <c r="C210" s="140" t="s">
        <v>403</v>
      </c>
      <c r="D210" s="141" t="s">
        <v>32</v>
      </c>
      <c r="E210" s="91"/>
      <c r="F210" s="142"/>
      <c r="G210" s="89"/>
      <c r="H210" s="89"/>
      <c r="I210" s="90"/>
      <c r="J210" s="91"/>
      <c r="K210" s="143">
        <f>K211</f>
        <v>25771.399999999998</v>
      </c>
      <c r="L210" s="143">
        <v>0</v>
      </c>
      <c r="M210" s="143">
        <v>25771.399999999998</v>
      </c>
      <c r="N210" s="143">
        <v>27507</v>
      </c>
    </row>
    <row r="211" spans="1:14" s="138" customFormat="1" ht="18" x14ac:dyDescent="0.35">
      <c r="A211" s="139"/>
      <c r="B211" s="113" t="s">
        <v>65</v>
      </c>
      <c r="C211" s="140" t="s">
        <v>403</v>
      </c>
      <c r="D211" s="141" t="s">
        <v>32</v>
      </c>
      <c r="E211" s="141" t="s">
        <v>66</v>
      </c>
      <c r="F211" s="142"/>
      <c r="G211" s="89"/>
      <c r="H211" s="89"/>
      <c r="I211" s="90"/>
      <c r="J211" s="91"/>
      <c r="K211" s="143">
        <f>K212+K235</f>
        <v>25771.399999999998</v>
      </c>
      <c r="L211" s="143">
        <v>0</v>
      </c>
      <c r="M211" s="143">
        <v>25771.399999999998</v>
      </c>
      <c r="N211" s="143">
        <v>27507</v>
      </c>
    </row>
    <row r="212" spans="1:14" s="144" customFormat="1" ht="54" customHeight="1" x14ac:dyDescent="0.35">
      <c r="A212" s="139"/>
      <c r="B212" s="113" t="s">
        <v>220</v>
      </c>
      <c r="C212" s="140" t="s">
        <v>403</v>
      </c>
      <c r="D212" s="141" t="s">
        <v>32</v>
      </c>
      <c r="E212" s="141" t="s">
        <v>66</v>
      </c>
      <c r="F212" s="101" t="s">
        <v>221</v>
      </c>
      <c r="G212" s="89" t="s">
        <v>37</v>
      </c>
      <c r="H212" s="89" t="s">
        <v>38</v>
      </c>
      <c r="I212" s="90" t="s">
        <v>39</v>
      </c>
      <c r="J212" s="91"/>
      <c r="K212" s="143">
        <f>K213+K217</f>
        <v>20561.899999999998</v>
      </c>
      <c r="L212" s="143">
        <v>0</v>
      </c>
      <c r="M212" s="143">
        <v>20561.899999999998</v>
      </c>
      <c r="N212" s="143">
        <v>22293.899999999998</v>
      </c>
    </row>
    <row r="213" spans="1:14" s="144" customFormat="1" ht="41.25" customHeight="1" x14ac:dyDescent="0.35">
      <c r="A213" s="139"/>
      <c r="B213" s="113" t="s">
        <v>222</v>
      </c>
      <c r="C213" s="140" t="s">
        <v>403</v>
      </c>
      <c r="D213" s="141" t="s">
        <v>32</v>
      </c>
      <c r="E213" s="141" t="s">
        <v>66</v>
      </c>
      <c r="F213" s="145" t="s">
        <v>221</v>
      </c>
      <c r="G213" s="146" t="s">
        <v>40</v>
      </c>
      <c r="H213" s="146" t="s">
        <v>38</v>
      </c>
      <c r="I213" s="147" t="s">
        <v>39</v>
      </c>
      <c r="J213" s="91"/>
      <c r="K213" s="143">
        <f t="shared" ref="K213:N215" si="34">K214</f>
        <v>0</v>
      </c>
      <c r="L213" s="143">
        <v>0</v>
      </c>
      <c r="M213" s="143">
        <v>0</v>
      </c>
      <c r="N213" s="143">
        <v>606.9</v>
      </c>
    </row>
    <row r="214" spans="1:14" s="138" customFormat="1" ht="36" x14ac:dyDescent="0.35">
      <c r="A214" s="139"/>
      <c r="B214" s="108" t="s">
        <v>327</v>
      </c>
      <c r="C214" s="140" t="s">
        <v>403</v>
      </c>
      <c r="D214" s="141" t="s">
        <v>32</v>
      </c>
      <c r="E214" s="141" t="s">
        <v>66</v>
      </c>
      <c r="F214" s="88" t="s">
        <v>221</v>
      </c>
      <c r="G214" s="89" t="s">
        <v>40</v>
      </c>
      <c r="H214" s="89" t="s">
        <v>34</v>
      </c>
      <c r="I214" s="90" t="s">
        <v>39</v>
      </c>
      <c r="J214" s="91"/>
      <c r="K214" s="143">
        <f>K215</f>
        <v>0</v>
      </c>
      <c r="L214" s="143">
        <v>0</v>
      </c>
      <c r="M214" s="143">
        <v>0</v>
      </c>
      <c r="N214" s="143">
        <v>606.9</v>
      </c>
    </row>
    <row r="215" spans="1:14" s="138" customFormat="1" ht="36" x14ac:dyDescent="0.35">
      <c r="A215" s="139"/>
      <c r="B215" s="108" t="s">
        <v>326</v>
      </c>
      <c r="C215" s="140" t="s">
        <v>403</v>
      </c>
      <c r="D215" s="141" t="s">
        <v>32</v>
      </c>
      <c r="E215" s="141" t="s">
        <v>66</v>
      </c>
      <c r="F215" s="88" t="s">
        <v>221</v>
      </c>
      <c r="G215" s="89" t="s">
        <v>40</v>
      </c>
      <c r="H215" s="89" t="s">
        <v>34</v>
      </c>
      <c r="I215" s="90" t="s">
        <v>325</v>
      </c>
      <c r="J215" s="91"/>
      <c r="K215" s="143">
        <f t="shared" si="34"/>
        <v>0</v>
      </c>
      <c r="L215" s="143">
        <v>0</v>
      </c>
      <c r="M215" s="143">
        <v>0</v>
      </c>
      <c r="N215" s="143">
        <v>606.9</v>
      </c>
    </row>
    <row r="216" spans="1:14" s="138" customFormat="1" ht="54" x14ac:dyDescent="0.35">
      <c r="A216" s="139"/>
      <c r="B216" s="108" t="s">
        <v>50</v>
      </c>
      <c r="C216" s="140" t="s">
        <v>403</v>
      </c>
      <c r="D216" s="141" t="s">
        <v>32</v>
      </c>
      <c r="E216" s="141" t="s">
        <v>66</v>
      </c>
      <c r="F216" s="88" t="s">
        <v>221</v>
      </c>
      <c r="G216" s="89" t="s">
        <v>40</v>
      </c>
      <c r="H216" s="89" t="s">
        <v>34</v>
      </c>
      <c r="I216" s="90" t="s">
        <v>325</v>
      </c>
      <c r="J216" s="91" t="s">
        <v>51</v>
      </c>
      <c r="K216" s="143">
        <v>0</v>
      </c>
      <c r="L216" s="32">
        <v>0</v>
      </c>
      <c r="M216" s="143">
        <v>0</v>
      </c>
      <c r="N216" s="143">
        <v>606.9</v>
      </c>
    </row>
    <row r="217" spans="1:14" s="138" customFormat="1" ht="36" x14ac:dyDescent="0.35">
      <c r="A217" s="139"/>
      <c r="B217" s="113" t="s">
        <v>224</v>
      </c>
      <c r="C217" s="140" t="s">
        <v>403</v>
      </c>
      <c r="D217" s="141" t="s">
        <v>32</v>
      </c>
      <c r="E217" s="141" t="s">
        <v>66</v>
      </c>
      <c r="F217" s="101" t="s">
        <v>221</v>
      </c>
      <c r="G217" s="89" t="s">
        <v>84</v>
      </c>
      <c r="H217" s="89" t="s">
        <v>38</v>
      </c>
      <c r="I217" s="90" t="s">
        <v>39</v>
      </c>
      <c r="J217" s="91"/>
      <c r="K217" s="143">
        <f>K218+K229+K232</f>
        <v>20561.899999999998</v>
      </c>
      <c r="L217" s="143">
        <v>0</v>
      </c>
      <c r="M217" s="143">
        <v>20561.899999999998</v>
      </c>
      <c r="N217" s="143">
        <v>21686.999999999996</v>
      </c>
    </row>
    <row r="218" spans="1:14" s="144" customFormat="1" ht="77.25" customHeight="1" x14ac:dyDescent="0.35">
      <c r="A218" s="139"/>
      <c r="B218" s="113" t="s">
        <v>290</v>
      </c>
      <c r="C218" s="140" t="s">
        <v>403</v>
      </c>
      <c r="D218" s="141" t="s">
        <v>32</v>
      </c>
      <c r="E218" s="141" t="s">
        <v>66</v>
      </c>
      <c r="F218" s="101" t="s">
        <v>221</v>
      </c>
      <c r="G218" s="89" t="s">
        <v>84</v>
      </c>
      <c r="H218" s="89" t="s">
        <v>32</v>
      </c>
      <c r="I218" s="90" t="s">
        <v>39</v>
      </c>
      <c r="J218" s="91"/>
      <c r="K218" s="143">
        <f>K219+K223+K227</f>
        <v>20547.099999999999</v>
      </c>
      <c r="L218" s="143">
        <v>0</v>
      </c>
      <c r="M218" s="143">
        <v>20547.099999999999</v>
      </c>
      <c r="N218" s="143">
        <v>20994.6</v>
      </c>
    </row>
    <row r="219" spans="1:14" s="138" customFormat="1" ht="36" x14ac:dyDescent="0.35">
      <c r="A219" s="139"/>
      <c r="B219" s="113" t="s">
        <v>42</v>
      </c>
      <c r="C219" s="140" t="s">
        <v>403</v>
      </c>
      <c r="D219" s="141" t="s">
        <v>32</v>
      </c>
      <c r="E219" s="141" t="s">
        <v>66</v>
      </c>
      <c r="F219" s="148" t="s">
        <v>221</v>
      </c>
      <c r="G219" s="146" t="s">
        <v>84</v>
      </c>
      <c r="H219" s="146" t="s">
        <v>32</v>
      </c>
      <c r="I219" s="147" t="s">
        <v>43</v>
      </c>
      <c r="J219" s="91"/>
      <c r="K219" s="143">
        <f>K220+K221+K222</f>
        <v>13047</v>
      </c>
      <c r="L219" s="143">
        <v>0</v>
      </c>
      <c r="M219" s="143">
        <v>13047</v>
      </c>
      <c r="N219" s="143">
        <v>13269.7</v>
      </c>
    </row>
    <row r="220" spans="1:14" s="144" customFormat="1" ht="108" x14ac:dyDescent="0.35">
      <c r="A220" s="139"/>
      <c r="B220" s="30" t="s">
        <v>44</v>
      </c>
      <c r="C220" s="140" t="s">
        <v>403</v>
      </c>
      <c r="D220" s="141" t="s">
        <v>32</v>
      </c>
      <c r="E220" s="141" t="s">
        <v>66</v>
      </c>
      <c r="F220" s="101" t="s">
        <v>221</v>
      </c>
      <c r="G220" s="89" t="s">
        <v>84</v>
      </c>
      <c r="H220" s="89" t="s">
        <v>32</v>
      </c>
      <c r="I220" s="90" t="s">
        <v>43</v>
      </c>
      <c r="J220" s="91" t="s">
        <v>45</v>
      </c>
      <c r="K220" s="143">
        <v>12941.5</v>
      </c>
      <c r="L220" s="32">
        <v>0</v>
      </c>
      <c r="M220" s="143">
        <v>12941.5</v>
      </c>
      <c r="N220" s="143">
        <v>12941.5</v>
      </c>
    </row>
    <row r="221" spans="1:14" s="144" customFormat="1" ht="54" x14ac:dyDescent="0.35">
      <c r="A221" s="139"/>
      <c r="B221" s="108" t="s">
        <v>50</v>
      </c>
      <c r="C221" s="140" t="s">
        <v>403</v>
      </c>
      <c r="D221" s="141" t="s">
        <v>32</v>
      </c>
      <c r="E221" s="141" t="s">
        <v>66</v>
      </c>
      <c r="F221" s="101" t="s">
        <v>221</v>
      </c>
      <c r="G221" s="89" t="s">
        <v>84</v>
      </c>
      <c r="H221" s="89" t="s">
        <v>32</v>
      </c>
      <c r="I221" s="90" t="s">
        <v>43</v>
      </c>
      <c r="J221" s="91" t="s">
        <v>51</v>
      </c>
      <c r="K221" s="143">
        <v>104.3</v>
      </c>
      <c r="L221" s="32">
        <v>0</v>
      </c>
      <c r="M221" s="143">
        <v>104.3</v>
      </c>
      <c r="N221" s="143">
        <v>327</v>
      </c>
    </row>
    <row r="222" spans="1:14" s="144" customFormat="1" ht="18" x14ac:dyDescent="0.35">
      <c r="A222" s="139"/>
      <c r="B222" s="113" t="s">
        <v>52</v>
      </c>
      <c r="C222" s="140" t="s">
        <v>403</v>
      </c>
      <c r="D222" s="141" t="s">
        <v>32</v>
      </c>
      <c r="E222" s="141" t="s">
        <v>66</v>
      </c>
      <c r="F222" s="101" t="s">
        <v>221</v>
      </c>
      <c r="G222" s="89" t="s">
        <v>84</v>
      </c>
      <c r="H222" s="89" t="s">
        <v>32</v>
      </c>
      <c r="I222" s="90" t="s">
        <v>43</v>
      </c>
      <c r="J222" s="91" t="s">
        <v>53</v>
      </c>
      <c r="K222" s="143">
        <v>1.2</v>
      </c>
      <c r="L222" s="32">
        <v>0</v>
      </c>
      <c r="M222" s="143">
        <v>1.2</v>
      </c>
      <c r="N222" s="143">
        <v>1.2</v>
      </c>
    </row>
    <row r="223" spans="1:14" s="144" customFormat="1" ht="40.5" customHeight="1" x14ac:dyDescent="0.35">
      <c r="A223" s="139"/>
      <c r="B223" s="85" t="s">
        <v>437</v>
      </c>
      <c r="C223" s="140" t="s">
        <v>403</v>
      </c>
      <c r="D223" s="141" t="s">
        <v>32</v>
      </c>
      <c r="E223" s="141" t="s">
        <v>66</v>
      </c>
      <c r="F223" s="101" t="s">
        <v>221</v>
      </c>
      <c r="G223" s="89" t="s">
        <v>84</v>
      </c>
      <c r="H223" s="89" t="s">
        <v>32</v>
      </c>
      <c r="I223" s="90" t="s">
        <v>86</v>
      </c>
      <c r="J223" s="91"/>
      <c r="K223" s="143">
        <f>K224+K225+K226</f>
        <v>7431.0999999999995</v>
      </c>
      <c r="L223" s="143">
        <v>0</v>
      </c>
      <c r="M223" s="143">
        <v>7431.0999999999995</v>
      </c>
      <c r="N223" s="143">
        <v>7655.9</v>
      </c>
    </row>
    <row r="224" spans="1:14" s="144" customFormat="1" ht="108" x14ac:dyDescent="0.35">
      <c r="A224" s="139"/>
      <c r="B224" s="30" t="s">
        <v>44</v>
      </c>
      <c r="C224" s="140" t="s">
        <v>403</v>
      </c>
      <c r="D224" s="141" t="s">
        <v>32</v>
      </c>
      <c r="E224" s="141" t="s">
        <v>66</v>
      </c>
      <c r="F224" s="101" t="s">
        <v>221</v>
      </c>
      <c r="G224" s="89" t="s">
        <v>84</v>
      </c>
      <c r="H224" s="89" t="s">
        <v>32</v>
      </c>
      <c r="I224" s="90" t="s">
        <v>86</v>
      </c>
      <c r="J224" s="91" t="s">
        <v>45</v>
      </c>
      <c r="K224" s="143">
        <f>7298.3+14.4</f>
        <v>7312.7</v>
      </c>
      <c r="L224" s="32">
        <v>0</v>
      </c>
      <c r="M224" s="143">
        <v>7312.7</v>
      </c>
      <c r="N224" s="143">
        <v>7312.7</v>
      </c>
    </row>
    <row r="225" spans="1:14" s="144" customFormat="1" ht="54" x14ac:dyDescent="0.35">
      <c r="A225" s="139"/>
      <c r="B225" s="108" t="s">
        <v>50</v>
      </c>
      <c r="C225" s="140" t="s">
        <v>403</v>
      </c>
      <c r="D225" s="141" t="s">
        <v>32</v>
      </c>
      <c r="E225" s="141" t="s">
        <v>66</v>
      </c>
      <c r="F225" s="148" t="s">
        <v>221</v>
      </c>
      <c r="G225" s="146" t="s">
        <v>84</v>
      </c>
      <c r="H225" s="146" t="s">
        <v>32</v>
      </c>
      <c r="I225" s="147" t="s">
        <v>86</v>
      </c>
      <c r="J225" s="91" t="s">
        <v>51</v>
      </c>
      <c r="K225" s="143">
        <v>98.9</v>
      </c>
      <c r="L225" s="32">
        <v>0</v>
      </c>
      <c r="M225" s="143">
        <v>98.9</v>
      </c>
      <c r="N225" s="143">
        <v>324.5</v>
      </c>
    </row>
    <row r="226" spans="1:14" s="144" customFormat="1" ht="18" x14ac:dyDescent="0.35">
      <c r="A226" s="139"/>
      <c r="B226" s="113" t="s">
        <v>52</v>
      </c>
      <c r="C226" s="140" t="s">
        <v>403</v>
      </c>
      <c r="D226" s="141" t="s">
        <v>32</v>
      </c>
      <c r="E226" s="141" t="s">
        <v>66</v>
      </c>
      <c r="F226" s="101" t="s">
        <v>221</v>
      </c>
      <c r="G226" s="89" t="s">
        <v>84</v>
      </c>
      <c r="H226" s="89" t="s">
        <v>32</v>
      </c>
      <c r="I226" s="90" t="s">
        <v>86</v>
      </c>
      <c r="J226" s="91" t="s">
        <v>53</v>
      </c>
      <c r="K226" s="143">
        <v>19.5</v>
      </c>
      <c r="L226" s="32">
        <v>0</v>
      </c>
      <c r="M226" s="143">
        <v>19.5</v>
      </c>
      <c r="N226" s="143">
        <v>18.7</v>
      </c>
    </row>
    <row r="227" spans="1:14" s="144" customFormat="1" ht="54" x14ac:dyDescent="0.35">
      <c r="A227" s="139"/>
      <c r="B227" s="108" t="s">
        <v>343</v>
      </c>
      <c r="C227" s="140" t="s">
        <v>403</v>
      </c>
      <c r="D227" s="141" t="s">
        <v>32</v>
      </c>
      <c r="E227" s="141" t="s">
        <v>66</v>
      </c>
      <c r="F227" s="101" t="s">
        <v>221</v>
      </c>
      <c r="G227" s="89" t="s">
        <v>84</v>
      </c>
      <c r="H227" s="89" t="s">
        <v>32</v>
      </c>
      <c r="I227" s="90" t="s">
        <v>342</v>
      </c>
      <c r="J227" s="91"/>
      <c r="K227" s="143">
        <f>K228</f>
        <v>69</v>
      </c>
      <c r="L227" s="143">
        <v>0</v>
      </c>
      <c r="M227" s="143">
        <v>69</v>
      </c>
      <c r="N227" s="143">
        <v>69</v>
      </c>
    </row>
    <row r="228" spans="1:14" s="144" customFormat="1" ht="54" x14ac:dyDescent="0.35">
      <c r="A228" s="139"/>
      <c r="B228" s="108" t="s">
        <v>50</v>
      </c>
      <c r="C228" s="140" t="s">
        <v>403</v>
      </c>
      <c r="D228" s="141" t="s">
        <v>32</v>
      </c>
      <c r="E228" s="141" t="s">
        <v>66</v>
      </c>
      <c r="F228" s="101" t="s">
        <v>221</v>
      </c>
      <c r="G228" s="89" t="s">
        <v>84</v>
      </c>
      <c r="H228" s="89" t="s">
        <v>32</v>
      </c>
      <c r="I228" s="179" t="s">
        <v>342</v>
      </c>
      <c r="J228" s="91" t="s">
        <v>51</v>
      </c>
      <c r="K228" s="143">
        <v>69</v>
      </c>
      <c r="L228" s="32">
        <v>0</v>
      </c>
      <c r="M228" s="143">
        <v>69</v>
      </c>
      <c r="N228" s="143">
        <v>69</v>
      </c>
    </row>
    <row r="229" spans="1:14" s="144" customFormat="1" ht="36" x14ac:dyDescent="0.35">
      <c r="A229" s="139"/>
      <c r="B229" s="181" t="s">
        <v>340</v>
      </c>
      <c r="C229" s="182" t="s">
        <v>403</v>
      </c>
      <c r="D229" s="183" t="s">
        <v>32</v>
      </c>
      <c r="E229" s="183" t="s">
        <v>66</v>
      </c>
      <c r="F229" s="101" t="s">
        <v>221</v>
      </c>
      <c r="G229" s="102" t="s">
        <v>84</v>
      </c>
      <c r="H229" s="102" t="s">
        <v>34</v>
      </c>
      <c r="I229" s="103" t="s">
        <v>39</v>
      </c>
      <c r="J229" s="104"/>
      <c r="K229" s="143">
        <f t="shared" ref="K229:N230" si="35">K230</f>
        <v>0</v>
      </c>
      <c r="L229" s="143">
        <v>0</v>
      </c>
      <c r="M229" s="143">
        <v>0</v>
      </c>
      <c r="N229" s="143">
        <v>677.6</v>
      </c>
    </row>
    <row r="230" spans="1:14" s="144" customFormat="1" ht="58.5" customHeight="1" x14ac:dyDescent="0.35">
      <c r="A230" s="139"/>
      <c r="B230" s="188" t="s">
        <v>341</v>
      </c>
      <c r="C230" s="140" t="s">
        <v>403</v>
      </c>
      <c r="D230" s="141" t="s">
        <v>32</v>
      </c>
      <c r="E230" s="141" t="s">
        <v>66</v>
      </c>
      <c r="F230" s="150" t="s">
        <v>221</v>
      </c>
      <c r="G230" s="102" t="s">
        <v>84</v>
      </c>
      <c r="H230" s="102" t="s">
        <v>34</v>
      </c>
      <c r="I230" s="103" t="s">
        <v>100</v>
      </c>
      <c r="J230" s="105"/>
      <c r="K230" s="143">
        <f t="shared" si="35"/>
        <v>0</v>
      </c>
      <c r="L230" s="143">
        <v>0</v>
      </c>
      <c r="M230" s="143">
        <v>0</v>
      </c>
      <c r="N230" s="143">
        <v>677.6</v>
      </c>
    </row>
    <row r="231" spans="1:14" s="144" customFormat="1" ht="54" x14ac:dyDescent="0.35">
      <c r="A231" s="139"/>
      <c r="B231" s="190" t="s">
        <v>50</v>
      </c>
      <c r="C231" s="140" t="s">
        <v>403</v>
      </c>
      <c r="D231" s="141" t="s">
        <v>32</v>
      </c>
      <c r="E231" s="141" t="s">
        <v>66</v>
      </c>
      <c r="F231" s="150" t="s">
        <v>221</v>
      </c>
      <c r="G231" s="107" t="s">
        <v>84</v>
      </c>
      <c r="H231" s="107" t="s">
        <v>34</v>
      </c>
      <c r="I231" s="191" t="s">
        <v>100</v>
      </c>
      <c r="J231" s="192" t="s">
        <v>51</v>
      </c>
      <c r="K231" s="143">
        <v>0</v>
      </c>
      <c r="L231" s="32">
        <v>0</v>
      </c>
      <c r="M231" s="143">
        <v>0</v>
      </c>
      <c r="N231" s="143">
        <v>677.6</v>
      </c>
    </row>
    <row r="232" spans="1:14" s="144" customFormat="1" ht="36" x14ac:dyDescent="0.35">
      <c r="A232" s="139"/>
      <c r="B232" s="193" t="s">
        <v>363</v>
      </c>
      <c r="C232" s="140" t="s">
        <v>403</v>
      </c>
      <c r="D232" s="141" t="s">
        <v>32</v>
      </c>
      <c r="E232" s="141" t="s">
        <v>66</v>
      </c>
      <c r="F232" s="150" t="s">
        <v>221</v>
      </c>
      <c r="G232" s="102" t="s">
        <v>84</v>
      </c>
      <c r="H232" s="102" t="s">
        <v>58</v>
      </c>
      <c r="I232" s="103" t="s">
        <v>39</v>
      </c>
      <c r="J232" s="105"/>
      <c r="K232" s="143">
        <f t="shared" ref="K232:N233" si="36">K233</f>
        <v>14.8</v>
      </c>
      <c r="L232" s="143">
        <v>0</v>
      </c>
      <c r="M232" s="143">
        <v>14.8</v>
      </c>
      <c r="N232" s="143">
        <v>14.8</v>
      </c>
    </row>
    <row r="233" spans="1:14" s="144" customFormat="1" ht="36" x14ac:dyDescent="0.35">
      <c r="A233" s="139"/>
      <c r="B233" s="193" t="s">
        <v>326</v>
      </c>
      <c r="C233" s="140" t="s">
        <v>403</v>
      </c>
      <c r="D233" s="141" t="s">
        <v>32</v>
      </c>
      <c r="E233" s="141" t="s">
        <v>66</v>
      </c>
      <c r="F233" s="106" t="s">
        <v>221</v>
      </c>
      <c r="G233" s="107" t="s">
        <v>84</v>
      </c>
      <c r="H233" s="107" t="s">
        <v>58</v>
      </c>
      <c r="I233" s="191" t="s">
        <v>325</v>
      </c>
      <c r="J233" s="105"/>
      <c r="K233" s="143">
        <f t="shared" si="36"/>
        <v>14.8</v>
      </c>
      <c r="L233" s="143">
        <v>0</v>
      </c>
      <c r="M233" s="143">
        <v>14.8</v>
      </c>
      <c r="N233" s="143">
        <v>14.8</v>
      </c>
    </row>
    <row r="234" spans="1:14" s="144" customFormat="1" ht="18" x14ac:dyDescent="0.35">
      <c r="A234" s="139"/>
      <c r="B234" s="113" t="s">
        <v>52</v>
      </c>
      <c r="C234" s="195" t="s">
        <v>403</v>
      </c>
      <c r="D234" s="141" t="s">
        <v>32</v>
      </c>
      <c r="E234" s="141" t="s">
        <v>66</v>
      </c>
      <c r="F234" s="101" t="s">
        <v>221</v>
      </c>
      <c r="G234" s="102" t="s">
        <v>84</v>
      </c>
      <c r="H234" s="102" t="s">
        <v>58</v>
      </c>
      <c r="I234" s="103" t="s">
        <v>325</v>
      </c>
      <c r="J234" s="105" t="s">
        <v>53</v>
      </c>
      <c r="K234" s="143">
        <v>14.8</v>
      </c>
      <c r="L234" s="32">
        <v>0</v>
      </c>
      <c r="M234" s="143">
        <v>14.8</v>
      </c>
      <c r="N234" s="143">
        <v>14.8</v>
      </c>
    </row>
    <row r="235" spans="1:14" s="144" customFormat="1" ht="56.25" customHeight="1" x14ac:dyDescent="0.35">
      <c r="A235" s="139"/>
      <c r="B235" s="149" t="s">
        <v>35</v>
      </c>
      <c r="C235" s="140" t="s">
        <v>403</v>
      </c>
      <c r="D235" s="141" t="s">
        <v>32</v>
      </c>
      <c r="E235" s="141" t="s">
        <v>66</v>
      </c>
      <c r="F235" s="150" t="s">
        <v>36</v>
      </c>
      <c r="G235" s="89" t="s">
        <v>37</v>
      </c>
      <c r="H235" s="89" t="s">
        <v>38</v>
      </c>
      <c r="I235" s="90" t="s">
        <v>39</v>
      </c>
      <c r="J235" s="91"/>
      <c r="K235" s="143">
        <f t="shared" ref="K235:N237" si="37">K236</f>
        <v>5209.5</v>
      </c>
      <c r="L235" s="143">
        <v>0</v>
      </c>
      <c r="M235" s="143">
        <v>5209.5</v>
      </c>
      <c r="N235" s="143">
        <v>5213.1000000000004</v>
      </c>
    </row>
    <row r="236" spans="1:14" s="144" customFormat="1" ht="36" x14ac:dyDescent="0.35">
      <c r="A236" s="139"/>
      <c r="B236" s="108" t="s">
        <v>328</v>
      </c>
      <c r="C236" s="140" t="s">
        <v>403</v>
      </c>
      <c r="D236" s="141" t="s">
        <v>32</v>
      </c>
      <c r="E236" s="141" t="s">
        <v>66</v>
      </c>
      <c r="F236" s="101" t="s">
        <v>36</v>
      </c>
      <c r="G236" s="89" t="s">
        <v>40</v>
      </c>
      <c r="H236" s="89" t="s">
        <v>38</v>
      </c>
      <c r="I236" s="90" t="s">
        <v>39</v>
      </c>
      <c r="J236" s="91"/>
      <c r="K236" s="143">
        <f t="shared" si="37"/>
        <v>5209.5</v>
      </c>
      <c r="L236" s="143">
        <v>0</v>
      </c>
      <c r="M236" s="143">
        <v>5209.5</v>
      </c>
      <c r="N236" s="143">
        <v>5213.1000000000004</v>
      </c>
    </row>
    <row r="237" spans="1:14" s="144" customFormat="1" ht="72" x14ac:dyDescent="0.35">
      <c r="A237" s="139"/>
      <c r="B237" s="113" t="s">
        <v>288</v>
      </c>
      <c r="C237" s="140" t="s">
        <v>403</v>
      </c>
      <c r="D237" s="141" t="s">
        <v>32</v>
      </c>
      <c r="E237" s="141" t="s">
        <v>66</v>
      </c>
      <c r="F237" s="101" t="s">
        <v>36</v>
      </c>
      <c r="G237" s="89" t="s">
        <v>40</v>
      </c>
      <c r="H237" s="89" t="s">
        <v>76</v>
      </c>
      <c r="I237" s="90" t="s">
        <v>39</v>
      </c>
      <c r="J237" s="91"/>
      <c r="K237" s="143">
        <f t="shared" si="37"/>
        <v>5209.5</v>
      </c>
      <c r="L237" s="143">
        <v>0</v>
      </c>
      <c r="M237" s="143">
        <v>5209.5</v>
      </c>
      <c r="N237" s="143">
        <v>5213.1000000000004</v>
      </c>
    </row>
    <row r="238" spans="1:14" s="144" customFormat="1" ht="42.75" customHeight="1" x14ac:dyDescent="0.35">
      <c r="A238" s="139"/>
      <c r="B238" s="85" t="s">
        <v>437</v>
      </c>
      <c r="C238" s="140" t="s">
        <v>403</v>
      </c>
      <c r="D238" s="141" t="s">
        <v>32</v>
      </c>
      <c r="E238" s="141" t="s">
        <v>66</v>
      </c>
      <c r="F238" s="101" t="s">
        <v>36</v>
      </c>
      <c r="G238" s="89" t="s">
        <v>40</v>
      </c>
      <c r="H238" s="89" t="s">
        <v>76</v>
      </c>
      <c r="I238" s="90" t="s">
        <v>86</v>
      </c>
      <c r="J238" s="91"/>
      <c r="K238" s="143">
        <f>K239+K240</f>
        <v>5209.5</v>
      </c>
      <c r="L238" s="143">
        <v>0</v>
      </c>
      <c r="M238" s="143">
        <v>5209.5</v>
      </c>
      <c r="N238" s="143">
        <v>5213.1000000000004</v>
      </c>
    </row>
    <row r="239" spans="1:14" s="144" customFormat="1" ht="108" x14ac:dyDescent="0.35">
      <c r="A239" s="139"/>
      <c r="B239" s="30" t="s">
        <v>44</v>
      </c>
      <c r="C239" s="140" t="s">
        <v>403</v>
      </c>
      <c r="D239" s="141" t="s">
        <v>32</v>
      </c>
      <c r="E239" s="141" t="s">
        <v>66</v>
      </c>
      <c r="F239" s="101" t="s">
        <v>36</v>
      </c>
      <c r="G239" s="89" t="s">
        <v>40</v>
      </c>
      <c r="H239" s="89" t="s">
        <v>76</v>
      </c>
      <c r="I239" s="90" t="s">
        <v>86</v>
      </c>
      <c r="J239" s="91" t="s">
        <v>45</v>
      </c>
      <c r="K239" s="143">
        <v>4729.8</v>
      </c>
      <c r="L239" s="32">
        <v>0</v>
      </c>
      <c r="M239" s="143">
        <v>4729.8</v>
      </c>
      <c r="N239" s="143">
        <v>4729.8</v>
      </c>
    </row>
    <row r="240" spans="1:14" s="144" customFormat="1" ht="54" x14ac:dyDescent="0.35">
      <c r="A240" s="139"/>
      <c r="B240" s="108" t="s">
        <v>50</v>
      </c>
      <c r="C240" s="140" t="s">
        <v>403</v>
      </c>
      <c r="D240" s="141" t="s">
        <v>32</v>
      </c>
      <c r="E240" s="141" t="s">
        <v>66</v>
      </c>
      <c r="F240" s="101" t="s">
        <v>36</v>
      </c>
      <c r="G240" s="89" t="s">
        <v>40</v>
      </c>
      <c r="H240" s="89" t="s">
        <v>76</v>
      </c>
      <c r="I240" s="90" t="s">
        <v>86</v>
      </c>
      <c r="J240" s="91" t="s">
        <v>51</v>
      </c>
      <c r="K240" s="143">
        <v>479.7</v>
      </c>
      <c r="L240" s="32">
        <v>0</v>
      </c>
      <c r="M240" s="143">
        <v>479.7</v>
      </c>
      <c r="N240" s="143">
        <v>483.3</v>
      </c>
    </row>
    <row r="241" spans="1:14" s="144" customFormat="1" ht="18" x14ac:dyDescent="0.35">
      <c r="A241" s="139"/>
      <c r="B241" s="87" t="s">
        <v>174</v>
      </c>
      <c r="C241" s="140" t="s">
        <v>403</v>
      </c>
      <c r="D241" s="141" t="s">
        <v>219</v>
      </c>
      <c r="E241" s="141"/>
      <c r="F241" s="88"/>
      <c r="G241" s="89"/>
      <c r="H241" s="89"/>
      <c r="I241" s="114"/>
      <c r="J241" s="91"/>
      <c r="K241" s="32">
        <f>K242+K248</f>
        <v>2606.4</v>
      </c>
      <c r="L241" s="32">
        <v>73149.599999999991</v>
      </c>
      <c r="M241" s="32">
        <v>75756</v>
      </c>
      <c r="N241" s="32">
        <v>0</v>
      </c>
    </row>
    <row r="242" spans="1:14" s="144" customFormat="1" ht="18" x14ac:dyDescent="0.35">
      <c r="A242" s="139"/>
      <c r="B242" s="87" t="s">
        <v>176</v>
      </c>
      <c r="C242" s="140" t="s">
        <v>403</v>
      </c>
      <c r="D242" s="141" t="s">
        <v>219</v>
      </c>
      <c r="E242" s="141" t="s">
        <v>32</v>
      </c>
      <c r="F242" s="88"/>
      <c r="G242" s="89"/>
      <c r="H242" s="89"/>
      <c r="I242" s="90"/>
      <c r="J242" s="91"/>
      <c r="K242" s="308">
        <f t="shared" ref="K242:N244" si="38">K243</f>
        <v>1473.5</v>
      </c>
      <c r="L242" s="308">
        <v>52074.899999999994</v>
      </c>
      <c r="M242" s="308">
        <v>53548.399999999994</v>
      </c>
      <c r="N242" s="143">
        <v>0</v>
      </c>
    </row>
    <row r="243" spans="1:14" s="144" customFormat="1" ht="54" x14ac:dyDescent="0.35">
      <c r="A243" s="139"/>
      <c r="B243" s="87" t="s">
        <v>415</v>
      </c>
      <c r="C243" s="140" t="s">
        <v>403</v>
      </c>
      <c r="D243" s="141" t="s">
        <v>219</v>
      </c>
      <c r="E243" s="141" t="s">
        <v>32</v>
      </c>
      <c r="F243" s="88" t="s">
        <v>34</v>
      </c>
      <c r="G243" s="89" t="s">
        <v>37</v>
      </c>
      <c r="H243" s="89" t="s">
        <v>38</v>
      </c>
      <c r="I243" s="90" t="s">
        <v>39</v>
      </c>
      <c r="J243" s="91"/>
      <c r="K243" s="308">
        <f t="shared" si="38"/>
        <v>1473.5</v>
      </c>
      <c r="L243" s="308">
        <v>52074.899999999994</v>
      </c>
      <c r="M243" s="308">
        <v>53548.399999999994</v>
      </c>
      <c r="N243" s="143">
        <v>0</v>
      </c>
    </row>
    <row r="244" spans="1:14" s="144" customFormat="1" ht="36" x14ac:dyDescent="0.35">
      <c r="A244" s="139"/>
      <c r="B244" s="87" t="s">
        <v>201</v>
      </c>
      <c r="C244" s="140" t="s">
        <v>403</v>
      </c>
      <c r="D244" s="141" t="s">
        <v>219</v>
      </c>
      <c r="E244" s="141" t="s">
        <v>32</v>
      </c>
      <c r="F244" s="88" t="s">
        <v>34</v>
      </c>
      <c r="G244" s="89" t="s">
        <v>40</v>
      </c>
      <c r="H244" s="89" t="s">
        <v>38</v>
      </c>
      <c r="I244" s="90" t="s">
        <v>39</v>
      </c>
      <c r="J244" s="91"/>
      <c r="K244" s="308">
        <f t="shared" si="38"/>
        <v>1473.5</v>
      </c>
      <c r="L244" s="308">
        <v>52074.899999999994</v>
      </c>
      <c r="M244" s="308">
        <v>53548.399999999994</v>
      </c>
      <c r="N244" s="143">
        <v>0</v>
      </c>
    </row>
    <row r="245" spans="1:14" s="144" customFormat="1" ht="36" x14ac:dyDescent="0.35">
      <c r="A245" s="139"/>
      <c r="B245" s="87" t="s">
        <v>255</v>
      </c>
      <c r="C245" s="140" t="s">
        <v>403</v>
      </c>
      <c r="D245" s="141" t="s">
        <v>219</v>
      </c>
      <c r="E245" s="141" t="s">
        <v>32</v>
      </c>
      <c r="F245" s="88" t="s">
        <v>34</v>
      </c>
      <c r="G245" s="89" t="s">
        <v>40</v>
      </c>
      <c r="H245" s="89" t="s">
        <v>32</v>
      </c>
      <c r="I245" s="114" t="s">
        <v>39</v>
      </c>
      <c r="J245" s="91"/>
      <c r="K245" s="308">
        <f t="shared" ref="K245:N246" si="39">K246</f>
        <v>1473.5</v>
      </c>
      <c r="L245" s="308">
        <v>52074.899999999994</v>
      </c>
      <c r="M245" s="308">
        <v>53548.399999999994</v>
      </c>
      <c r="N245" s="308">
        <v>0</v>
      </c>
    </row>
    <row r="246" spans="1:14" s="144" customFormat="1" ht="36" x14ac:dyDescent="0.35">
      <c r="A246" s="139"/>
      <c r="B246" s="30" t="s">
        <v>203</v>
      </c>
      <c r="C246" s="140" t="s">
        <v>403</v>
      </c>
      <c r="D246" s="141" t="s">
        <v>219</v>
      </c>
      <c r="E246" s="141" t="s">
        <v>32</v>
      </c>
      <c r="F246" s="88" t="s">
        <v>34</v>
      </c>
      <c r="G246" s="89" t="s">
        <v>40</v>
      </c>
      <c r="H246" s="89" t="s">
        <v>32</v>
      </c>
      <c r="I246" s="114" t="s">
        <v>262</v>
      </c>
      <c r="J246" s="91"/>
      <c r="K246" s="308">
        <f t="shared" si="39"/>
        <v>1473.5</v>
      </c>
      <c r="L246" s="308">
        <v>52074.899999999994</v>
      </c>
      <c r="M246" s="308">
        <v>53548.399999999994</v>
      </c>
      <c r="N246" s="308">
        <v>0</v>
      </c>
    </row>
    <row r="247" spans="1:14" s="144" customFormat="1" ht="54" x14ac:dyDescent="0.35">
      <c r="A247" s="139"/>
      <c r="B247" s="87" t="s">
        <v>198</v>
      </c>
      <c r="C247" s="140" t="s">
        <v>403</v>
      </c>
      <c r="D247" s="141" t="s">
        <v>219</v>
      </c>
      <c r="E247" s="141" t="s">
        <v>32</v>
      </c>
      <c r="F247" s="88" t="s">
        <v>34</v>
      </c>
      <c r="G247" s="89" t="s">
        <v>40</v>
      </c>
      <c r="H247" s="89" t="s">
        <v>32</v>
      </c>
      <c r="I247" s="114" t="s">
        <v>262</v>
      </c>
      <c r="J247" s="91" t="s">
        <v>199</v>
      </c>
      <c r="K247" s="308">
        <f>194+267.7+1011.8</f>
        <v>1473.5</v>
      </c>
      <c r="L247" s="32">
        <v>52074.899999999994</v>
      </c>
      <c r="M247" s="586">
        <v>53548.399999999994</v>
      </c>
      <c r="N247" s="143">
        <v>0</v>
      </c>
    </row>
    <row r="248" spans="1:14" s="144" customFormat="1" ht="18" x14ac:dyDescent="0.35">
      <c r="A248" s="139"/>
      <c r="B248" s="87" t="s">
        <v>178</v>
      </c>
      <c r="C248" s="140" t="s">
        <v>403</v>
      </c>
      <c r="D248" s="141" t="s">
        <v>219</v>
      </c>
      <c r="E248" s="141" t="s">
        <v>34</v>
      </c>
      <c r="F248" s="88"/>
      <c r="G248" s="89"/>
      <c r="H248" s="89"/>
      <c r="I248" s="114"/>
      <c r="J248" s="91"/>
      <c r="K248" s="308">
        <f t="shared" ref="K248:M252" si="40">K249</f>
        <v>1132.9000000000001</v>
      </c>
      <c r="L248" s="308">
        <v>21074.699999999997</v>
      </c>
      <c r="M248" s="308">
        <v>22207.599999999999</v>
      </c>
      <c r="N248" s="143">
        <v>0</v>
      </c>
    </row>
    <row r="249" spans="1:14" s="144" customFormat="1" ht="54" x14ac:dyDescent="0.35">
      <c r="A249" s="139"/>
      <c r="B249" s="87" t="s">
        <v>200</v>
      </c>
      <c r="C249" s="140" t="s">
        <v>403</v>
      </c>
      <c r="D249" s="141" t="s">
        <v>219</v>
      </c>
      <c r="E249" s="141" t="s">
        <v>34</v>
      </c>
      <c r="F249" s="88" t="s">
        <v>34</v>
      </c>
      <c r="G249" s="89" t="s">
        <v>37</v>
      </c>
      <c r="H249" s="89" t="s">
        <v>38</v>
      </c>
      <c r="I249" s="90" t="s">
        <v>39</v>
      </c>
      <c r="J249" s="91"/>
      <c r="K249" s="308">
        <f t="shared" si="40"/>
        <v>1132.9000000000001</v>
      </c>
      <c r="L249" s="308">
        <v>21074.699999999997</v>
      </c>
      <c r="M249" s="308">
        <v>22207.599999999999</v>
      </c>
      <c r="N249" s="143">
        <v>0</v>
      </c>
    </row>
    <row r="250" spans="1:14" s="144" customFormat="1" ht="36" x14ac:dyDescent="0.35">
      <c r="A250" s="139"/>
      <c r="B250" s="87" t="s">
        <v>201</v>
      </c>
      <c r="C250" s="140" t="s">
        <v>403</v>
      </c>
      <c r="D250" s="141" t="s">
        <v>219</v>
      </c>
      <c r="E250" s="141" t="s">
        <v>34</v>
      </c>
      <c r="F250" s="88" t="s">
        <v>34</v>
      </c>
      <c r="G250" s="89" t="s">
        <v>40</v>
      </c>
      <c r="H250" s="89" t="s">
        <v>38</v>
      </c>
      <c r="I250" s="90" t="s">
        <v>39</v>
      </c>
      <c r="J250" s="91"/>
      <c r="K250" s="308">
        <f t="shared" si="40"/>
        <v>1132.9000000000001</v>
      </c>
      <c r="L250" s="308">
        <v>21074.699999999997</v>
      </c>
      <c r="M250" s="308">
        <v>22207.599999999999</v>
      </c>
      <c r="N250" s="143">
        <v>0</v>
      </c>
    </row>
    <row r="251" spans="1:14" s="144" customFormat="1" ht="18" x14ac:dyDescent="0.35">
      <c r="A251" s="139"/>
      <c r="B251" s="87" t="s">
        <v>260</v>
      </c>
      <c r="C251" s="140" t="s">
        <v>403</v>
      </c>
      <c r="D251" s="141" t="s">
        <v>219</v>
      </c>
      <c r="E251" s="141" t="s">
        <v>34</v>
      </c>
      <c r="F251" s="88" t="s">
        <v>34</v>
      </c>
      <c r="G251" s="89" t="s">
        <v>40</v>
      </c>
      <c r="H251" s="89" t="s">
        <v>34</v>
      </c>
      <c r="I251" s="90" t="s">
        <v>39</v>
      </c>
      <c r="J251" s="91"/>
      <c r="K251" s="308">
        <f t="shared" si="40"/>
        <v>1132.9000000000001</v>
      </c>
      <c r="L251" s="308">
        <v>21074.699999999997</v>
      </c>
      <c r="M251" s="308">
        <v>22207.599999999999</v>
      </c>
      <c r="N251" s="143">
        <v>0</v>
      </c>
    </row>
    <row r="252" spans="1:14" s="144" customFormat="1" ht="36" x14ac:dyDescent="0.35">
      <c r="A252" s="139"/>
      <c r="B252" s="87" t="s">
        <v>203</v>
      </c>
      <c r="C252" s="140" t="s">
        <v>403</v>
      </c>
      <c r="D252" s="141" t="s">
        <v>219</v>
      </c>
      <c r="E252" s="141" t="s">
        <v>34</v>
      </c>
      <c r="F252" s="88" t="s">
        <v>34</v>
      </c>
      <c r="G252" s="89" t="s">
        <v>40</v>
      </c>
      <c r="H252" s="89" t="s">
        <v>34</v>
      </c>
      <c r="I252" s="90" t="s">
        <v>262</v>
      </c>
      <c r="J252" s="91"/>
      <c r="K252" s="308">
        <f t="shared" si="40"/>
        <v>1132.9000000000001</v>
      </c>
      <c r="L252" s="308">
        <v>21074.699999999997</v>
      </c>
      <c r="M252" s="308">
        <v>22207.599999999999</v>
      </c>
      <c r="N252" s="143">
        <v>0</v>
      </c>
    </row>
    <row r="253" spans="1:14" s="144" customFormat="1" ht="54" x14ac:dyDescent="0.35">
      <c r="A253" s="139"/>
      <c r="B253" s="87" t="s">
        <v>198</v>
      </c>
      <c r="C253" s="140" t="s">
        <v>403</v>
      </c>
      <c r="D253" s="141" t="s">
        <v>219</v>
      </c>
      <c r="E253" s="141" t="s">
        <v>34</v>
      </c>
      <c r="F253" s="88" t="s">
        <v>34</v>
      </c>
      <c r="G253" s="89" t="s">
        <v>40</v>
      </c>
      <c r="H253" s="89" t="s">
        <v>34</v>
      </c>
      <c r="I253" s="90" t="s">
        <v>262</v>
      </c>
      <c r="J253" s="91" t="s">
        <v>199</v>
      </c>
      <c r="K253" s="308">
        <f>190.9+124.1+296+252.1+269.8</f>
        <v>1132.9000000000001</v>
      </c>
      <c r="L253" s="32">
        <v>21074.699999999997</v>
      </c>
      <c r="M253" s="586">
        <v>22207.599999999999</v>
      </c>
      <c r="N253" s="143">
        <v>0</v>
      </c>
    </row>
    <row r="254" spans="1:14" s="155" customFormat="1" ht="18" x14ac:dyDescent="0.35">
      <c r="A254" s="152"/>
      <c r="B254" s="153" t="s">
        <v>114</v>
      </c>
      <c r="C254" s="154" t="s">
        <v>403</v>
      </c>
      <c r="D254" s="112" t="s">
        <v>99</v>
      </c>
      <c r="E254" s="112"/>
      <c r="F254" s="109"/>
      <c r="G254" s="110"/>
      <c r="H254" s="110"/>
      <c r="I254" s="111"/>
      <c r="J254" s="112"/>
      <c r="K254" s="143">
        <f>K255+K405</f>
        <v>47267.9</v>
      </c>
      <c r="L254" s="143">
        <v>0</v>
      </c>
      <c r="M254" s="143">
        <v>47267.9</v>
      </c>
      <c r="N254" s="143">
        <v>47267.9</v>
      </c>
    </row>
    <row r="255" spans="1:14" s="155" customFormat="1" ht="18" x14ac:dyDescent="0.35">
      <c r="A255" s="152"/>
      <c r="B255" s="108" t="s">
        <v>188</v>
      </c>
      <c r="C255" s="154" t="s">
        <v>403</v>
      </c>
      <c r="D255" s="112" t="s">
        <v>99</v>
      </c>
      <c r="E255" s="112" t="s">
        <v>47</v>
      </c>
      <c r="F255" s="109"/>
      <c r="G255" s="110"/>
      <c r="H255" s="110"/>
      <c r="I255" s="111"/>
      <c r="J255" s="112"/>
      <c r="K255" s="143">
        <f t="shared" ref="K255:N257" si="41">K256</f>
        <v>47267.9</v>
      </c>
      <c r="L255" s="143">
        <v>0</v>
      </c>
      <c r="M255" s="143">
        <v>47267.9</v>
      </c>
      <c r="N255" s="143">
        <v>47267.9</v>
      </c>
    </row>
    <row r="256" spans="1:14" s="155" customFormat="1" ht="54" x14ac:dyDescent="0.35">
      <c r="A256" s="152"/>
      <c r="B256" s="156" t="s">
        <v>225</v>
      </c>
      <c r="C256" s="154" t="s">
        <v>403</v>
      </c>
      <c r="D256" s="112" t="s">
        <v>99</v>
      </c>
      <c r="E256" s="112" t="s">
        <v>47</v>
      </c>
      <c r="F256" s="109" t="s">
        <v>74</v>
      </c>
      <c r="G256" s="110" t="s">
        <v>37</v>
      </c>
      <c r="H256" s="110" t="s">
        <v>38</v>
      </c>
      <c r="I256" s="111" t="s">
        <v>39</v>
      </c>
      <c r="J256" s="112"/>
      <c r="K256" s="143">
        <f t="shared" si="41"/>
        <v>47267.9</v>
      </c>
      <c r="L256" s="143">
        <v>0</v>
      </c>
      <c r="M256" s="143">
        <v>47267.9</v>
      </c>
      <c r="N256" s="143">
        <v>47267.9</v>
      </c>
    </row>
    <row r="257" spans="1:15" s="155" customFormat="1" ht="36" x14ac:dyDescent="0.35">
      <c r="A257" s="152"/>
      <c r="B257" s="108" t="s">
        <v>328</v>
      </c>
      <c r="C257" s="154" t="s">
        <v>403</v>
      </c>
      <c r="D257" s="112" t="s">
        <v>99</v>
      </c>
      <c r="E257" s="112" t="s">
        <v>47</v>
      </c>
      <c r="F257" s="109" t="s">
        <v>74</v>
      </c>
      <c r="G257" s="110" t="s">
        <v>40</v>
      </c>
      <c r="H257" s="110" t="s">
        <v>38</v>
      </c>
      <c r="I257" s="111" t="s">
        <v>39</v>
      </c>
      <c r="J257" s="112"/>
      <c r="K257" s="143">
        <f t="shared" si="41"/>
        <v>47267.9</v>
      </c>
      <c r="L257" s="143">
        <v>0</v>
      </c>
      <c r="M257" s="143">
        <v>47267.9</v>
      </c>
      <c r="N257" s="143">
        <v>47267.9</v>
      </c>
    </row>
    <row r="258" spans="1:15" s="157" customFormat="1" ht="90" x14ac:dyDescent="0.35">
      <c r="A258" s="152"/>
      <c r="B258" s="108" t="s">
        <v>289</v>
      </c>
      <c r="C258" s="154" t="s">
        <v>403</v>
      </c>
      <c r="D258" s="112" t="s">
        <v>99</v>
      </c>
      <c r="E258" s="112" t="s">
        <v>47</v>
      </c>
      <c r="F258" s="109" t="s">
        <v>74</v>
      </c>
      <c r="G258" s="110" t="s">
        <v>40</v>
      </c>
      <c r="H258" s="110" t="s">
        <v>34</v>
      </c>
      <c r="I258" s="111" t="s">
        <v>39</v>
      </c>
      <c r="J258" s="112"/>
      <c r="K258" s="143">
        <f>K259+K261</f>
        <v>47267.9</v>
      </c>
      <c r="L258" s="143">
        <v>0</v>
      </c>
      <c r="M258" s="143">
        <v>47267.9</v>
      </c>
      <c r="N258" s="143">
        <v>47267.9</v>
      </c>
    </row>
    <row r="259" spans="1:15" s="144" customFormat="1" ht="110.25" customHeight="1" x14ac:dyDescent="0.35">
      <c r="A259" s="139"/>
      <c r="B259" s="113" t="s">
        <v>405</v>
      </c>
      <c r="C259" s="140" t="s">
        <v>403</v>
      </c>
      <c r="D259" s="141" t="s">
        <v>99</v>
      </c>
      <c r="E259" s="141" t="s">
        <v>47</v>
      </c>
      <c r="F259" s="88" t="s">
        <v>74</v>
      </c>
      <c r="G259" s="89" t="s">
        <v>40</v>
      </c>
      <c r="H259" s="89" t="s">
        <v>34</v>
      </c>
      <c r="I259" s="114" t="s">
        <v>406</v>
      </c>
      <c r="J259" s="91"/>
      <c r="K259" s="143">
        <f>K260</f>
        <v>39126.1</v>
      </c>
      <c r="L259" s="143">
        <v>0</v>
      </c>
      <c r="M259" s="143">
        <v>39126.1</v>
      </c>
      <c r="N259" s="143">
        <v>39126.1</v>
      </c>
    </row>
    <row r="260" spans="1:15" s="144" customFormat="1" ht="54" x14ac:dyDescent="0.35">
      <c r="A260" s="139"/>
      <c r="B260" s="113" t="s">
        <v>198</v>
      </c>
      <c r="C260" s="140" t="s">
        <v>403</v>
      </c>
      <c r="D260" s="141" t="s">
        <v>99</v>
      </c>
      <c r="E260" s="141" t="s">
        <v>47</v>
      </c>
      <c r="F260" s="88" t="s">
        <v>74</v>
      </c>
      <c r="G260" s="89" t="s">
        <v>40</v>
      </c>
      <c r="H260" s="89" t="s">
        <v>34</v>
      </c>
      <c r="I260" s="114" t="s">
        <v>406</v>
      </c>
      <c r="J260" s="91" t="s">
        <v>199</v>
      </c>
      <c r="K260" s="216">
        <f>47267.9-8141.8</f>
        <v>39126.1</v>
      </c>
      <c r="L260" s="32">
        <v>0</v>
      </c>
      <c r="M260" s="216">
        <v>39126.1</v>
      </c>
      <c r="N260" s="216">
        <v>39126.1</v>
      </c>
    </row>
    <row r="261" spans="1:15" s="144" customFormat="1" ht="108" x14ac:dyDescent="0.35">
      <c r="A261" s="139"/>
      <c r="B261" s="113" t="s">
        <v>405</v>
      </c>
      <c r="C261" s="140" t="s">
        <v>403</v>
      </c>
      <c r="D261" s="141" t="s">
        <v>99</v>
      </c>
      <c r="E261" s="141" t="s">
        <v>47</v>
      </c>
      <c r="F261" s="88" t="s">
        <v>74</v>
      </c>
      <c r="G261" s="89" t="s">
        <v>40</v>
      </c>
      <c r="H261" s="89" t="s">
        <v>34</v>
      </c>
      <c r="I261" s="114" t="s">
        <v>544</v>
      </c>
      <c r="J261" s="142"/>
      <c r="K261" s="296">
        <f>K262</f>
        <v>8141.8</v>
      </c>
      <c r="L261" s="296">
        <v>0</v>
      </c>
      <c r="M261" s="296">
        <v>8141.8</v>
      </c>
      <c r="N261" s="296">
        <v>8141.8</v>
      </c>
    </row>
    <row r="262" spans="1:15" s="144" customFormat="1" ht="54" x14ac:dyDescent="0.35">
      <c r="A262" s="139"/>
      <c r="B262" s="113" t="s">
        <v>198</v>
      </c>
      <c r="C262" s="140" t="s">
        <v>403</v>
      </c>
      <c r="D262" s="141" t="s">
        <v>99</v>
      </c>
      <c r="E262" s="141" t="s">
        <v>47</v>
      </c>
      <c r="F262" s="88" t="s">
        <v>74</v>
      </c>
      <c r="G262" s="89" t="s">
        <v>40</v>
      </c>
      <c r="H262" s="89" t="s">
        <v>34</v>
      </c>
      <c r="I262" s="114" t="s">
        <v>544</v>
      </c>
      <c r="J262" s="142" t="s">
        <v>199</v>
      </c>
      <c r="K262" s="296">
        <v>8141.8</v>
      </c>
      <c r="L262" s="32">
        <v>0</v>
      </c>
      <c r="M262" s="296">
        <v>8141.8</v>
      </c>
      <c r="N262" s="296">
        <v>8141.8</v>
      </c>
    </row>
    <row r="263" spans="1:15" s="144" customFormat="1" ht="18" x14ac:dyDescent="0.35">
      <c r="A263" s="139"/>
      <c r="B263" s="113" t="s">
        <v>309</v>
      </c>
      <c r="C263" s="140" t="s">
        <v>403</v>
      </c>
      <c r="D263" s="141" t="s">
        <v>62</v>
      </c>
      <c r="E263" s="141"/>
      <c r="F263" s="88"/>
      <c r="G263" s="89"/>
      <c r="H263" s="89"/>
      <c r="I263" s="114"/>
      <c r="J263" s="91"/>
      <c r="K263" s="566">
        <f t="shared" ref="K263:N268" si="42">K264</f>
        <v>129.69999999999999</v>
      </c>
      <c r="L263" s="566">
        <v>10124.6</v>
      </c>
      <c r="M263" s="566">
        <v>10254.300000000001</v>
      </c>
      <c r="N263" s="567">
        <v>0</v>
      </c>
    </row>
    <row r="264" spans="1:15" s="144" customFormat="1" ht="18" x14ac:dyDescent="0.35">
      <c r="A264" s="139"/>
      <c r="B264" s="113" t="s">
        <v>349</v>
      </c>
      <c r="C264" s="140" t="s">
        <v>403</v>
      </c>
      <c r="D264" s="141" t="s">
        <v>62</v>
      </c>
      <c r="E264" s="141" t="s">
        <v>32</v>
      </c>
      <c r="F264" s="88"/>
      <c r="G264" s="89"/>
      <c r="H264" s="89"/>
      <c r="I264" s="114"/>
      <c r="J264" s="91"/>
      <c r="K264" s="553">
        <f t="shared" si="42"/>
        <v>129.69999999999999</v>
      </c>
      <c r="L264" s="553">
        <v>10124.6</v>
      </c>
      <c r="M264" s="553">
        <v>10254.300000000001</v>
      </c>
      <c r="N264" s="296">
        <v>0</v>
      </c>
    </row>
    <row r="265" spans="1:15" s="144" customFormat="1" ht="54" x14ac:dyDescent="0.35">
      <c r="A265" s="139"/>
      <c r="B265" s="113" t="s">
        <v>212</v>
      </c>
      <c r="C265" s="140" t="s">
        <v>403</v>
      </c>
      <c r="D265" s="141" t="s">
        <v>62</v>
      </c>
      <c r="E265" s="141" t="s">
        <v>32</v>
      </c>
      <c r="F265" s="88" t="s">
        <v>47</v>
      </c>
      <c r="G265" s="89" t="s">
        <v>37</v>
      </c>
      <c r="H265" s="89" t="s">
        <v>38</v>
      </c>
      <c r="I265" s="114" t="s">
        <v>39</v>
      </c>
      <c r="J265" s="91"/>
      <c r="K265" s="553">
        <f t="shared" si="42"/>
        <v>129.69999999999999</v>
      </c>
      <c r="L265" s="553">
        <v>10124.6</v>
      </c>
      <c r="M265" s="553">
        <v>10254.300000000001</v>
      </c>
      <c r="N265" s="296">
        <v>0</v>
      </c>
    </row>
    <row r="266" spans="1:15" s="144" customFormat="1" ht="36" x14ac:dyDescent="0.35">
      <c r="A266" s="139"/>
      <c r="B266" s="113" t="s">
        <v>328</v>
      </c>
      <c r="C266" s="140" t="s">
        <v>403</v>
      </c>
      <c r="D266" s="141" t="s">
        <v>62</v>
      </c>
      <c r="E266" s="141" t="s">
        <v>32</v>
      </c>
      <c r="F266" s="88" t="s">
        <v>47</v>
      </c>
      <c r="G266" s="89" t="s">
        <v>26</v>
      </c>
      <c r="H266" s="89" t="s">
        <v>38</v>
      </c>
      <c r="I266" s="114" t="s">
        <v>39</v>
      </c>
      <c r="J266" s="91"/>
      <c r="K266" s="553">
        <f t="shared" si="42"/>
        <v>129.69999999999999</v>
      </c>
      <c r="L266" s="553">
        <v>10124.6</v>
      </c>
      <c r="M266" s="553">
        <v>10254.300000000001</v>
      </c>
      <c r="N266" s="296">
        <v>0</v>
      </c>
    </row>
    <row r="267" spans="1:15" s="144" customFormat="1" ht="72" x14ac:dyDescent="0.35">
      <c r="A267" s="139"/>
      <c r="B267" s="113" t="s">
        <v>399</v>
      </c>
      <c r="C267" s="140" t="s">
        <v>403</v>
      </c>
      <c r="D267" s="141" t="s">
        <v>62</v>
      </c>
      <c r="E267" s="141" t="s">
        <v>32</v>
      </c>
      <c r="F267" s="88" t="s">
        <v>47</v>
      </c>
      <c r="G267" s="89" t="s">
        <v>26</v>
      </c>
      <c r="H267" s="89" t="s">
        <v>58</v>
      </c>
      <c r="I267" s="114" t="s">
        <v>39</v>
      </c>
      <c r="J267" s="91"/>
      <c r="K267" s="553">
        <f t="shared" si="42"/>
        <v>129.69999999999999</v>
      </c>
      <c r="L267" s="553">
        <v>10124.6</v>
      </c>
      <c r="M267" s="553">
        <v>10254.300000000001</v>
      </c>
      <c r="N267" s="296">
        <v>0</v>
      </c>
    </row>
    <row r="268" spans="1:15" s="144" customFormat="1" ht="54" x14ac:dyDescent="0.35">
      <c r="A268" s="139"/>
      <c r="B268" s="113" t="s">
        <v>214</v>
      </c>
      <c r="C268" s="140" t="s">
        <v>403</v>
      </c>
      <c r="D268" s="141" t="s">
        <v>62</v>
      </c>
      <c r="E268" s="141" t="s">
        <v>32</v>
      </c>
      <c r="F268" s="88" t="s">
        <v>47</v>
      </c>
      <c r="G268" s="89" t="s">
        <v>26</v>
      </c>
      <c r="H268" s="89" t="s">
        <v>58</v>
      </c>
      <c r="I268" s="114" t="s">
        <v>281</v>
      </c>
      <c r="J268" s="91"/>
      <c r="K268" s="553">
        <f>K269</f>
        <v>129.69999999999999</v>
      </c>
      <c r="L268" s="553">
        <v>10124.6</v>
      </c>
      <c r="M268" s="553">
        <v>10254.300000000001</v>
      </c>
      <c r="N268" s="296">
        <v>0</v>
      </c>
    </row>
    <row r="269" spans="1:15" s="144" customFormat="1" ht="54" x14ac:dyDescent="0.35">
      <c r="A269" s="139"/>
      <c r="B269" s="113" t="s">
        <v>198</v>
      </c>
      <c r="C269" s="140" t="s">
        <v>403</v>
      </c>
      <c r="D269" s="141" t="s">
        <v>62</v>
      </c>
      <c r="E269" s="141" t="s">
        <v>32</v>
      </c>
      <c r="F269" s="88" t="s">
        <v>47</v>
      </c>
      <c r="G269" s="89" t="s">
        <v>26</v>
      </c>
      <c r="H269" s="89" t="s">
        <v>58</v>
      </c>
      <c r="I269" s="114" t="s">
        <v>281</v>
      </c>
      <c r="J269" s="551" t="s">
        <v>199</v>
      </c>
      <c r="K269" s="553">
        <v>129.69999999999999</v>
      </c>
      <c r="L269" s="32">
        <v>10124.6</v>
      </c>
      <c r="M269" s="597">
        <v>10254.300000000001</v>
      </c>
      <c r="N269" s="554">
        <v>0</v>
      </c>
    </row>
    <row r="270" spans="1:15" s="129" customFormat="1" ht="18" x14ac:dyDescent="0.35">
      <c r="A270" s="17"/>
      <c r="B270" s="30"/>
      <c r="C270" s="31"/>
      <c r="D270" s="16"/>
      <c r="E270" s="16"/>
      <c r="F270" s="583"/>
      <c r="G270" s="584"/>
      <c r="H270" s="584"/>
      <c r="I270" s="585"/>
      <c r="J270" s="16"/>
      <c r="K270" s="32"/>
      <c r="L270" s="32"/>
      <c r="M270" s="32"/>
      <c r="N270" s="32"/>
    </row>
    <row r="271" spans="1:15" s="127" customFormat="1" ht="52.2" x14ac:dyDescent="0.3">
      <c r="A271" s="122">
        <v>5</v>
      </c>
      <c r="B271" s="24" t="s">
        <v>6</v>
      </c>
      <c r="C271" s="25" t="s">
        <v>407</v>
      </c>
      <c r="D271" s="26"/>
      <c r="E271" s="26"/>
      <c r="F271" s="27"/>
      <c r="G271" s="28"/>
      <c r="H271" s="28"/>
      <c r="I271" s="29"/>
      <c r="J271" s="26"/>
      <c r="K271" s="46">
        <f>K285+K397+K272</f>
        <v>1074741.9000000001</v>
      </c>
      <c r="L271" s="46">
        <v>-51558.400000000001</v>
      </c>
      <c r="M271" s="46">
        <v>1023183.5000000001</v>
      </c>
      <c r="N271" s="46">
        <v>1098331.5999999999</v>
      </c>
      <c r="O271" s="158"/>
    </row>
    <row r="272" spans="1:15" s="127" customFormat="1" ht="18" x14ac:dyDescent="0.35">
      <c r="A272" s="122"/>
      <c r="B272" s="263" t="s">
        <v>31</v>
      </c>
      <c r="C272" s="271" t="s">
        <v>407</v>
      </c>
      <c r="D272" s="264" t="s">
        <v>32</v>
      </c>
      <c r="E272" s="84"/>
      <c r="F272" s="272"/>
      <c r="G272" s="94"/>
      <c r="H272" s="94"/>
      <c r="I272" s="95"/>
      <c r="J272" s="84"/>
      <c r="K272" s="230">
        <f t="shared" ref="K272:M273" si="43">K273</f>
        <v>257.2</v>
      </c>
      <c r="L272" s="230">
        <v>0</v>
      </c>
      <c r="M272" s="230">
        <v>257.2</v>
      </c>
      <c r="N272" s="230">
        <v>257.2</v>
      </c>
      <c r="O272" s="158"/>
    </row>
    <row r="273" spans="1:15" s="127" customFormat="1" ht="18" x14ac:dyDescent="0.35">
      <c r="A273" s="122"/>
      <c r="B273" s="263" t="s">
        <v>65</v>
      </c>
      <c r="C273" s="273" t="s">
        <v>407</v>
      </c>
      <c r="D273" s="264" t="s">
        <v>32</v>
      </c>
      <c r="E273" s="264" t="s">
        <v>66</v>
      </c>
      <c r="F273" s="272"/>
      <c r="G273" s="94"/>
      <c r="H273" s="94"/>
      <c r="I273" s="95"/>
      <c r="J273" s="84"/>
      <c r="K273" s="230">
        <f t="shared" si="43"/>
        <v>257.2</v>
      </c>
      <c r="L273" s="230">
        <v>0</v>
      </c>
      <c r="M273" s="230">
        <v>257.2</v>
      </c>
      <c r="N273" s="230">
        <v>257.2</v>
      </c>
      <c r="O273" s="158"/>
    </row>
    <row r="274" spans="1:15" s="127" customFormat="1" ht="54" x14ac:dyDescent="0.35">
      <c r="A274" s="122"/>
      <c r="B274" s="263" t="s">
        <v>200</v>
      </c>
      <c r="C274" s="271" t="s">
        <v>407</v>
      </c>
      <c r="D274" s="264" t="s">
        <v>32</v>
      </c>
      <c r="E274" s="264" t="s">
        <v>66</v>
      </c>
      <c r="F274" s="576" t="s">
        <v>34</v>
      </c>
      <c r="G274" s="577" t="s">
        <v>37</v>
      </c>
      <c r="H274" s="577" t="s">
        <v>38</v>
      </c>
      <c r="I274" s="578" t="s">
        <v>39</v>
      </c>
      <c r="J274" s="264"/>
      <c r="K274" s="230">
        <f>K275</f>
        <v>257.2</v>
      </c>
      <c r="L274" s="230">
        <v>0</v>
      </c>
      <c r="M274" s="230">
        <v>257.2</v>
      </c>
      <c r="N274" s="230">
        <v>257.2</v>
      </c>
      <c r="O274" s="158"/>
    </row>
    <row r="275" spans="1:15" s="127" customFormat="1" ht="54" x14ac:dyDescent="0.35">
      <c r="A275" s="122"/>
      <c r="B275" s="244" t="s">
        <v>207</v>
      </c>
      <c r="C275" s="271" t="s">
        <v>407</v>
      </c>
      <c r="D275" s="264" t="s">
        <v>32</v>
      </c>
      <c r="E275" s="264" t="s">
        <v>66</v>
      </c>
      <c r="F275" s="576" t="s">
        <v>34</v>
      </c>
      <c r="G275" s="577" t="s">
        <v>25</v>
      </c>
      <c r="H275" s="577" t="s">
        <v>38</v>
      </c>
      <c r="I275" s="578" t="s">
        <v>39</v>
      </c>
      <c r="J275" s="264"/>
      <c r="K275" s="230">
        <f>K276+K279+K282</f>
        <v>257.2</v>
      </c>
      <c r="L275" s="230">
        <v>0</v>
      </c>
      <c r="M275" s="230">
        <v>257.2</v>
      </c>
      <c r="N275" s="230">
        <v>257.2</v>
      </c>
      <c r="O275" s="158"/>
    </row>
    <row r="276" spans="1:15" s="127" customFormat="1" ht="36" x14ac:dyDescent="0.35">
      <c r="A276" s="122"/>
      <c r="B276" s="263" t="s">
        <v>340</v>
      </c>
      <c r="C276" s="271" t="s">
        <v>407</v>
      </c>
      <c r="D276" s="264" t="s">
        <v>32</v>
      </c>
      <c r="E276" s="264" t="s">
        <v>66</v>
      </c>
      <c r="F276" s="576" t="s">
        <v>34</v>
      </c>
      <c r="G276" s="577" t="s">
        <v>25</v>
      </c>
      <c r="H276" s="577" t="s">
        <v>58</v>
      </c>
      <c r="I276" s="578" t="s">
        <v>39</v>
      </c>
      <c r="J276" s="264"/>
      <c r="K276" s="230">
        <f t="shared" ref="K276:N277" si="44">K277</f>
        <v>127.4</v>
      </c>
      <c r="L276" s="230">
        <v>0</v>
      </c>
      <c r="M276" s="230">
        <v>127.4</v>
      </c>
      <c r="N276" s="230">
        <v>127.4</v>
      </c>
      <c r="O276" s="158"/>
    </row>
    <row r="277" spans="1:15" s="127" customFormat="1" ht="57" customHeight="1" x14ac:dyDescent="0.35">
      <c r="A277" s="122"/>
      <c r="B277" s="244" t="s">
        <v>446</v>
      </c>
      <c r="C277" s="273" t="s">
        <v>407</v>
      </c>
      <c r="D277" s="264" t="s">
        <v>32</v>
      </c>
      <c r="E277" s="264" t="s">
        <v>66</v>
      </c>
      <c r="F277" s="576" t="s">
        <v>34</v>
      </c>
      <c r="G277" s="577" t="s">
        <v>25</v>
      </c>
      <c r="H277" s="577" t="s">
        <v>58</v>
      </c>
      <c r="I277" s="578" t="s">
        <v>100</v>
      </c>
      <c r="J277" s="264"/>
      <c r="K277" s="230">
        <f t="shared" si="44"/>
        <v>127.4</v>
      </c>
      <c r="L277" s="230">
        <v>0</v>
      </c>
      <c r="M277" s="230">
        <v>127.4</v>
      </c>
      <c r="N277" s="230">
        <v>127.4</v>
      </c>
      <c r="O277" s="158"/>
    </row>
    <row r="278" spans="1:15" s="127" customFormat="1" ht="54" x14ac:dyDescent="0.35">
      <c r="A278" s="122"/>
      <c r="B278" s="244" t="s">
        <v>50</v>
      </c>
      <c r="C278" s="273" t="s">
        <v>407</v>
      </c>
      <c r="D278" s="264" t="s">
        <v>32</v>
      </c>
      <c r="E278" s="264" t="s">
        <v>66</v>
      </c>
      <c r="F278" s="576" t="s">
        <v>34</v>
      </c>
      <c r="G278" s="577" t="s">
        <v>25</v>
      </c>
      <c r="H278" s="577" t="s">
        <v>58</v>
      </c>
      <c r="I278" s="578" t="s">
        <v>100</v>
      </c>
      <c r="J278" s="264" t="s">
        <v>51</v>
      </c>
      <c r="K278" s="230">
        <v>127.4</v>
      </c>
      <c r="L278" s="32">
        <v>0</v>
      </c>
      <c r="M278" s="230">
        <v>127.4</v>
      </c>
      <c r="N278" s="230">
        <v>127.4</v>
      </c>
      <c r="O278" s="158"/>
    </row>
    <row r="279" spans="1:15" s="127" customFormat="1" ht="36" x14ac:dyDescent="0.35">
      <c r="A279" s="122"/>
      <c r="B279" s="244" t="s">
        <v>441</v>
      </c>
      <c r="C279" s="271" t="s">
        <v>407</v>
      </c>
      <c r="D279" s="264" t="s">
        <v>32</v>
      </c>
      <c r="E279" s="264" t="s">
        <v>66</v>
      </c>
      <c r="F279" s="576" t="s">
        <v>34</v>
      </c>
      <c r="G279" s="577" t="s">
        <v>25</v>
      </c>
      <c r="H279" s="577" t="s">
        <v>47</v>
      </c>
      <c r="I279" s="578" t="s">
        <v>39</v>
      </c>
      <c r="J279" s="264"/>
      <c r="K279" s="230">
        <f t="shared" ref="K279:N280" si="45">K280</f>
        <v>24</v>
      </c>
      <c r="L279" s="230">
        <v>0</v>
      </c>
      <c r="M279" s="230">
        <v>24</v>
      </c>
      <c r="N279" s="230">
        <v>24</v>
      </c>
      <c r="O279" s="158"/>
    </row>
    <row r="280" spans="1:15" s="127" customFormat="1" ht="18" x14ac:dyDescent="0.35">
      <c r="A280" s="122"/>
      <c r="B280" s="244" t="s">
        <v>447</v>
      </c>
      <c r="C280" s="273" t="s">
        <v>407</v>
      </c>
      <c r="D280" s="264" t="s">
        <v>32</v>
      </c>
      <c r="E280" s="264" t="s">
        <v>66</v>
      </c>
      <c r="F280" s="576" t="s">
        <v>34</v>
      </c>
      <c r="G280" s="577" t="s">
        <v>25</v>
      </c>
      <c r="H280" s="577" t="s">
        <v>47</v>
      </c>
      <c r="I280" s="578" t="s">
        <v>440</v>
      </c>
      <c r="J280" s="264"/>
      <c r="K280" s="230">
        <f t="shared" si="45"/>
        <v>24</v>
      </c>
      <c r="L280" s="230">
        <v>0</v>
      </c>
      <c r="M280" s="230">
        <v>24</v>
      </c>
      <c r="N280" s="230">
        <v>24</v>
      </c>
      <c r="O280" s="158"/>
    </row>
    <row r="281" spans="1:15" s="127" customFormat="1" ht="54" x14ac:dyDescent="0.35">
      <c r="A281" s="122"/>
      <c r="B281" s="244" t="s">
        <v>50</v>
      </c>
      <c r="C281" s="273" t="s">
        <v>407</v>
      </c>
      <c r="D281" s="264" t="s">
        <v>32</v>
      </c>
      <c r="E281" s="264" t="s">
        <v>66</v>
      </c>
      <c r="F281" s="576" t="s">
        <v>34</v>
      </c>
      <c r="G281" s="577" t="s">
        <v>25</v>
      </c>
      <c r="H281" s="577" t="s">
        <v>47</v>
      </c>
      <c r="I281" s="578" t="s">
        <v>440</v>
      </c>
      <c r="J281" s="264" t="s">
        <v>51</v>
      </c>
      <c r="K281" s="230">
        <v>24</v>
      </c>
      <c r="L281" s="32">
        <v>0</v>
      </c>
      <c r="M281" s="230">
        <v>24</v>
      </c>
      <c r="N281" s="230">
        <v>24</v>
      </c>
      <c r="O281" s="158"/>
    </row>
    <row r="282" spans="1:15" s="127" customFormat="1" ht="36" x14ac:dyDescent="0.35">
      <c r="A282" s="122"/>
      <c r="B282" s="244" t="s">
        <v>445</v>
      </c>
      <c r="C282" s="273" t="s">
        <v>407</v>
      </c>
      <c r="D282" s="264" t="s">
        <v>32</v>
      </c>
      <c r="E282" s="264" t="s">
        <v>66</v>
      </c>
      <c r="F282" s="576" t="s">
        <v>34</v>
      </c>
      <c r="G282" s="577" t="s">
        <v>25</v>
      </c>
      <c r="H282" s="577" t="s">
        <v>60</v>
      </c>
      <c r="I282" s="509" t="s">
        <v>39</v>
      </c>
      <c r="J282" s="82"/>
      <c r="K282" s="230">
        <f t="shared" ref="K282:N283" si="46">K283</f>
        <v>105.8</v>
      </c>
      <c r="L282" s="230">
        <v>0</v>
      </c>
      <c r="M282" s="230">
        <v>105.8</v>
      </c>
      <c r="N282" s="230">
        <v>105.8</v>
      </c>
      <c r="O282" s="158"/>
    </row>
    <row r="283" spans="1:15" s="127" customFormat="1" ht="36" x14ac:dyDescent="0.35">
      <c r="A283" s="122"/>
      <c r="B283" s="244" t="s">
        <v>122</v>
      </c>
      <c r="C283" s="273" t="s">
        <v>407</v>
      </c>
      <c r="D283" s="264" t="s">
        <v>32</v>
      </c>
      <c r="E283" s="264" t="s">
        <v>66</v>
      </c>
      <c r="F283" s="576" t="s">
        <v>34</v>
      </c>
      <c r="G283" s="577" t="s">
        <v>25</v>
      </c>
      <c r="H283" s="577" t="s">
        <v>60</v>
      </c>
      <c r="I283" s="509" t="s">
        <v>85</v>
      </c>
      <c r="J283" s="82"/>
      <c r="K283" s="230">
        <f t="shared" si="46"/>
        <v>105.8</v>
      </c>
      <c r="L283" s="230">
        <v>0</v>
      </c>
      <c r="M283" s="230">
        <v>105.8</v>
      </c>
      <c r="N283" s="230">
        <v>105.8</v>
      </c>
      <c r="O283" s="158"/>
    </row>
    <row r="284" spans="1:15" s="127" customFormat="1" ht="54" x14ac:dyDescent="0.35">
      <c r="A284" s="122"/>
      <c r="B284" s="244" t="s">
        <v>50</v>
      </c>
      <c r="C284" s="273" t="s">
        <v>407</v>
      </c>
      <c r="D284" s="264" t="s">
        <v>32</v>
      </c>
      <c r="E284" s="264" t="s">
        <v>66</v>
      </c>
      <c r="F284" s="576" t="s">
        <v>34</v>
      </c>
      <c r="G284" s="577" t="s">
        <v>25</v>
      </c>
      <c r="H284" s="577" t="s">
        <v>60</v>
      </c>
      <c r="I284" s="509" t="s">
        <v>85</v>
      </c>
      <c r="J284" s="82" t="s">
        <v>51</v>
      </c>
      <c r="K284" s="230">
        <v>105.8</v>
      </c>
      <c r="L284" s="32">
        <v>0</v>
      </c>
      <c r="M284" s="230">
        <v>105.8</v>
      </c>
      <c r="N284" s="230">
        <v>105.8</v>
      </c>
      <c r="O284" s="158"/>
    </row>
    <row r="285" spans="1:15" s="128" customFormat="1" ht="18" x14ac:dyDescent="0.35">
      <c r="A285" s="17"/>
      <c r="B285" s="30" t="s">
        <v>174</v>
      </c>
      <c r="C285" s="31" t="s">
        <v>407</v>
      </c>
      <c r="D285" s="16" t="s">
        <v>219</v>
      </c>
      <c r="E285" s="16"/>
      <c r="F285" s="583"/>
      <c r="G285" s="584"/>
      <c r="H285" s="584"/>
      <c r="I285" s="585"/>
      <c r="J285" s="16"/>
      <c r="K285" s="32">
        <f>K286+K308+K382+K353+K374</f>
        <v>1069032.2000000002</v>
      </c>
      <c r="L285" s="32">
        <v>-51558.400000000001</v>
      </c>
      <c r="M285" s="32">
        <v>1017473.8000000002</v>
      </c>
      <c r="N285" s="32">
        <v>1092621.8999999999</v>
      </c>
      <c r="O285" s="159"/>
    </row>
    <row r="286" spans="1:15" s="127" customFormat="1" ht="18" x14ac:dyDescent="0.35">
      <c r="A286" s="17"/>
      <c r="B286" s="30" t="s">
        <v>176</v>
      </c>
      <c r="C286" s="31" t="s">
        <v>407</v>
      </c>
      <c r="D286" s="16" t="s">
        <v>219</v>
      </c>
      <c r="E286" s="16" t="s">
        <v>32</v>
      </c>
      <c r="F286" s="583"/>
      <c r="G286" s="584"/>
      <c r="H286" s="584"/>
      <c r="I286" s="585"/>
      <c r="J286" s="16"/>
      <c r="K286" s="32">
        <f>K287+K298+K303</f>
        <v>330062</v>
      </c>
      <c r="L286" s="32">
        <v>0</v>
      </c>
      <c r="M286" s="32">
        <v>330062</v>
      </c>
      <c r="N286" s="32">
        <v>338318.30000000005</v>
      </c>
    </row>
    <row r="287" spans="1:15" s="127" customFormat="1" ht="54" x14ac:dyDescent="0.35">
      <c r="A287" s="17"/>
      <c r="B287" s="30" t="s">
        <v>200</v>
      </c>
      <c r="C287" s="31" t="s">
        <v>407</v>
      </c>
      <c r="D287" s="16" t="s">
        <v>219</v>
      </c>
      <c r="E287" s="16" t="s">
        <v>32</v>
      </c>
      <c r="F287" s="583" t="s">
        <v>34</v>
      </c>
      <c r="G287" s="584" t="s">
        <v>37</v>
      </c>
      <c r="H287" s="584" t="s">
        <v>38</v>
      </c>
      <c r="I287" s="585" t="s">
        <v>39</v>
      </c>
      <c r="J287" s="16"/>
      <c r="K287" s="32">
        <f t="shared" ref="K287:N288" si="47">K288</f>
        <v>329380.3</v>
      </c>
      <c r="L287" s="32">
        <v>0</v>
      </c>
      <c r="M287" s="32">
        <v>329380.3</v>
      </c>
      <c r="N287" s="32">
        <v>338264.9</v>
      </c>
    </row>
    <row r="288" spans="1:15" s="127" customFormat="1" ht="36" x14ac:dyDescent="0.35">
      <c r="A288" s="17"/>
      <c r="B288" s="30" t="s">
        <v>201</v>
      </c>
      <c r="C288" s="31" t="s">
        <v>407</v>
      </c>
      <c r="D288" s="16" t="s">
        <v>219</v>
      </c>
      <c r="E288" s="16" t="s">
        <v>32</v>
      </c>
      <c r="F288" s="583" t="s">
        <v>34</v>
      </c>
      <c r="G288" s="584" t="s">
        <v>40</v>
      </c>
      <c r="H288" s="584" t="s">
        <v>38</v>
      </c>
      <c r="I288" s="585" t="s">
        <v>39</v>
      </c>
      <c r="J288" s="16"/>
      <c r="K288" s="32">
        <f>K289</f>
        <v>329380.3</v>
      </c>
      <c r="L288" s="32">
        <v>0</v>
      </c>
      <c r="M288" s="32">
        <v>329380.3</v>
      </c>
      <c r="N288" s="32">
        <v>338264.9</v>
      </c>
    </row>
    <row r="289" spans="1:14" s="127" customFormat="1" ht="36" x14ac:dyDescent="0.35">
      <c r="A289" s="17"/>
      <c r="B289" s="30" t="s">
        <v>255</v>
      </c>
      <c r="C289" s="31" t="s">
        <v>407</v>
      </c>
      <c r="D289" s="16" t="s">
        <v>219</v>
      </c>
      <c r="E289" s="16" t="s">
        <v>32</v>
      </c>
      <c r="F289" s="583" t="s">
        <v>34</v>
      </c>
      <c r="G289" s="584" t="s">
        <v>40</v>
      </c>
      <c r="H289" s="584" t="s">
        <v>32</v>
      </c>
      <c r="I289" s="585" t="s">
        <v>39</v>
      </c>
      <c r="J289" s="16"/>
      <c r="K289" s="32">
        <f>K294+K292+K296+K290</f>
        <v>329380.3</v>
      </c>
      <c r="L289" s="32">
        <v>0</v>
      </c>
      <c r="M289" s="32">
        <v>329380.3</v>
      </c>
      <c r="N289" s="32">
        <v>338264.9</v>
      </c>
    </row>
    <row r="290" spans="1:14" s="123" customFormat="1" ht="36" x14ac:dyDescent="0.35">
      <c r="A290" s="17"/>
      <c r="B290" s="85" t="s">
        <v>437</v>
      </c>
      <c r="C290" s="31" t="s">
        <v>407</v>
      </c>
      <c r="D290" s="16" t="s">
        <v>219</v>
      </c>
      <c r="E290" s="16" t="s">
        <v>32</v>
      </c>
      <c r="F290" s="583" t="s">
        <v>34</v>
      </c>
      <c r="G290" s="584" t="s">
        <v>40</v>
      </c>
      <c r="H290" s="584" t="s">
        <v>32</v>
      </c>
      <c r="I290" s="585" t="s">
        <v>86</v>
      </c>
      <c r="J290" s="16"/>
      <c r="K290" s="32">
        <f>K291</f>
        <v>88673.2</v>
      </c>
      <c r="L290" s="32">
        <v>0</v>
      </c>
      <c r="M290" s="32">
        <v>88673.2</v>
      </c>
      <c r="N290" s="32">
        <v>97540.6</v>
      </c>
    </row>
    <row r="291" spans="1:14" s="123" customFormat="1" ht="54" x14ac:dyDescent="0.35">
      <c r="A291" s="17"/>
      <c r="B291" s="30" t="s">
        <v>71</v>
      </c>
      <c r="C291" s="31" t="s">
        <v>407</v>
      </c>
      <c r="D291" s="16" t="s">
        <v>219</v>
      </c>
      <c r="E291" s="16" t="s">
        <v>32</v>
      </c>
      <c r="F291" s="583" t="s">
        <v>34</v>
      </c>
      <c r="G291" s="584" t="s">
        <v>40</v>
      </c>
      <c r="H291" s="584" t="s">
        <v>32</v>
      </c>
      <c r="I291" s="585" t="s">
        <v>86</v>
      </c>
      <c r="J291" s="16" t="s">
        <v>72</v>
      </c>
      <c r="K291" s="32">
        <v>88673.2</v>
      </c>
      <c r="L291" s="32">
        <v>0</v>
      </c>
      <c r="M291" s="32">
        <v>88673.2</v>
      </c>
      <c r="N291" s="32">
        <v>97540.6</v>
      </c>
    </row>
    <row r="292" spans="1:14" s="123" customFormat="1" ht="54" x14ac:dyDescent="0.35">
      <c r="A292" s="17"/>
      <c r="B292" s="30" t="s">
        <v>202</v>
      </c>
      <c r="C292" s="31" t="s">
        <v>407</v>
      </c>
      <c r="D292" s="16" t="s">
        <v>219</v>
      </c>
      <c r="E292" s="16" t="s">
        <v>32</v>
      </c>
      <c r="F292" s="583" t="s">
        <v>34</v>
      </c>
      <c r="G292" s="584" t="s">
        <v>40</v>
      </c>
      <c r="H292" s="584" t="s">
        <v>32</v>
      </c>
      <c r="I292" s="585" t="s">
        <v>261</v>
      </c>
      <c r="J292" s="16"/>
      <c r="K292" s="32">
        <f>K293</f>
        <v>25889.5</v>
      </c>
      <c r="L292" s="32">
        <v>0</v>
      </c>
      <c r="M292" s="32">
        <v>25889.5</v>
      </c>
      <c r="N292" s="32">
        <v>25889.5</v>
      </c>
    </row>
    <row r="293" spans="1:14" s="123" customFormat="1" ht="54" x14ac:dyDescent="0.35">
      <c r="A293" s="17"/>
      <c r="B293" s="30" t="s">
        <v>71</v>
      </c>
      <c r="C293" s="31" t="s">
        <v>407</v>
      </c>
      <c r="D293" s="16" t="s">
        <v>219</v>
      </c>
      <c r="E293" s="16" t="s">
        <v>32</v>
      </c>
      <c r="F293" s="583" t="s">
        <v>34</v>
      </c>
      <c r="G293" s="584" t="s">
        <v>40</v>
      </c>
      <c r="H293" s="584" t="s">
        <v>32</v>
      </c>
      <c r="I293" s="585" t="s">
        <v>261</v>
      </c>
      <c r="J293" s="16" t="s">
        <v>72</v>
      </c>
      <c r="K293" s="32">
        <f>25093.2+796.3</f>
        <v>25889.5</v>
      </c>
      <c r="L293" s="32">
        <v>0</v>
      </c>
      <c r="M293" s="32">
        <v>25889.5</v>
      </c>
      <c r="N293" s="32">
        <v>25889.5</v>
      </c>
    </row>
    <row r="294" spans="1:14" s="127" customFormat="1" ht="180" x14ac:dyDescent="0.35">
      <c r="A294" s="17"/>
      <c r="B294" s="30" t="s">
        <v>256</v>
      </c>
      <c r="C294" s="31" t="s">
        <v>407</v>
      </c>
      <c r="D294" s="16" t="s">
        <v>219</v>
      </c>
      <c r="E294" s="16" t="s">
        <v>32</v>
      </c>
      <c r="F294" s="583" t="s">
        <v>34</v>
      </c>
      <c r="G294" s="584" t="s">
        <v>40</v>
      </c>
      <c r="H294" s="584" t="s">
        <v>32</v>
      </c>
      <c r="I294" s="585" t="s">
        <v>257</v>
      </c>
      <c r="J294" s="16"/>
      <c r="K294" s="32">
        <f>K295</f>
        <v>571.29999999999995</v>
      </c>
      <c r="L294" s="32">
        <v>0</v>
      </c>
      <c r="M294" s="32">
        <v>571.29999999999995</v>
      </c>
      <c r="N294" s="32">
        <v>588.5</v>
      </c>
    </row>
    <row r="295" spans="1:14" s="127" customFormat="1" ht="54" x14ac:dyDescent="0.35">
      <c r="A295" s="17"/>
      <c r="B295" s="30" t="s">
        <v>71</v>
      </c>
      <c r="C295" s="31" t="s">
        <v>407</v>
      </c>
      <c r="D295" s="16" t="s">
        <v>219</v>
      </c>
      <c r="E295" s="16" t="s">
        <v>32</v>
      </c>
      <c r="F295" s="583" t="s">
        <v>34</v>
      </c>
      <c r="G295" s="584" t="s">
        <v>40</v>
      </c>
      <c r="H295" s="584" t="s">
        <v>32</v>
      </c>
      <c r="I295" s="585" t="s">
        <v>257</v>
      </c>
      <c r="J295" s="16" t="s">
        <v>72</v>
      </c>
      <c r="K295" s="32">
        <v>571.29999999999995</v>
      </c>
      <c r="L295" s="32">
        <v>0</v>
      </c>
      <c r="M295" s="32">
        <v>571.29999999999995</v>
      </c>
      <c r="N295" s="32">
        <v>588.5</v>
      </c>
    </row>
    <row r="296" spans="1:14" s="127" customFormat="1" ht="108" x14ac:dyDescent="0.35">
      <c r="A296" s="17"/>
      <c r="B296" s="30" t="s">
        <v>334</v>
      </c>
      <c r="C296" s="31" t="s">
        <v>407</v>
      </c>
      <c r="D296" s="16" t="s">
        <v>219</v>
      </c>
      <c r="E296" s="16" t="s">
        <v>32</v>
      </c>
      <c r="F296" s="583" t="s">
        <v>34</v>
      </c>
      <c r="G296" s="584" t="s">
        <v>40</v>
      </c>
      <c r="H296" s="584" t="s">
        <v>32</v>
      </c>
      <c r="I296" s="585" t="s">
        <v>258</v>
      </c>
      <c r="J296" s="16"/>
      <c r="K296" s="32">
        <f>K297</f>
        <v>214246.3</v>
      </c>
      <c r="L296" s="32">
        <v>0</v>
      </c>
      <c r="M296" s="32">
        <v>214246.3</v>
      </c>
      <c r="N296" s="32">
        <v>214246.3</v>
      </c>
    </row>
    <row r="297" spans="1:14" s="127" customFormat="1" ht="54" x14ac:dyDescent="0.35">
      <c r="A297" s="17"/>
      <c r="B297" s="30" t="s">
        <v>71</v>
      </c>
      <c r="C297" s="31" t="s">
        <v>407</v>
      </c>
      <c r="D297" s="16" t="s">
        <v>219</v>
      </c>
      <c r="E297" s="16" t="s">
        <v>32</v>
      </c>
      <c r="F297" s="583" t="s">
        <v>34</v>
      </c>
      <c r="G297" s="584" t="s">
        <v>40</v>
      </c>
      <c r="H297" s="584" t="s">
        <v>32</v>
      </c>
      <c r="I297" s="585" t="s">
        <v>258</v>
      </c>
      <c r="J297" s="16" t="s">
        <v>72</v>
      </c>
      <c r="K297" s="32">
        <v>214246.3</v>
      </c>
      <c r="L297" s="32">
        <v>0</v>
      </c>
      <c r="M297" s="32">
        <v>214246.3</v>
      </c>
      <c r="N297" s="32">
        <v>214246.3</v>
      </c>
    </row>
    <row r="298" spans="1:14" s="127" customFormat="1" ht="60" customHeight="1" x14ac:dyDescent="0.35">
      <c r="A298" s="17"/>
      <c r="B298" s="30" t="s">
        <v>75</v>
      </c>
      <c r="C298" s="31" t="s">
        <v>407</v>
      </c>
      <c r="D298" s="16" t="s">
        <v>219</v>
      </c>
      <c r="E298" s="16" t="s">
        <v>32</v>
      </c>
      <c r="F298" s="583" t="s">
        <v>76</v>
      </c>
      <c r="G298" s="584" t="s">
        <v>37</v>
      </c>
      <c r="H298" s="584" t="s">
        <v>38</v>
      </c>
      <c r="I298" s="585" t="s">
        <v>39</v>
      </c>
      <c r="J298" s="16"/>
      <c r="K298" s="32">
        <f t="shared" ref="K298:N301" si="48">K299</f>
        <v>628.29999999999995</v>
      </c>
      <c r="L298" s="32">
        <v>0</v>
      </c>
      <c r="M298" s="32">
        <v>628.29999999999995</v>
      </c>
      <c r="N298" s="32">
        <v>0</v>
      </c>
    </row>
    <row r="299" spans="1:14" s="127" customFormat="1" ht="36" x14ac:dyDescent="0.35">
      <c r="A299" s="17"/>
      <c r="B299" s="30" t="s">
        <v>120</v>
      </c>
      <c r="C299" s="31" t="s">
        <v>407</v>
      </c>
      <c r="D299" s="16" t="s">
        <v>219</v>
      </c>
      <c r="E299" s="16" t="s">
        <v>32</v>
      </c>
      <c r="F299" s="583" t="s">
        <v>76</v>
      </c>
      <c r="G299" s="584" t="s">
        <v>84</v>
      </c>
      <c r="H299" s="584" t="s">
        <v>38</v>
      </c>
      <c r="I299" s="585" t="s">
        <v>39</v>
      </c>
      <c r="J299" s="16"/>
      <c r="K299" s="32">
        <f t="shared" si="48"/>
        <v>628.29999999999995</v>
      </c>
      <c r="L299" s="32">
        <v>0</v>
      </c>
      <c r="M299" s="32">
        <v>628.29999999999995</v>
      </c>
      <c r="N299" s="32">
        <v>0</v>
      </c>
    </row>
    <row r="300" spans="1:14" s="127" customFormat="1" ht="41.25" customHeight="1" x14ac:dyDescent="0.35">
      <c r="A300" s="17"/>
      <c r="B300" s="30" t="s">
        <v>259</v>
      </c>
      <c r="C300" s="31" t="s">
        <v>407</v>
      </c>
      <c r="D300" s="16" t="s">
        <v>219</v>
      </c>
      <c r="E300" s="16" t="s">
        <v>32</v>
      </c>
      <c r="F300" s="583" t="s">
        <v>76</v>
      </c>
      <c r="G300" s="584" t="s">
        <v>84</v>
      </c>
      <c r="H300" s="584" t="s">
        <v>32</v>
      </c>
      <c r="I300" s="585" t="s">
        <v>39</v>
      </c>
      <c r="J300" s="16"/>
      <c r="K300" s="32">
        <f t="shared" si="48"/>
        <v>628.29999999999995</v>
      </c>
      <c r="L300" s="32">
        <v>0</v>
      </c>
      <c r="M300" s="32">
        <v>628.29999999999995</v>
      </c>
      <c r="N300" s="32">
        <v>0</v>
      </c>
    </row>
    <row r="301" spans="1:14" s="127" customFormat="1" ht="18" x14ac:dyDescent="0.35">
      <c r="A301" s="17"/>
      <c r="B301" s="30" t="s">
        <v>410</v>
      </c>
      <c r="C301" s="31" t="s">
        <v>407</v>
      </c>
      <c r="D301" s="16" t="s">
        <v>219</v>
      </c>
      <c r="E301" s="16" t="s">
        <v>32</v>
      </c>
      <c r="F301" s="583" t="s">
        <v>76</v>
      </c>
      <c r="G301" s="584" t="s">
        <v>84</v>
      </c>
      <c r="H301" s="584" t="s">
        <v>32</v>
      </c>
      <c r="I301" s="585" t="s">
        <v>411</v>
      </c>
      <c r="J301" s="16"/>
      <c r="K301" s="32">
        <f t="shared" si="48"/>
        <v>628.29999999999995</v>
      </c>
      <c r="L301" s="32">
        <v>0</v>
      </c>
      <c r="M301" s="32">
        <v>628.29999999999995</v>
      </c>
      <c r="N301" s="32">
        <v>0</v>
      </c>
    </row>
    <row r="302" spans="1:14" s="127" customFormat="1" ht="54" x14ac:dyDescent="0.35">
      <c r="A302" s="17"/>
      <c r="B302" s="30" t="s">
        <v>71</v>
      </c>
      <c r="C302" s="31" t="s">
        <v>407</v>
      </c>
      <c r="D302" s="16" t="s">
        <v>219</v>
      </c>
      <c r="E302" s="16" t="s">
        <v>32</v>
      </c>
      <c r="F302" s="583" t="s">
        <v>76</v>
      </c>
      <c r="G302" s="584" t="s">
        <v>84</v>
      </c>
      <c r="H302" s="584" t="s">
        <v>32</v>
      </c>
      <c r="I302" s="585" t="s">
        <v>411</v>
      </c>
      <c r="J302" s="16" t="s">
        <v>72</v>
      </c>
      <c r="K302" s="32">
        <v>628.29999999999995</v>
      </c>
      <c r="L302" s="32">
        <v>0</v>
      </c>
      <c r="M302" s="32">
        <v>628.29999999999995</v>
      </c>
      <c r="N302" s="32">
        <v>0</v>
      </c>
    </row>
    <row r="303" spans="1:14" s="127" customFormat="1" ht="54" x14ac:dyDescent="0.35">
      <c r="A303" s="17"/>
      <c r="B303" s="30" t="s">
        <v>228</v>
      </c>
      <c r="C303" s="31" t="s">
        <v>407</v>
      </c>
      <c r="D303" s="16" t="s">
        <v>219</v>
      </c>
      <c r="E303" s="16" t="s">
        <v>32</v>
      </c>
      <c r="F303" s="583" t="s">
        <v>229</v>
      </c>
      <c r="G303" s="584" t="s">
        <v>37</v>
      </c>
      <c r="H303" s="584" t="s">
        <v>38</v>
      </c>
      <c r="I303" s="585" t="s">
        <v>39</v>
      </c>
      <c r="J303" s="16"/>
      <c r="K303" s="32">
        <f t="shared" ref="K303:N306" si="49">K304</f>
        <v>53.4</v>
      </c>
      <c r="L303" s="32">
        <v>0</v>
      </c>
      <c r="M303" s="32">
        <v>53.4</v>
      </c>
      <c r="N303" s="32">
        <v>53.4</v>
      </c>
    </row>
    <row r="304" spans="1:14" s="127" customFormat="1" ht="36" x14ac:dyDescent="0.35">
      <c r="A304" s="17"/>
      <c r="B304" s="30" t="s">
        <v>328</v>
      </c>
      <c r="C304" s="31" t="s">
        <v>407</v>
      </c>
      <c r="D304" s="16" t="s">
        <v>219</v>
      </c>
      <c r="E304" s="16" t="s">
        <v>32</v>
      </c>
      <c r="F304" s="583" t="s">
        <v>229</v>
      </c>
      <c r="G304" s="584" t="s">
        <v>40</v>
      </c>
      <c r="H304" s="584" t="s">
        <v>38</v>
      </c>
      <c r="I304" s="585" t="s">
        <v>39</v>
      </c>
      <c r="J304" s="16"/>
      <c r="K304" s="32">
        <f t="shared" si="49"/>
        <v>53.4</v>
      </c>
      <c r="L304" s="32">
        <v>0</v>
      </c>
      <c r="M304" s="32">
        <v>53.4</v>
      </c>
      <c r="N304" s="32">
        <v>53.4</v>
      </c>
    </row>
    <row r="305" spans="1:14" s="127" customFormat="1" ht="72" x14ac:dyDescent="0.35">
      <c r="A305" s="17"/>
      <c r="B305" s="30" t="s">
        <v>274</v>
      </c>
      <c r="C305" s="31" t="s">
        <v>407</v>
      </c>
      <c r="D305" s="16" t="s">
        <v>219</v>
      </c>
      <c r="E305" s="16" t="s">
        <v>32</v>
      </c>
      <c r="F305" s="583" t="s">
        <v>229</v>
      </c>
      <c r="G305" s="584" t="s">
        <v>40</v>
      </c>
      <c r="H305" s="584" t="s">
        <v>32</v>
      </c>
      <c r="I305" s="585" t="s">
        <v>39</v>
      </c>
      <c r="J305" s="16"/>
      <c r="K305" s="32">
        <f>K306</f>
        <v>53.4</v>
      </c>
      <c r="L305" s="32">
        <v>0</v>
      </c>
      <c r="M305" s="32">
        <v>53.4</v>
      </c>
      <c r="N305" s="32">
        <v>53.4</v>
      </c>
    </row>
    <row r="306" spans="1:14" s="127" customFormat="1" ht="36" x14ac:dyDescent="0.35">
      <c r="A306" s="17"/>
      <c r="B306" s="30" t="s">
        <v>230</v>
      </c>
      <c r="C306" s="31" t="s">
        <v>407</v>
      </c>
      <c r="D306" s="16" t="s">
        <v>219</v>
      </c>
      <c r="E306" s="16" t="s">
        <v>32</v>
      </c>
      <c r="F306" s="583" t="s">
        <v>229</v>
      </c>
      <c r="G306" s="584" t="s">
        <v>40</v>
      </c>
      <c r="H306" s="584" t="s">
        <v>32</v>
      </c>
      <c r="I306" s="585" t="s">
        <v>268</v>
      </c>
      <c r="J306" s="16"/>
      <c r="K306" s="32">
        <f t="shared" si="49"/>
        <v>53.4</v>
      </c>
      <c r="L306" s="32">
        <v>0</v>
      </c>
      <c r="M306" s="32">
        <v>53.4</v>
      </c>
      <c r="N306" s="32">
        <v>53.4</v>
      </c>
    </row>
    <row r="307" spans="1:14" s="127" customFormat="1" ht="54" x14ac:dyDescent="0.35">
      <c r="A307" s="17"/>
      <c r="B307" s="30" t="s">
        <v>71</v>
      </c>
      <c r="C307" s="31" t="s">
        <v>407</v>
      </c>
      <c r="D307" s="16" t="s">
        <v>219</v>
      </c>
      <c r="E307" s="16" t="s">
        <v>32</v>
      </c>
      <c r="F307" s="583" t="s">
        <v>229</v>
      </c>
      <c r="G307" s="584" t="s">
        <v>40</v>
      </c>
      <c r="H307" s="584" t="s">
        <v>32</v>
      </c>
      <c r="I307" s="585" t="s">
        <v>268</v>
      </c>
      <c r="J307" s="16" t="s">
        <v>72</v>
      </c>
      <c r="K307" s="32">
        <v>53.4</v>
      </c>
      <c r="L307" s="32">
        <v>0</v>
      </c>
      <c r="M307" s="32">
        <v>53.4</v>
      </c>
      <c r="N307" s="32">
        <v>53.4</v>
      </c>
    </row>
    <row r="308" spans="1:14" s="127" customFormat="1" ht="18" x14ac:dyDescent="0.35">
      <c r="A308" s="17"/>
      <c r="B308" s="30" t="s">
        <v>178</v>
      </c>
      <c r="C308" s="31" t="s">
        <v>407</v>
      </c>
      <c r="D308" s="16" t="s">
        <v>219</v>
      </c>
      <c r="E308" s="16" t="s">
        <v>34</v>
      </c>
      <c r="F308" s="583"/>
      <c r="G308" s="584"/>
      <c r="H308" s="584"/>
      <c r="I308" s="585"/>
      <c r="J308" s="16"/>
      <c r="K308" s="32">
        <f>K309</f>
        <v>604135.20000000007</v>
      </c>
      <c r="L308" s="32">
        <v>-3854.4</v>
      </c>
      <c r="M308" s="32">
        <v>600280.80000000016</v>
      </c>
      <c r="N308" s="32">
        <v>614556.79999999993</v>
      </c>
    </row>
    <row r="309" spans="1:14" s="127" customFormat="1" ht="54" x14ac:dyDescent="0.35">
      <c r="A309" s="17"/>
      <c r="B309" s="30" t="s">
        <v>200</v>
      </c>
      <c r="C309" s="31" t="s">
        <v>407</v>
      </c>
      <c r="D309" s="16" t="s">
        <v>219</v>
      </c>
      <c r="E309" s="16" t="s">
        <v>34</v>
      </c>
      <c r="F309" s="583" t="s">
        <v>34</v>
      </c>
      <c r="G309" s="584" t="s">
        <v>37</v>
      </c>
      <c r="H309" s="584" t="s">
        <v>38</v>
      </c>
      <c r="I309" s="585" t="s">
        <v>39</v>
      </c>
      <c r="J309" s="16"/>
      <c r="K309" s="32">
        <f>K310+K349</f>
        <v>604135.20000000007</v>
      </c>
      <c r="L309" s="32">
        <v>-3854.4</v>
      </c>
      <c r="M309" s="32">
        <v>600280.80000000016</v>
      </c>
      <c r="N309" s="32">
        <v>614556.79999999993</v>
      </c>
    </row>
    <row r="310" spans="1:14" s="127" customFormat="1" ht="36" x14ac:dyDescent="0.35">
      <c r="A310" s="17"/>
      <c r="B310" s="30" t="s">
        <v>201</v>
      </c>
      <c r="C310" s="31" t="s">
        <v>407</v>
      </c>
      <c r="D310" s="16" t="s">
        <v>219</v>
      </c>
      <c r="E310" s="16" t="s">
        <v>34</v>
      </c>
      <c r="F310" s="583" t="s">
        <v>34</v>
      </c>
      <c r="G310" s="584" t="s">
        <v>40</v>
      </c>
      <c r="H310" s="584" t="s">
        <v>38</v>
      </c>
      <c r="I310" s="585" t="s">
        <v>39</v>
      </c>
      <c r="J310" s="16"/>
      <c r="K310" s="32">
        <f>K311</f>
        <v>601840.4</v>
      </c>
      <c r="L310" s="32">
        <v>-3854.4</v>
      </c>
      <c r="M310" s="32">
        <v>597986.00000000012</v>
      </c>
      <c r="N310" s="32">
        <v>612261.99999999988</v>
      </c>
    </row>
    <row r="311" spans="1:14" s="127" customFormat="1" ht="18" x14ac:dyDescent="0.35">
      <c r="A311" s="17"/>
      <c r="B311" s="30" t="s">
        <v>260</v>
      </c>
      <c r="C311" s="31" t="s">
        <v>407</v>
      </c>
      <c r="D311" s="16" t="s">
        <v>219</v>
      </c>
      <c r="E311" s="16" t="s">
        <v>34</v>
      </c>
      <c r="F311" s="583" t="s">
        <v>34</v>
      </c>
      <c r="G311" s="584" t="s">
        <v>40</v>
      </c>
      <c r="H311" s="584" t="s">
        <v>34</v>
      </c>
      <c r="I311" s="585" t="s">
        <v>39</v>
      </c>
      <c r="J311" s="16"/>
      <c r="K311" s="32">
        <f>K326+K330+K334+K312+K320+K340+K323+K317+K345+K337+K343</f>
        <v>601840.4</v>
      </c>
      <c r="L311" s="32">
        <v>-3854.4</v>
      </c>
      <c r="M311" s="32">
        <v>597986.00000000012</v>
      </c>
      <c r="N311" s="32">
        <v>612261.99999999988</v>
      </c>
    </row>
    <row r="312" spans="1:14" s="123" customFormat="1" ht="36" x14ac:dyDescent="0.35">
      <c r="A312" s="17"/>
      <c r="B312" s="85" t="s">
        <v>437</v>
      </c>
      <c r="C312" s="31" t="s">
        <v>407</v>
      </c>
      <c r="D312" s="16" t="s">
        <v>219</v>
      </c>
      <c r="E312" s="16" t="s">
        <v>34</v>
      </c>
      <c r="F312" s="583" t="s">
        <v>34</v>
      </c>
      <c r="G312" s="584" t="s">
        <v>40</v>
      </c>
      <c r="H312" s="584" t="s">
        <v>34</v>
      </c>
      <c r="I312" s="585" t="s">
        <v>86</v>
      </c>
      <c r="J312" s="16"/>
      <c r="K312" s="32">
        <f>K315+K316+K314+K313</f>
        <v>63512.2</v>
      </c>
      <c r="L312" s="32">
        <v>0</v>
      </c>
      <c r="M312" s="32">
        <v>63512.2</v>
      </c>
      <c r="N312" s="32">
        <v>69863.400000000009</v>
      </c>
    </row>
    <row r="313" spans="1:14" s="123" customFormat="1" ht="108" x14ac:dyDescent="0.35">
      <c r="A313" s="17"/>
      <c r="B313" s="30" t="s">
        <v>44</v>
      </c>
      <c r="C313" s="31" t="s">
        <v>407</v>
      </c>
      <c r="D313" s="16" t="s">
        <v>219</v>
      </c>
      <c r="E313" s="16" t="s">
        <v>34</v>
      </c>
      <c r="F313" s="583" t="s">
        <v>34</v>
      </c>
      <c r="G313" s="584" t="s">
        <v>40</v>
      </c>
      <c r="H313" s="584" t="s">
        <v>34</v>
      </c>
      <c r="I313" s="585" t="s">
        <v>86</v>
      </c>
      <c r="J313" s="16" t="s">
        <v>45</v>
      </c>
      <c r="K313" s="32">
        <v>319.10000000000002</v>
      </c>
      <c r="L313" s="32">
        <v>0</v>
      </c>
      <c r="M313" s="32">
        <v>319.10000000000002</v>
      </c>
      <c r="N313" s="32">
        <v>319.10000000000002</v>
      </c>
    </row>
    <row r="314" spans="1:14" s="123" customFormat="1" ht="54" x14ac:dyDescent="0.35">
      <c r="A314" s="17"/>
      <c r="B314" s="30" t="s">
        <v>50</v>
      </c>
      <c r="C314" s="31" t="s">
        <v>407</v>
      </c>
      <c r="D314" s="16" t="s">
        <v>219</v>
      </c>
      <c r="E314" s="16" t="s">
        <v>34</v>
      </c>
      <c r="F314" s="583" t="s">
        <v>34</v>
      </c>
      <c r="G314" s="584" t="s">
        <v>40</v>
      </c>
      <c r="H314" s="584" t="s">
        <v>34</v>
      </c>
      <c r="I314" s="585" t="s">
        <v>86</v>
      </c>
      <c r="J314" s="16" t="s">
        <v>51</v>
      </c>
      <c r="K314" s="32">
        <v>4475.6000000000004</v>
      </c>
      <c r="L314" s="32">
        <v>0</v>
      </c>
      <c r="M314" s="32">
        <v>4475.6000000000004</v>
      </c>
      <c r="N314" s="32">
        <v>5635.2</v>
      </c>
    </row>
    <row r="315" spans="1:14" s="123" customFormat="1" ht="54" x14ac:dyDescent="0.35">
      <c r="A315" s="17"/>
      <c r="B315" s="30" t="s">
        <v>71</v>
      </c>
      <c r="C315" s="31" t="s">
        <v>407</v>
      </c>
      <c r="D315" s="16" t="s">
        <v>219</v>
      </c>
      <c r="E315" s="16" t="s">
        <v>34</v>
      </c>
      <c r="F315" s="583" t="s">
        <v>34</v>
      </c>
      <c r="G315" s="584" t="s">
        <v>40</v>
      </c>
      <c r="H315" s="584" t="s">
        <v>34</v>
      </c>
      <c r="I315" s="585" t="s">
        <v>86</v>
      </c>
      <c r="J315" s="16" t="s">
        <v>72</v>
      </c>
      <c r="K315" s="32">
        <v>58156.5</v>
      </c>
      <c r="L315" s="32">
        <v>0</v>
      </c>
      <c r="M315" s="32">
        <v>58156.5</v>
      </c>
      <c r="N315" s="32">
        <v>63353.5</v>
      </c>
    </row>
    <row r="316" spans="1:14" s="123" customFormat="1" ht="18" x14ac:dyDescent="0.35">
      <c r="A316" s="17"/>
      <c r="B316" s="30" t="s">
        <v>52</v>
      </c>
      <c r="C316" s="31" t="s">
        <v>407</v>
      </c>
      <c r="D316" s="16" t="s">
        <v>219</v>
      </c>
      <c r="E316" s="16" t="s">
        <v>34</v>
      </c>
      <c r="F316" s="583" t="s">
        <v>34</v>
      </c>
      <c r="G316" s="584" t="s">
        <v>40</v>
      </c>
      <c r="H316" s="584" t="s">
        <v>34</v>
      </c>
      <c r="I316" s="585" t="s">
        <v>86</v>
      </c>
      <c r="J316" s="16" t="s">
        <v>53</v>
      </c>
      <c r="K316" s="32">
        <v>561</v>
      </c>
      <c r="L316" s="32">
        <v>0</v>
      </c>
      <c r="M316" s="32">
        <v>561</v>
      </c>
      <c r="N316" s="32">
        <v>555.6</v>
      </c>
    </row>
    <row r="317" spans="1:14" s="123" customFormat="1" ht="54" x14ac:dyDescent="0.35">
      <c r="A317" s="17"/>
      <c r="B317" s="30" t="s">
        <v>202</v>
      </c>
      <c r="C317" s="31" t="s">
        <v>407</v>
      </c>
      <c r="D317" s="16" t="s">
        <v>219</v>
      </c>
      <c r="E317" s="16" t="s">
        <v>34</v>
      </c>
      <c r="F317" s="583" t="s">
        <v>34</v>
      </c>
      <c r="G317" s="584" t="s">
        <v>40</v>
      </c>
      <c r="H317" s="584" t="s">
        <v>34</v>
      </c>
      <c r="I317" s="585" t="s">
        <v>261</v>
      </c>
      <c r="J317" s="16"/>
      <c r="K317" s="32">
        <f>K318+K319</f>
        <v>23460.699999999997</v>
      </c>
      <c r="L317" s="32">
        <v>-3854.4</v>
      </c>
      <c r="M317" s="32">
        <v>19606.299999999996</v>
      </c>
      <c r="N317" s="32">
        <v>20406</v>
      </c>
    </row>
    <row r="318" spans="1:14" s="123" customFormat="1" ht="54" x14ac:dyDescent="0.35">
      <c r="A318" s="17"/>
      <c r="B318" s="30" t="s">
        <v>50</v>
      </c>
      <c r="C318" s="31" t="s">
        <v>407</v>
      </c>
      <c r="D318" s="16" t="s">
        <v>219</v>
      </c>
      <c r="E318" s="16" t="s">
        <v>34</v>
      </c>
      <c r="F318" s="583" t="s">
        <v>34</v>
      </c>
      <c r="G318" s="584" t="s">
        <v>40</v>
      </c>
      <c r="H318" s="584" t="s">
        <v>34</v>
      </c>
      <c r="I318" s="585" t="s">
        <v>261</v>
      </c>
      <c r="J318" s="16" t="s">
        <v>51</v>
      </c>
      <c r="K318" s="32">
        <f>3854.4</f>
        <v>3854.4</v>
      </c>
      <c r="L318" s="32">
        <v>-3854.4</v>
      </c>
      <c r="M318" s="575">
        <v>0</v>
      </c>
      <c r="N318" s="32">
        <v>3854.4</v>
      </c>
    </row>
    <row r="319" spans="1:14" s="123" customFormat="1" ht="54" x14ac:dyDescent="0.35">
      <c r="A319" s="17"/>
      <c r="B319" s="30" t="s">
        <v>71</v>
      </c>
      <c r="C319" s="31" t="s">
        <v>407</v>
      </c>
      <c r="D319" s="16" t="s">
        <v>219</v>
      </c>
      <c r="E319" s="16" t="s">
        <v>34</v>
      </c>
      <c r="F319" s="583" t="s">
        <v>34</v>
      </c>
      <c r="G319" s="584" t="s">
        <v>40</v>
      </c>
      <c r="H319" s="584" t="s">
        <v>34</v>
      </c>
      <c r="I319" s="585" t="s">
        <v>261</v>
      </c>
      <c r="J319" s="16" t="s">
        <v>72</v>
      </c>
      <c r="K319" s="32">
        <f>22162.8+244.6+956.1-3757.2</f>
        <v>19606.299999999996</v>
      </c>
      <c r="L319" s="32">
        <v>0</v>
      </c>
      <c r="M319" s="32">
        <v>19606.299999999996</v>
      </c>
      <c r="N319" s="32">
        <v>16551.599999999999</v>
      </c>
    </row>
    <row r="320" spans="1:14" s="123" customFormat="1" ht="36" x14ac:dyDescent="0.35">
      <c r="A320" s="17"/>
      <c r="B320" s="30" t="s">
        <v>203</v>
      </c>
      <c r="C320" s="31" t="s">
        <v>407</v>
      </c>
      <c r="D320" s="16" t="s">
        <v>219</v>
      </c>
      <c r="E320" s="16" t="s">
        <v>34</v>
      </c>
      <c r="F320" s="583" t="s">
        <v>34</v>
      </c>
      <c r="G320" s="584" t="s">
        <v>40</v>
      </c>
      <c r="H320" s="584" t="s">
        <v>34</v>
      </c>
      <c r="I320" s="585" t="s">
        <v>262</v>
      </c>
      <c r="J320" s="16"/>
      <c r="K320" s="32">
        <f>K321+K322</f>
        <v>4618.1000000000004</v>
      </c>
      <c r="L320" s="32">
        <v>0</v>
      </c>
      <c r="M320" s="32">
        <v>4618.1000000000004</v>
      </c>
      <c r="N320" s="32">
        <v>4618.1000000000004</v>
      </c>
    </row>
    <row r="321" spans="1:14" s="123" customFormat="1" ht="54" x14ac:dyDescent="0.35">
      <c r="A321" s="17"/>
      <c r="B321" s="30" t="s">
        <v>50</v>
      </c>
      <c r="C321" s="31" t="s">
        <v>407</v>
      </c>
      <c r="D321" s="16" t="s">
        <v>219</v>
      </c>
      <c r="E321" s="16" t="s">
        <v>34</v>
      </c>
      <c r="F321" s="583" t="s">
        <v>34</v>
      </c>
      <c r="G321" s="584" t="s">
        <v>40</v>
      </c>
      <c r="H321" s="584" t="s">
        <v>34</v>
      </c>
      <c r="I321" s="585" t="s">
        <v>262</v>
      </c>
      <c r="J321" s="16" t="s">
        <v>51</v>
      </c>
      <c r="K321" s="32">
        <v>142</v>
      </c>
      <c r="L321" s="32">
        <v>0</v>
      </c>
      <c r="M321" s="32">
        <v>142</v>
      </c>
      <c r="N321" s="32">
        <v>142</v>
      </c>
    </row>
    <row r="322" spans="1:14" s="123" customFormat="1" ht="54" x14ac:dyDescent="0.35">
      <c r="A322" s="17"/>
      <c r="B322" s="30" t="s">
        <v>71</v>
      </c>
      <c r="C322" s="31" t="s">
        <v>407</v>
      </c>
      <c r="D322" s="16" t="s">
        <v>219</v>
      </c>
      <c r="E322" s="16" t="s">
        <v>34</v>
      </c>
      <c r="F322" s="583" t="s">
        <v>34</v>
      </c>
      <c r="G322" s="584" t="s">
        <v>40</v>
      </c>
      <c r="H322" s="584" t="s">
        <v>34</v>
      </c>
      <c r="I322" s="585" t="s">
        <v>262</v>
      </c>
      <c r="J322" s="16" t="s">
        <v>72</v>
      </c>
      <c r="K322" s="32">
        <v>4476.1000000000004</v>
      </c>
      <c r="L322" s="32">
        <v>0</v>
      </c>
      <c r="M322" s="32">
        <v>4476.1000000000004</v>
      </c>
      <c r="N322" s="32">
        <v>4476.1000000000004</v>
      </c>
    </row>
    <row r="323" spans="1:14" s="123" customFormat="1" ht="180" x14ac:dyDescent="0.35">
      <c r="A323" s="17"/>
      <c r="B323" s="30" t="s">
        <v>554</v>
      </c>
      <c r="C323" s="31" t="s">
        <v>407</v>
      </c>
      <c r="D323" s="16" t="s">
        <v>219</v>
      </c>
      <c r="E323" s="16" t="s">
        <v>34</v>
      </c>
      <c r="F323" s="583" t="s">
        <v>34</v>
      </c>
      <c r="G323" s="584" t="s">
        <v>40</v>
      </c>
      <c r="H323" s="584" t="s">
        <v>34</v>
      </c>
      <c r="I323" s="585" t="s">
        <v>510</v>
      </c>
      <c r="J323" s="16"/>
      <c r="K323" s="32">
        <f>K324+K325</f>
        <v>33409.299999999996</v>
      </c>
      <c r="L323" s="32">
        <v>0</v>
      </c>
      <c r="M323" s="32">
        <v>33409.299999999996</v>
      </c>
      <c r="N323" s="32">
        <v>35284.199999999997</v>
      </c>
    </row>
    <row r="324" spans="1:14" s="123" customFormat="1" ht="108" x14ac:dyDescent="0.35">
      <c r="A324" s="17"/>
      <c r="B324" s="30" t="s">
        <v>44</v>
      </c>
      <c r="C324" s="31" t="s">
        <v>407</v>
      </c>
      <c r="D324" s="16" t="s">
        <v>219</v>
      </c>
      <c r="E324" s="16" t="s">
        <v>34</v>
      </c>
      <c r="F324" s="583" t="s">
        <v>34</v>
      </c>
      <c r="G324" s="584" t="s">
        <v>40</v>
      </c>
      <c r="H324" s="584" t="s">
        <v>34</v>
      </c>
      <c r="I324" s="585" t="s">
        <v>510</v>
      </c>
      <c r="J324" s="16" t="s">
        <v>45</v>
      </c>
      <c r="K324" s="32">
        <v>2734.2</v>
      </c>
      <c r="L324" s="32">
        <v>0</v>
      </c>
      <c r="M324" s="32">
        <v>2734.2</v>
      </c>
      <c r="N324" s="32">
        <v>2812.4</v>
      </c>
    </row>
    <row r="325" spans="1:14" s="123" customFormat="1" ht="54" x14ac:dyDescent="0.35">
      <c r="A325" s="17"/>
      <c r="B325" s="30" t="s">
        <v>71</v>
      </c>
      <c r="C325" s="31" t="s">
        <v>407</v>
      </c>
      <c r="D325" s="16" t="s">
        <v>219</v>
      </c>
      <c r="E325" s="16" t="s">
        <v>34</v>
      </c>
      <c r="F325" s="583" t="s">
        <v>34</v>
      </c>
      <c r="G325" s="584" t="s">
        <v>40</v>
      </c>
      <c r="H325" s="584" t="s">
        <v>34</v>
      </c>
      <c r="I325" s="585" t="s">
        <v>510</v>
      </c>
      <c r="J325" s="16" t="s">
        <v>72</v>
      </c>
      <c r="K325" s="32">
        <v>30675.1</v>
      </c>
      <c r="L325" s="32">
        <v>0</v>
      </c>
      <c r="M325" s="32">
        <v>30675.1</v>
      </c>
      <c r="N325" s="32">
        <v>32471.8</v>
      </c>
    </row>
    <row r="326" spans="1:14" s="127" customFormat="1" ht="180" x14ac:dyDescent="0.35">
      <c r="A326" s="17"/>
      <c r="B326" s="30" t="s">
        <v>256</v>
      </c>
      <c r="C326" s="31" t="s">
        <v>407</v>
      </c>
      <c r="D326" s="16" t="s">
        <v>219</v>
      </c>
      <c r="E326" s="16" t="s">
        <v>34</v>
      </c>
      <c r="F326" s="583" t="s">
        <v>34</v>
      </c>
      <c r="G326" s="584" t="s">
        <v>40</v>
      </c>
      <c r="H326" s="584" t="s">
        <v>34</v>
      </c>
      <c r="I326" s="585" t="s">
        <v>257</v>
      </c>
      <c r="J326" s="16"/>
      <c r="K326" s="32">
        <f>SUM(K327:K329)</f>
        <v>1659.2</v>
      </c>
      <c r="L326" s="32">
        <v>0</v>
      </c>
      <c r="M326" s="32">
        <v>1659.2</v>
      </c>
      <c r="N326" s="32">
        <v>1709</v>
      </c>
    </row>
    <row r="327" spans="1:14" s="127" customFormat="1" ht="108" x14ac:dyDescent="0.35">
      <c r="A327" s="17"/>
      <c r="B327" s="30" t="s">
        <v>44</v>
      </c>
      <c r="C327" s="31" t="s">
        <v>407</v>
      </c>
      <c r="D327" s="16" t="s">
        <v>219</v>
      </c>
      <c r="E327" s="16" t="s">
        <v>34</v>
      </c>
      <c r="F327" s="583" t="s">
        <v>34</v>
      </c>
      <c r="G327" s="584" t="s">
        <v>40</v>
      </c>
      <c r="H327" s="584" t="s">
        <v>34</v>
      </c>
      <c r="I327" s="585" t="s">
        <v>257</v>
      </c>
      <c r="J327" s="16" t="s">
        <v>45</v>
      </c>
      <c r="K327" s="32">
        <v>99.7</v>
      </c>
      <c r="L327" s="32">
        <v>0</v>
      </c>
      <c r="M327" s="32">
        <v>99.7</v>
      </c>
      <c r="N327" s="32">
        <v>99.7</v>
      </c>
    </row>
    <row r="328" spans="1:14" s="127" customFormat="1" ht="36" x14ac:dyDescent="0.35">
      <c r="A328" s="17"/>
      <c r="B328" s="30" t="s">
        <v>115</v>
      </c>
      <c r="C328" s="31" t="s">
        <v>407</v>
      </c>
      <c r="D328" s="16" t="s">
        <v>219</v>
      </c>
      <c r="E328" s="16" t="s">
        <v>34</v>
      </c>
      <c r="F328" s="583" t="s">
        <v>34</v>
      </c>
      <c r="G328" s="584" t="s">
        <v>40</v>
      </c>
      <c r="H328" s="584" t="s">
        <v>34</v>
      </c>
      <c r="I328" s="585" t="s">
        <v>257</v>
      </c>
      <c r="J328" s="16" t="s">
        <v>116</v>
      </c>
      <c r="K328" s="32">
        <v>6.6</v>
      </c>
      <c r="L328" s="32">
        <v>0</v>
      </c>
      <c r="M328" s="32">
        <v>6.6</v>
      </c>
      <c r="N328" s="32">
        <v>6.6</v>
      </c>
    </row>
    <row r="329" spans="1:14" s="127" customFormat="1" ht="54" x14ac:dyDescent="0.35">
      <c r="A329" s="17"/>
      <c r="B329" s="30" t="s">
        <v>71</v>
      </c>
      <c r="C329" s="31" t="s">
        <v>407</v>
      </c>
      <c r="D329" s="16" t="s">
        <v>219</v>
      </c>
      <c r="E329" s="16" t="s">
        <v>34</v>
      </c>
      <c r="F329" s="583" t="s">
        <v>34</v>
      </c>
      <c r="G329" s="584" t="s">
        <v>40</v>
      </c>
      <c r="H329" s="584" t="s">
        <v>34</v>
      </c>
      <c r="I329" s="585" t="s">
        <v>257</v>
      </c>
      <c r="J329" s="16" t="s">
        <v>72</v>
      </c>
      <c r="K329" s="32">
        <v>1552.9</v>
      </c>
      <c r="L329" s="32">
        <v>0</v>
      </c>
      <c r="M329" s="32">
        <v>1552.9</v>
      </c>
      <c r="N329" s="32">
        <v>1602.7</v>
      </c>
    </row>
    <row r="330" spans="1:14" s="127" customFormat="1" ht="108" x14ac:dyDescent="0.35">
      <c r="A330" s="17"/>
      <c r="B330" s="30" t="s">
        <v>334</v>
      </c>
      <c r="C330" s="31" t="s">
        <v>407</v>
      </c>
      <c r="D330" s="16" t="s">
        <v>219</v>
      </c>
      <c r="E330" s="16" t="s">
        <v>34</v>
      </c>
      <c r="F330" s="583" t="s">
        <v>34</v>
      </c>
      <c r="G330" s="584" t="s">
        <v>40</v>
      </c>
      <c r="H330" s="584" t="s">
        <v>34</v>
      </c>
      <c r="I330" s="585" t="s">
        <v>258</v>
      </c>
      <c r="J330" s="16"/>
      <c r="K330" s="32">
        <f>K331+K332+K333</f>
        <v>402579.3</v>
      </c>
      <c r="L330" s="32">
        <v>0</v>
      </c>
      <c r="M330" s="32">
        <v>402579.3</v>
      </c>
      <c r="N330" s="32">
        <v>402579.3</v>
      </c>
    </row>
    <row r="331" spans="1:14" s="127" customFormat="1" ht="108" x14ac:dyDescent="0.35">
      <c r="A331" s="17"/>
      <c r="B331" s="30" t="s">
        <v>44</v>
      </c>
      <c r="C331" s="31" t="s">
        <v>407</v>
      </c>
      <c r="D331" s="16" t="s">
        <v>219</v>
      </c>
      <c r="E331" s="16" t="s">
        <v>34</v>
      </c>
      <c r="F331" s="583" t="s">
        <v>34</v>
      </c>
      <c r="G331" s="584" t="s">
        <v>40</v>
      </c>
      <c r="H331" s="584" t="s">
        <v>34</v>
      </c>
      <c r="I331" s="585" t="s">
        <v>258</v>
      </c>
      <c r="J331" s="16" t="s">
        <v>45</v>
      </c>
      <c r="K331" s="32">
        <v>26623.599999999999</v>
      </c>
      <c r="L331" s="32">
        <v>0</v>
      </c>
      <c r="M331" s="32">
        <v>26623.599999999999</v>
      </c>
      <c r="N331" s="32">
        <v>26623.599999999999</v>
      </c>
    </row>
    <row r="332" spans="1:14" s="127" customFormat="1" ht="54" x14ac:dyDescent="0.35">
      <c r="A332" s="17"/>
      <c r="B332" s="30" t="s">
        <v>50</v>
      </c>
      <c r="C332" s="31" t="s">
        <v>407</v>
      </c>
      <c r="D332" s="16" t="s">
        <v>219</v>
      </c>
      <c r="E332" s="16" t="s">
        <v>34</v>
      </c>
      <c r="F332" s="583" t="s">
        <v>34</v>
      </c>
      <c r="G332" s="584" t="s">
        <v>40</v>
      </c>
      <c r="H332" s="584" t="s">
        <v>34</v>
      </c>
      <c r="I332" s="585" t="s">
        <v>258</v>
      </c>
      <c r="J332" s="16" t="s">
        <v>51</v>
      </c>
      <c r="K332" s="32">
        <v>3027.7</v>
      </c>
      <c r="L332" s="32">
        <v>0</v>
      </c>
      <c r="M332" s="32">
        <v>3027.7</v>
      </c>
      <c r="N332" s="32">
        <v>3027.7</v>
      </c>
    </row>
    <row r="333" spans="1:14" s="127" customFormat="1" ht="54" x14ac:dyDescent="0.35">
      <c r="A333" s="17"/>
      <c r="B333" s="30" t="s">
        <v>71</v>
      </c>
      <c r="C333" s="31" t="s">
        <v>407</v>
      </c>
      <c r="D333" s="16" t="s">
        <v>219</v>
      </c>
      <c r="E333" s="16" t="s">
        <v>34</v>
      </c>
      <c r="F333" s="583" t="s">
        <v>34</v>
      </c>
      <c r="G333" s="584" t="s">
        <v>40</v>
      </c>
      <c r="H333" s="584" t="s">
        <v>34</v>
      </c>
      <c r="I333" s="585" t="s">
        <v>258</v>
      </c>
      <c r="J333" s="16" t="s">
        <v>72</v>
      </c>
      <c r="K333" s="32">
        <v>372928</v>
      </c>
      <c r="L333" s="32">
        <v>0</v>
      </c>
      <c r="M333" s="32">
        <v>372928</v>
      </c>
      <c r="N333" s="32">
        <v>372928</v>
      </c>
    </row>
    <row r="334" spans="1:14" s="123" customFormat="1" ht="90" x14ac:dyDescent="0.35">
      <c r="A334" s="17"/>
      <c r="B334" s="30" t="s">
        <v>204</v>
      </c>
      <c r="C334" s="31" t="s">
        <v>407</v>
      </c>
      <c r="D334" s="16" t="s">
        <v>219</v>
      </c>
      <c r="E334" s="16" t="s">
        <v>34</v>
      </c>
      <c r="F334" s="583" t="s">
        <v>34</v>
      </c>
      <c r="G334" s="584" t="s">
        <v>40</v>
      </c>
      <c r="H334" s="584" t="s">
        <v>34</v>
      </c>
      <c r="I334" s="585" t="s">
        <v>263</v>
      </c>
      <c r="J334" s="16"/>
      <c r="K334" s="32">
        <f t="shared" ref="K334" si="50">SUM(K335:K336)</f>
        <v>2380.9</v>
      </c>
      <c r="L334" s="32">
        <v>0</v>
      </c>
      <c r="M334" s="32">
        <v>2380.9</v>
      </c>
      <c r="N334" s="32">
        <v>2550.2999999999997</v>
      </c>
    </row>
    <row r="335" spans="1:14" s="123" customFormat="1" ht="54" x14ac:dyDescent="0.35">
      <c r="A335" s="17"/>
      <c r="B335" s="30" t="s">
        <v>50</v>
      </c>
      <c r="C335" s="31" t="s">
        <v>407</v>
      </c>
      <c r="D335" s="16" t="s">
        <v>219</v>
      </c>
      <c r="E335" s="16" t="s">
        <v>34</v>
      </c>
      <c r="F335" s="583" t="s">
        <v>34</v>
      </c>
      <c r="G335" s="584" t="s">
        <v>40</v>
      </c>
      <c r="H335" s="584" t="s">
        <v>34</v>
      </c>
      <c r="I335" s="585" t="s">
        <v>263</v>
      </c>
      <c r="J335" s="16" t="s">
        <v>51</v>
      </c>
      <c r="K335" s="32">
        <v>102.8</v>
      </c>
      <c r="L335" s="32">
        <v>0</v>
      </c>
      <c r="M335" s="32">
        <v>102.8</v>
      </c>
      <c r="N335" s="32">
        <v>111.2</v>
      </c>
    </row>
    <row r="336" spans="1:14" s="123" customFormat="1" ht="54" x14ac:dyDescent="0.35">
      <c r="A336" s="17"/>
      <c r="B336" s="30" t="s">
        <v>71</v>
      </c>
      <c r="C336" s="31" t="s">
        <v>407</v>
      </c>
      <c r="D336" s="16" t="s">
        <v>219</v>
      </c>
      <c r="E336" s="16" t="s">
        <v>34</v>
      </c>
      <c r="F336" s="583" t="s">
        <v>34</v>
      </c>
      <c r="G336" s="584" t="s">
        <v>40</v>
      </c>
      <c r="H336" s="584" t="s">
        <v>34</v>
      </c>
      <c r="I336" s="585" t="s">
        <v>263</v>
      </c>
      <c r="J336" s="16" t="s">
        <v>72</v>
      </c>
      <c r="K336" s="32">
        <v>2278.1</v>
      </c>
      <c r="L336" s="32">
        <v>0</v>
      </c>
      <c r="M336" s="32">
        <v>2278.1</v>
      </c>
      <c r="N336" s="32">
        <v>2439.1</v>
      </c>
    </row>
    <row r="337" spans="1:17" s="123" customFormat="1" ht="157.5" customHeight="1" x14ac:dyDescent="0.35">
      <c r="A337" s="17"/>
      <c r="B337" s="30" t="s">
        <v>541</v>
      </c>
      <c r="C337" s="31" t="s">
        <v>407</v>
      </c>
      <c r="D337" s="16" t="s">
        <v>219</v>
      </c>
      <c r="E337" s="16" t="s">
        <v>34</v>
      </c>
      <c r="F337" s="583" t="s">
        <v>34</v>
      </c>
      <c r="G337" s="584" t="s">
        <v>40</v>
      </c>
      <c r="H337" s="584" t="s">
        <v>34</v>
      </c>
      <c r="I337" s="585" t="s">
        <v>540</v>
      </c>
      <c r="J337" s="16"/>
      <c r="K337" s="32">
        <f>K338+K339</f>
        <v>1196.0999999999999</v>
      </c>
      <c r="L337" s="32">
        <v>0</v>
      </c>
      <c r="M337" s="32">
        <v>1196.0999999999999</v>
      </c>
      <c r="N337" s="32">
        <v>1196.0999999999999</v>
      </c>
    </row>
    <row r="338" spans="1:17" s="123" customFormat="1" ht="54" x14ac:dyDescent="0.35">
      <c r="A338" s="17"/>
      <c r="B338" s="30" t="s">
        <v>50</v>
      </c>
      <c r="C338" s="31" t="s">
        <v>407</v>
      </c>
      <c r="D338" s="16" t="s">
        <v>219</v>
      </c>
      <c r="E338" s="16" t="s">
        <v>34</v>
      </c>
      <c r="F338" s="583" t="s">
        <v>34</v>
      </c>
      <c r="G338" s="584" t="s">
        <v>40</v>
      </c>
      <c r="H338" s="584" t="s">
        <v>34</v>
      </c>
      <c r="I338" s="585" t="s">
        <v>540</v>
      </c>
      <c r="J338" s="16" t="s">
        <v>51</v>
      </c>
      <c r="K338" s="32">
        <v>15</v>
      </c>
      <c r="L338" s="32">
        <v>0</v>
      </c>
      <c r="M338" s="32">
        <v>15</v>
      </c>
      <c r="N338" s="32">
        <v>15</v>
      </c>
    </row>
    <row r="339" spans="1:17" s="123" customFormat="1" ht="54" x14ac:dyDescent="0.35">
      <c r="A339" s="17"/>
      <c r="B339" s="30" t="s">
        <v>71</v>
      </c>
      <c r="C339" s="31" t="s">
        <v>407</v>
      </c>
      <c r="D339" s="16" t="s">
        <v>219</v>
      </c>
      <c r="E339" s="16" t="s">
        <v>34</v>
      </c>
      <c r="F339" s="583" t="s">
        <v>34</v>
      </c>
      <c r="G339" s="584" t="s">
        <v>40</v>
      </c>
      <c r="H339" s="584" t="s">
        <v>34</v>
      </c>
      <c r="I339" s="585" t="s">
        <v>540</v>
      </c>
      <c r="J339" s="16" t="s">
        <v>72</v>
      </c>
      <c r="K339" s="32">
        <v>1181.0999999999999</v>
      </c>
      <c r="L339" s="32">
        <v>0</v>
      </c>
      <c r="M339" s="32">
        <v>1181.0999999999999</v>
      </c>
      <c r="N339" s="32">
        <v>1181.0999999999999</v>
      </c>
    </row>
    <row r="340" spans="1:17" s="123" customFormat="1" ht="95.4" customHeight="1" x14ac:dyDescent="0.35">
      <c r="A340" s="17"/>
      <c r="B340" s="30" t="s">
        <v>431</v>
      </c>
      <c r="C340" s="31" t="s">
        <v>407</v>
      </c>
      <c r="D340" s="16" t="s">
        <v>219</v>
      </c>
      <c r="E340" s="16" t="s">
        <v>34</v>
      </c>
      <c r="F340" s="583" t="s">
        <v>34</v>
      </c>
      <c r="G340" s="584" t="s">
        <v>40</v>
      </c>
      <c r="H340" s="584" t="s">
        <v>34</v>
      </c>
      <c r="I340" s="585" t="s">
        <v>430</v>
      </c>
      <c r="J340" s="16"/>
      <c r="K340" s="32">
        <f>K341+K342</f>
        <v>56500.700000000004</v>
      </c>
      <c r="L340" s="32">
        <v>0</v>
      </c>
      <c r="M340" s="32">
        <v>56500.700000000004</v>
      </c>
      <c r="N340" s="32">
        <v>57707.200000000004</v>
      </c>
    </row>
    <row r="341" spans="1:17" s="123" customFormat="1" ht="54" x14ac:dyDescent="0.35">
      <c r="A341" s="17"/>
      <c r="B341" s="30" t="s">
        <v>50</v>
      </c>
      <c r="C341" s="31" t="s">
        <v>407</v>
      </c>
      <c r="D341" s="16" t="s">
        <v>219</v>
      </c>
      <c r="E341" s="16" t="s">
        <v>34</v>
      </c>
      <c r="F341" s="583" t="s">
        <v>34</v>
      </c>
      <c r="G341" s="584" t="s">
        <v>40</v>
      </c>
      <c r="H341" s="584" t="s">
        <v>34</v>
      </c>
      <c r="I341" s="585" t="s">
        <v>430</v>
      </c>
      <c r="J341" s="16" t="s">
        <v>51</v>
      </c>
      <c r="K341" s="32">
        <v>1755.4</v>
      </c>
      <c r="L341" s="32">
        <v>0</v>
      </c>
      <c r="M341" s="32">
        <v>1755.4</v>
      </c>
      <c r="N341" s="32">
        <v>1801.9</v>
      </c>
    </row>
    <row r="342" spans="1:17" s="123" customFormat="1" ht="54" x14ac:dyDescent="0.35">
      <c r="A342" s="17"/>
      <c r="B342" s="30" t="s">
        <v>71</v>
      </c>
      <c r="C342" s="31" t="s">
        <v>407</v>
      </c>
      <c r="D342" s="16" t="s">
        <v>219</v>
      </c>
      <c r="E342" s="16" t="s">
        <v>34</v>
      </c>
      <c r="F342" s="583" t="s">
        <v>34</v>
      </c>
      <c r="G342" s="584" t="s">
        <v>40</v>
      </c>
      <c r="H342" s="584" t="s">
        <v>34</v>
      </c>
      <c r="I342" s="585" t="s">
        <v>430</v>
      </c>
      <c r="J342" s="16" t="s">
        <v>72</v>
      </c>
      <c r="K342" s="32">
        <v>54745.3</v>
      </c>
      <c r="L342" s="32">
        <v>0</v>
      </c>
      <c r="M342" s="32">
        <v>54745.3</v>
      </c>
      <c r="N342" s="32">
        <v>55905.3</v>
      </c>
      <c r="Q342" s="202"/>
    </row>
    <row r="343" spans="1:17" s="123" customFormat="1" ht="180" x14ac:dyDescent="0.35">
      <c r="A343" s="17"/>
      <c r="B343" s="30" t="s">
        <v>542</v>
      </c>
      <c r="C343" s="31" t="s">
        <v>407</v>
      </c>
      <c r="D343" s="16" t="s">
        <v>219</v>
      </c>
      <c r="E343" s="16" t="s">
        <v>34</v>
      </c>
      <c r="F343" s="583" t="s">
        <v>34</v>
      </c>
      <c r="G343" s="584" t="s">
        <v>40</v>
      </c>
      <c r="H343" s="584" t="s">
        <v>34</v>
      </c>
      <c r="I343" s="585" t="s">
        <v>543</v>
      </c>
      <c r="J343" s="16"/>
      <c r="K343" s="32">
        <f>K344</f>
        <v>0</v>
      </c>
      <c r="L343" s="32">
        <v>0</v>
      </c>
      <c r="M343" s="32">
        <v>0</v>
      </c>
      <c r="N343" s="32">
        <v>3900.6</v>
      </c>
      <c r="Q343" s="202"/>
    </row>
    <row r="344" spans="1:17" s="123" customFormat="1" ht="54" x14ac:dyDescent="0.35">
      <c r="A344" s="17"/>
      <c r="B344" s="30" t="s">
        <v>71</v>
      </c>
      <c r="C344" s="31" t="s">
        <v>407</v>
      </c>
      <c r="D344" s="16" t="s">
        <v>219</v>
      </c>
      <c r="E344" s="16" t="s">
        <v>34</v>
      </c>
      <c r="F344" s="583" t="s">
        <v>34</v>
      </c>
      <c r="G344" s="584" t="s">
        <v>40</v>
      </c>
      <c r="H344" s="584" t="s">
        <v>34</v>
      </c>
      <c r="I344" s="585" t="s">
        <v>543</v>
      </c>
      <c r="J344" s="16" t="s">
        <v>72</v>
      </c>
      <c r="K344" s="32">
        <v>0</v>
      </c>
      <c r="L344" s="32">
        <v>0</v>
      </c>
      <c r="M344" s="32">
        <v>0</v>
      </c>
      <c r="N344" s="32">
        <v>3900.6</v>
      </c>
      <c r="Q344" s="202"/>
    </row>
    <row r="345" spans="1:17" s="123" customFormat="1" ht="90" x14ac:dyDescent="0.35">
      <c r="A345" s="17"/>
      <c r="B345" s="30" t="s">
        <v>539</v>
      </c>
      <c r="C345" s="31" t="s">
        <v>407</v>
      </c>
      <c r="D345" s="16" t="s">
        <v>219</v>
      </c>
      <c r="E345" s="16" t="s">
        <v>34</v>
      </c>
      <c r="F345" s="583" t="s">
        <v>34</v>
      </c>
      <c r="G345" s="584" t="s">
        <v>40</v>
      </c>
      <c r="H345" s="584" t="s">
        <v>34</v>
      </c>
      <c r="I345" s="585" t="s">
        <v>538</v>
      </c>
      <c r="J345" s="16"/>
      <c r="K345" s="32">
        <f>K346+K347+K348</f>
        <v>12523.9</v>
      </c>
      <c r="L345" s="32">
        <v>0</v>
      </c>
      <c r="M345" s="32">
        <v>12523.9</v>
      </c>
      <c r="N345" s="32">
        <v>12447.800000000001</v>
      </c>
      <c r="Q345" s="202"/>
    </row>
    <row r="346" spans="1:17" s="123" customFormat="1" ht="54" x14ac:dyDescent="0.35">
      <c r="A346" s="17"/>
      <c r="B346" s="30" t="s">
        <v>50</v>
      </c>
      <c r="C346" s="31" t="s">
        <v>407</v>
      </c>
      <c r="D346" s="16" t="s">
        <v>219</v>
      </c>
      <c r="E346" s="16" t="s">
        <v>34</v>
      </c>
      <c r="F346" s="583" t="s">
        <v>34</v>
      </c>
      <c r="G346" s="584" t="s">
        <v>40</v>
      </c>
      <c r="H346" s="584" t="s">
        <v>34</v>
      </c>
      <c r="I346" s="585" t="s">
        <v>538</v>
      </c>
      <c r="J346" s="16" t="s">
        <v>51</v>
      </c>
      <c r="K346" s="32">
        <v>80</v>
      </c>
      <c r="L346" s="32">
        <v>0</v>
      </c>
      <c r="M346" s="32">
        <v>80</v>
      </c>
      <c r="N346" s="32">
        <v>79.5</v>
      </c>
      <c r="Q346" s="202"/>
    </row>
    <row r="347" spans="1:17" s="123" customFormat="1" ht="36" x14ac:dyDescent="0.35">
      <c r="A347" s="17"/>
      <c r="B347" s="30" t="s">
        <v>115</v>
      </c>
      <c r="C347" s="31" t="s">
        <v>407</v>
      </c>
      <c r="D347" s="16" t="s">
        <v>219</v>
      </c>
      <c r="E347" s="16" t="s">
        <v>34</v>
      </c>
      <c r="F347" s="583" t="s">
        <v>34</v>
      </c>
      <c r="G347" s="584" t="s">
        <v>40</v>
      </c>
      <c r="H347" s="584" t="s">
        <v>34</v>
      </c>
      <c r="I347" s="585" t="s">
        <v>538</v>
      </c>
      <c r="J347" s="16" t="s">
        <v>116</v>
      </c>
      <c r="K347" s="32">
        <v>64</v>
      </c>
      <c r="L347" s="32">
        <v>0</v>
      </c>
      <c r="M347" s="32">
        <v>64</v>
      </c>
      <c r="N347" s="32">
        <v>63.6</v>
      </c>
      <c r="Q347" s="202"/>
    </row>
    <row r="348" spans="1:17" s="123" customFormat="1" ht="54" x14ac:dyDescent="0.35">
      <c r="A348" s="17"/>
      <c r="B348" s="30" t="s">
        <v>71</v>
      </c>
      <c r="C348" s="31" t="s">
        <v>407</v>
      </c>
      <c r="D348" s="16" t="s">
        <v>219</v>
      </c>
      <c r="E348" s="16" t="s">
        <v>34</v>
      </c>
      <c r="F348" s="583" t="s">
        <v>34</v>
      </c>
      <c r="G348" s="584" t="s">
        <v>40</v>
      </c>
      <c r="H348" s="584" t="s">
        <v>34</v>
      </c>
      <c r="I348" s="585" t="s">
        <v>538</v>
      </c>
      <c r="J348" s="16" t="s">
        <v>72</v>
      </c>
      <c r="K348" s="32">
        <v>12379.9</v>
      </c>
      <c r="L348" s="32">
        <v>0</v>
      </c>
      <c r="M348" s="32">
        <v>12379.9</v>
      </c>
      <c r="N348" s="32">
        <v>12304.7</v>
      </c>
      <c r="Q348" s="202"/>
    </row>
    <row r="349" spans="1:17" s="127" customFormat="1" ht="54" x14ac:dyDescent="0.35">
      <c r="A349" s="17"/>
      <c r="B349" s="30" t="s">
        <v>207</v>
      </c>
      <c r="C349" s="31" t="s">
        <v>407</v>
      </c>
      <c r="D349" s="16" t="s">
        <v>219</v>
      </c>
      <c r="E349" s="16" t="s">
        <v>34</v>
      </c>
      <c r="F349" s="583" t="s">
        <v>34</v>
      </c>
      <c r="G349" s="584" t="s">
        <v>25</v>
      </c>
      <c r="H349" s="584" t="s">
        <v>38</v>
      </c>
      <c r="I349" s="585" t="s">
        <v>39</v>
      </c>
      <c r="J349" s="16"/>
      <c r="K349" s="32">
        <f t="shared" ref="K349:N350" si="51">K350</f>
        <v>2294.8000000000002</v>
      </c>
      <c r="L349" s="32">
        <v>0</v>
      </c>
      <c r="M349" s="32">
        <v>2294.8000000000002</v>
      </c>
      <c r="N349" s="32">
        <v>2294.8000000000002</v>
      </c>
    </row>
    <row r="350" spans="1:17" s="127" customFormat="1" ht="36" x14ac:dyDescent="0.35">
      <c r="A350" s="17"/>
      <c r="B350" s="30" t="s">
        <v>270</v>
      </c>
      <c r="C350" s="31" t="s">
        <v>407</v>
      </c>
      <c r="D350" s="16" t="s">
        <v>219</v>
      </c>
      <c r="E350" s="16" t="s">
        <v>34</v>
      </c>
      <c r="F350" s="583" t="s">
        <v>34</v>
      </c>
      <c r="G350" s="584" t="s">
        <v>25</v>
      </c>
      <c r="H350" s="584" t="s">
        <v>32</v>
      </c>
      <c r="I350" s="585" t="s">
        <v>39</v>
      </c>
      <c r="J350" s="16"/>
      <c r="K350" s="32">
        <f t="shared" si="51"/>
        <v>2294.8000000000002</v>
      </c>
      <c r="L350" s="32">
        <v>0</v>
      </c>
      <c r="M350" s="32">
        <v>2294.8000000000002</v>
      </c>
      <c r="N350" s="32">
        <v>2294.8000000000002</v>
      </c>
    </row>
    <row r="351" spans="1:17" s="127" customFormat="1" ht="213" customHeight="1" x14ac:dyDescent="0.35">
      <c r="A351" s="17"/>
      <c r="B351" s="30" t="s">
        <v>413</v>
      </c>
      <c r="C351" s="31" t="s">
        <v>407</v>
      </c>
      <c r="D351" s="16" t="s">
        <v>219</v>
      </c>
      <c r="E351" s="16" t="s">
        <v>34</v>
      </c>
      <c r="F351" s="583" t="s">
        <v>34</v>
      </c>
      <c r="G351" s="584" t="s">
        <v>25</v>
      </c>
      <c r="H351" s="584" t="s">
        <v>32</v>
      </c>
      <c r="I351" s="585" t="s">
        <v>335</v>
      </c>
      <c r="J351" s="16"/>
      <c r="K351" s="32">
        <f>K352</f>
        <v>2294.8000000000002</v>
      </c>
      <c r="L351" s="32">
        <v>0</v>
      </c>
      <c r="M351" s="32">
        <v>2294.8000000000002</v>
      </c>
      <c r="N351" s="32">
        <v>2294.8000000000002</v>
      </c>
    </row>
    <row r="352" spans="1:17" s="127" customFormat="1" ht="54" x14ac:dyDescent="0.35">
      <c r="A352" s="17"/>
      <c r="B352" s="30" t="s">
        <v>71</v>
      </c>
      <c r="C352" s="31" t="s">
        <v>407</v>
      </c>
      <c r="D352" s="16" t="s">
        <v>219</v>
      </c>
      <c r="E352" s="16" t="s">
        <v>34</v>
      </c>
      <c r="F352" s="583" t="s">
        <v>34</v>
      </c>
      <c r="G352" s="584" t="s">
        <v>25</v>
      </c>
      <c r="H352" s="584" t="s">
        <v>32</v>
      </c>
      <c r="I352" s="585" t="s">
        <v>335</v>
      </c>
      <c r="J352" s="16" t="s">
        <v>72</v>
      </c>
      <c r="K352" s="32">
        <v>2294.8000000000002</v>
      </c>
      <c r="L352" s="32">
        <v>0</v>
      </c>
      <c r="M352" s="32">
        <v>2294.8000000000002</v>
      </c>
      <c r="N352" s="32">
        <v>2294.8000000000002</v>
      </c>
    </row>
    <row r="353" spans="1:14" s="127" customFormat="1" ht="18" x14ac:dyDescent="0.35">
      <c r="A353" s="17"/>
      <c r="B353" s="30" t="s">
        <v>338</v>
      </c>
      <c r="C353" s="31" t="s">
        <v>407</v>
      </c>
      <c r="D353" s="16" t="s">
        <v>219</v>
      </c>
      <c r="E353" s="16" t="s">
        <v>58</v>
      </c>
      <c r="F353" s="583"/>
      <c r="G353" s="584"/>
      <c r="H353" s="584"/>
      <c r="I353" s="585"/>
      <c r="J353" s="16"/>
      <c r="K353" s="32">
        <f>K354+K369</f>
        <v>62570.000000000007</v>
      </c>
      <c r="L353" s="32">
        <v>0</v>
      </c>
      <c r="M353" s="32">
        <v>62570.000000000007</v>
      </c>
      <c r="N353" s="32">
        <v>67055.799999999988</v>
      </c>
    </row>
    <row r="354" spans="1:14" s="127" customFormat="1" ht="54" x14ac:dyDescent="0.35">
      <c r="A354" s="17"/>
      <c r="B354" s="92" t="s">
        <v>200</v>
      </c>
      <c r="C354" s="31" t="s">
        <v>407</v>
      </c>
      <c r="D354" s="16" t="s">
        <v>219</v>
      </c>
      <c r="E354" s="16" t="s">
        <v>58</v>
      </c>
      <c r="F354" s="583" t="s">
        <v>34</v>
      </c>
      <c r="G354" s="584" t="s">
        <v>37</v>
      </c>
      <c r="H354" s="584" t="s">
        <v>38</v>
      </c>
      <c r="I354" s="585" t="s">
        <v>39</v>
      </c>
      <c r="J354" s="16"/>
      <c r="K354" s="32">
        <f t="shared" ref="K354:N354" si="52">K355</f>
        <v>61998.400000000009</v>
      </c>
      <c r="L354" s="32">
        <v>0</v>
      </c>
      <c r="M354" s="32">
        <v>61998.400000000009</v>
      </c>
      <c r="N354" s="32">
        <v>67055.799999999988</v>
      </c>
    </row>
    <row r="355" spans="1:14" s="127" customFormat="1" ht="24.75" customHeight="1" x14ac:dyDescent="0.35">
      <c r="A355" s="17"/>
      <c r="B355" s="30" t="s">
        <v>205</v>
      </c>
      <c r="C355" s="31" t="s">
        <v>407</v>
      </c>
      <c r="D355" s="16" t="s">
        <v>219</v>
      </c>
      <c r="E355" s="16" t="s">
        <v>58</v>
      </c>
      <c r="F355" s="583" t="s">
        <v>34</v>
      </c>
      <c r="G355" s="584" t="s">
        <v>84</v>
      </c>
      <c r="H355" s="584" t="s">
        <v>38</v>
      </c>
      <c r="I355" s="585" t="s">
        <v>39</v>
      </c>
      <c r="J355" s="16"/>
      <c r="K355" s="32">
        <f>K356</f>
        <v>61998.400000000009</v>
      </c>
      <c r="L355" s="32">
        <v>0</v>
      </c>
      <c r="M355" s="32">
        <v>61998.400000000009</v>
      </c>
      <c r="N355" s="32">
        <v>67055.799999999988</v>
      </c>
    </row>
    <row r="356" spans="1:14" s="127" customFormat="1" ht="36" x14ac:dyDescent="0.35">
      <c r="A356" s="17"/>
      <c r="B356" s="30" t="s">
        <v>264</v>
      </c>
      <c r="C356" s="31" t="s">
        <v>407</v>
      </c>
      <c r="D356" s="16" t="s">
        <v>219</v>
      </c>
      <c r="E356" s="16" t="s">
        <v>58</v>
      </c>
      <c r="F356" s="583" t="s">
        <v>34</v>
      </c>
      <c r="G356" s="584" t="s">
        <v>84</v>
      </c>
      <c r="H356" s="584" t="s">
        <v>32</v>
      </c>
      <c r="I356" s="585" t="s">
        <v>39</v>
      </c>
      <c r="J356" s="16"/>
      <c r="K356" s="32">
        <f>K357+K365+K367+K362</f>
        <v>61998.400000000009</v>
      </c>
      <c r="L356" s="32">
        <v>0</v>
      </c>
      <c r="M356" s="32">
        <v>61998.400000000009</v>
      </c>
      <c r="N356" s="32">
        <v>67055.799999999988</v>
      </c>
    </row>
    <row r="357" spans="1:14" s="127" customFormat="1" ht="40.5" customHeight="1" x14ac:dyDescent="0.35">
      <c r="A357" s="17"/>
      <c r="B357" s="85" t="s">
        <v>437</v>
      </c>
      <c r="C357" s="31" t="s">
        <v>407</v>
      </c>
      <c r="D357" s="16" t="s">
        <v>219</v>
      </c>
      <c r="E357" s="16" t="s">
        <v>58</v>
      </c>
      <c r="F357" s="583" t="s">
        <v>34</v>
      </c>
      <c r="G357" s="584" t="s">
        <v>84</v>
      </c>
      <c r="H357" s="584" t="s">
        <v>32</v>
      </c>
      <c r="I357" s="585" t="s">
        <v>86</v>
      </c>
      <c r="J357" s="16"/>
      <c r="K357" s="32">
        <f>K360+K358+K359+K361</f>
        <v>50541.200000000004</v>
      </c>
      <c r="L357" s="32">
        <v>0</v>
      </c>
      <c r="M357" s="32">
        <v>50541.200000000004</v>
      </c>
      <c r="N357" s="32">
        <v>55595.299999999996</v>
      </c>
    </row>
    <row r="358" spans="1:14" s="127" customFormat="1" ht="108" x14ac:dyDescent="0.35">
      <c r="A358" s="17"/>
      <c r="B358" s="30" t="s">
        <v>44</v>
      </c>
      <c r="C358" s="31" t="s">
        <v>407</v>
      </c>
      <c r="D358" s="16" t="s">
        <v>219</v>
      </c>
      <c r="E358" s="16" t="s">
        <v>58</v>
      </c>
      <c r="F358" s="583" t="s">
        <v>34</v>
      </c>
      <c r="G358" s="584" t="s">
        <v>84</v>
      </c>
      <c r="H358" s="584" t="s">
        <v>32</v>
      </c>
      <c r="I358" s="585" t="s">
        <v>86</v>
      </c>
      <c r="J358" s="16" t="s">
        <v>45</v>
      </c>
      <c r="K358" s="32">
        <v>20212.7</v>
      </c>
      <c r="L358" s="32">
        <v>0</v>
      </c>
      <c r="M358" s="32">
        <v>20212.7</v>
      </c>
      <c r="N358" s="32">
        <v>20212.7</v>
      </c>
    </row>
    <row r="359" spans="1:14" s="127" customFormat="1" ht="54" x14ac:dyDescent="0.35">
      <c r="A359" s="17"/>
      <c r="B359" s="30" t="s">
        <v>50</v>
      </c>
      <c r="C359" s="31" t="s">
        <v>407</v>
      </c>
      <c r="D359" s="16" t="s">
        <v>219</v>
      </c>
      <c r="E359" s="16" t="s">
        <v>58</v>
      </c>
      <c r="F359" s="583" t="s">
        <v>34</v>
      </c>
      <c r="G359" s="584" t="s">
        <v>84</v>
      </c>
      <c r="H359" s="584" t="s">
        <v>32</v>
      </c>
      <c r="I359" s="585" t="s">
        <v>86</v>
      </c>
      <c r="J359" s="16" t="s">
        <v>51</v>
      </c>
      <c r="K359" s="32">
        <v>1988.9</v>
      </c>
      <c r="L359" s="32">
        <v>0</v>
      </c>
      <c r="M359" s="32">
        <v>1988.9</v>
      </c>
      <c r="N359" s="32">
        <v>4230.6000000000004</v>
      </c>
    </row>
    <row r="360" spans="1:14" s="127" customFormat="1" ht="54" x14ac:dyDescent="0.35">
      <c r="A360" s="17"/>
      <c r="B360" s="30" t="s">
        <v>71</v>
      </c>
      <c r="C360" s="31" t="s">
        <v>407</v>
      </c>
      <c r="D360" s="16" t="s">
        <v>219</v>
      </c>
      <c r="E360" s="16" t="s">
        <v>58</v>
      </c>
      <c r="F360" s="583" t="s">
        <v>34</v>
      </c>
      <c r="G360" s="584" t="s">
        <v>84</v>
      </c>
      <c r="H360" s="584" t="s">
        <v>32</v>
      </c>
      <c r="I360" s="585" t="s">
        <v>86</v>
      </c>
      <c r="J360" s="16" t="s">
        <v>72</v>
      </c>
      <c r="K360" s="32">
        <v>28226.400000000001</v>
      </c>
      <c r="L360" s="32">
        <v>0</v>
      </c>
      <c r="M360" s="32">
        <v>28226.400000000001</v>
      </c>
      <c r="N360" s="32">
        <v>31039</v>
      </c>
    </row>
    <row r="361" spans="1:14" s="127" customFormat="1" ht="18" x14ac:dyDescent="0.35">
      <c r="A361" s="17"/>
      <c r="B361" s="30" t="s">
        <v>52</v>
      </c>
      <c r="C361" s="31" t="s">
        <v>407</v>
      </c>
      <c r="D361" s="16" t="s">
        <v>219</v>
      </c>
      <c r="E361" s="16" t="s">
        <v>58</v>
      </c>
      <c r="F361" s="583" t="s">
        <v>34</v>
      </c>
      <c r="G361" s="584" t="s">
        <v>84</v>
      </c>
      <c r="H361" s="584" t="s">
        <v>32</v>
      </c>
      <c r="I361" s="585" t="s">
        <v>86</v>
      </c>
      <c r="J361" s="16" t="s">
        <v>53</v>
      </c>
      <c r="K361" s="32">
        <v>113.2</v>
      </c>
      <c r="L361" s="32">
        <v>0</v>
      </c>
      <c r="M361" s="32">
        <v>113.2</v>
      </c>
      <c r="N361" s="32">
        <v>113</v>
      </c>
    </row>
    <row r="362" spans="1:14" s="127" customFormat="1" ht="54" x14ac:dyDescent="0.35">
      <c r="A362" s="17"/>
      <c r="B362" s="30" t="s">
        <v>202</v>
      </c>
      <c r="C362" s="31" t="s">
        <v>407</v>
      </c>
      <c r="D362" s="16" t="s">
        <v>219</v>
      </c>
      <c r="E362" s="16" t="s">
        <v>58</v>
      </c>
      <c r="F362" s="583" t="s">
        <v>34</v>
      </c>
      <c r="G362" s="584" t="s">
        <v>84</v>
      </c>
      <c r="H362" s="584" t="s">
        <v>32</v>
      </c>
      <c r="I362" s="585" t="s">
        <v>261</v>
      </c>
      <c r="J362" s="16"/>
      <c r="K362" s="32">
        <f>K363+K364</f>
        <v>1260</v>
      </c>
      <c r="L362" s="32">
        <v>0</v>
      </c>
      <c r="M362" s="32">
        <v>1260</v>
      </c>
      <c r="N362" s="32">
        <v>1260</v>
      </c>
    </row>
    <row r="363" spans="1:14" s="127" customFormat="1" ht="54" x14ac:dyDescent="0.35">
      <c r="A363" s="17"/>
      <c r="B363" s="30" t="s">
        <v>50</v>
      </c>
      <c r="C363" s="31" t="s">
        <v>407</v>
      </c>
      <c r="D363" s="16" t="s">
        <v>219</v>
      </c>
      <c r="E363" s="16" t="s">
        <v>58</v>
      </c>
      <c r="F363" s="583" t="s">
        <v>34</v>
      </c>
      <c r="G363" s="584" t="s">
        <v>84</v>
      </c>
      <c r="H363" s="584" t="s">
        <v>32</v>
      </c>
      <c r="I363" s="585" t="s">
        <v>261</v>
      </c>
      <c r="J363" s="16" t="s">
        <v>51</v>
      </c>
      <c r="K363" s="32">
        <f>506.3</f>
        <v>506.3</v>
      </c>
      <c r="L363" s="32">
        <v>0</v>
      </c>
      <c r="M363" s="32">
        <v>506.3</v>
      </c>
      <c r="N363" s="32">
        <v>506.3</v>
      </c>
    </row>
    <row r="364" spans="1:14" s="127" customFormat="1" ht="54" x14ac:dyDescent="0.35">
      <c r="A364" s="17"/>
      <c r="B364" s="92" t="s">
        <v>71</v>
      </c>
      <c r="C364" s="31" t="s">
        <v>407</v>
      </c>
      <c r="D364" s="16" t="s">
        <v>219</v>
      </c>
      <c r="E364" s="16" t="s">
        <v>58</v>
      </c>
      <c r="F364" s="583" t="s">
        <v>34</v>
      </c>
      <c r="G364" s="584" t="s">
        <v>84</v>
      </c>
      <c r="H364" s="584" t="s">
        <v>32</v>
      </c>
      <c r="I364" s="585" t="s">
        <v>261</v>
      </c>
      <c r="J364" s="16" t="s">
        <v>72</v>
      </c>
      <c r="K364" s="32">
        <f>753.7</f>
        <v>753.7</v>
      </c>
      <c r="L364" s="32">
        <v>0</v>
      </c>
      <c r="M364" s="32">
        <v>753.7</v>
      </c>
      <c r="N364" s="32">
        <v>753.7</v>
      </c>
    </row>
    <row r="365" spans="1:14" s="127" customFormat="1" ht="183.75" customHeight="1" x14ac:dyDescent="0.35">
      <c r="A365" s="17"/>
      <c r="B365" s="30" t="s">
        <v>256</v>
      </c>
      <c r="C365" s="31" t="s">
        <v>407</v>
      </c>
      <c r="D365" s="16" t="s">
        <v>219</v>
      </c>
      <c r="E365" s="16" t="s">
        <v>58</v>
      </c>
      <c r="F365" s="583" t="s">
        <v>34</v>
      </c>
      <c r="G365" s="584" t="s">
        <v>84</v>
      </c>
      <c r="H365" s="584" t="s">
        <v>32</v>
      </c>
      <c r="I365" s="585" t="s">
        <v>257</v>
      </c>
      <c r="J365" s="16"/>
      <c r="K365" s="32">
        <f>K366</f>
        <v>110.4</v>
      </c>
      <c r="L365" s="32">
        <v>0</v>
      </c>
      <c r="M365" s="32">
        <v>110.4</v>
      </c>
      <c r="N365" s="32">
        <v>113.7</v>
      </c>
    </row>
    <row r="366" spans="1:14" s="127" customFormat="1" ht="54" x14ac:dyDescent="0.35">
      <c r="A366" s="17"/>
      <c r="B366" s="30" t="s">
        <v>71</v>
      </c>
      <c r="C366" s="31" t="s">
        <v>407</v>
      </c>
      <c r="D366" s="16" t="s">
        <v>219</v>
      </c>
      <c r="E366" s="16" t="s">
        <v>58</v>
      </c>
      <c r="F366" s="583" t="s">
        <v>34</v>
      </c>
      <c r="G366" s="584" t="s">
        <v>84</v>
      </c>
      <c r="H366" s="584" t="s">
        <v>32</v>
      </c>
      <c r="I366" s="585" t="s">
        <v>257</v>
      </c>
      <c r="J366" s="16" t="s">
        <v>72</v>
      </c>
      <c r="K366" s="32">
        <v>110.4</v>
      </c>
      <c r="L366" s="32">
        <v>0</v>
      </c>
      <c r="M366" s="32">
        <v>110.4</v>
      </c>
      <c r="N366" s="32">
        <v>113.7</v>
      </c>
    </row>
    <row r="367" spans="1:14" s="127" customFormat="1" ht="115.5" customHeight="1" x14ac:dyDescent="0.35">
      <c r="A367" s="17"/>
      <c r="B367" s="30" t="s">
        <v>334</v>
      </c>
      <c r="C367" s="31" t="s">
        <v>407</v>
      </c>
      <c r="D367" s="16" t="s">
        <v>219</v>
      </c>
      <c r="E367" s="16" t="s">
        <v>58</v>
      </c>
      <c r="F367" s="583" t="s">
        <v>34</v>
      </c>
      <c r="G367" s="584" t="s">
        <v>84</v>
      </c>
      <c r="H367" s="584" t="s">
        <v>32</v>
      </c>
      <c r="I367" s="585" t="s">
        <v>258</v>
      </c>
      <c r="J367" s="16"/>
      <c r="K367" s="32">
        <f>K368</f>
        <v>10086.799999999999</v>
      </c>
      <c r="L367" s="32">
        <v>0</v>
      </c>
      <c r="M367" s="32">
        <v>10086.799999999999</v>
      </c>
      <c r="N367" s="32">
        <v>10086.799999999999</v>
      </c>
    </row>
    <row r="368" spans="1:14" s="127" customFormat="1" ht="54" x14ac:dyDescent="0.35">
      <c r="A368" s="17"/>
      <c r="B368" s="30" t="s">
        <v>71</v>
      </c>
      <c r="C368" s="31" t="s">
        <v>407</v>
      </c>
      <c r="D368" s="16" t="s">
        <v>219</v>
      </c>
      <c r="E368" s="16" t="s">
        <v>58</v>
      </c>
      <c r="F368" s="583" t="s">
        <v>34</v>
      </c>
      <c r="G368" s="584" t="s">
        <v>84</v>
      </c>
      <c r="H368" s="584" t="s">
        <v>32</v>
      </c>
      <c r="I368" s="585" t="s">
        <v>258</v>
      </c>
      <c r="J368" s="16" t="s">
        <v>72</v>
      </c>
      <c r="K368" s="32">
        <v>10086.799999999999</v>
      </c>
      <c r="L368" s="32">
        <v>0</v>
      </c>
      <c r="M368" s="32">
        <v>10086.799999999999</v>
      </c>
      <c r="N368" s="32">
        <v>10086.799999999999</v>
      </c>
    </row>
    <row r="369" spans="1:14" s="127" customFormat="1" ht="55.5" customHeight="1" x14ac:dyDescent="0.35">
      <c r="A369" s="17"/>
      <c r="B369" s="30" t="s">
        <v>75</v>
      </c>
      <c r="C369" s="31" t="s">
        <v>407</v>
      </c>
      <c r="D369" s="16" t="s">
        <v>219</v>
      </c>
      <c r="E369" s="16" t="s">
        <v>58</v>
      </c>
      <c r="F369" s="583" t="s">
        <v>76</v>
      </c>
      <c r="G369" s="584" t="s">
        <v>37</v>
      </c>
      <c r="H369" s="584" t="s">
        <v>38</v>
      </c>
      <c r="I369" s="585" t="s">
        <v>39</v>
      </c>
      <c r="J369" s="16"/>
      <c r="K369" s="32">
        <f t="shared" ref="K369:M371" si="53">K370</f>
        <v>571.6</v>
      </c>
      <c r="L369" s="32">
        <v>0</v>
      </c>
      <c r="M369" s="32">
        <v>571.6</v>
      </c>
      <c r="N369" s="32">
        <v>0</v>
      </c>
    </row>
    <row r="370" spans="1:14" s="127" customFormat="1" ht="36" x14ac:dyDescent="0.35">
      <c r="A370" s="17"/>
      <c r="B370" s="30" t="s">
        <v>120</v>
      </c>
      <c r="C370" s="31" t="s">
        <v>407</v>
      </c>
      <c r="D370" s="16" t="s">
        <v>219</v>
      </c>
      <c r="E370" s="16" t="s">
        <v>58</v>
      </c>
      <c r="F370" s="583" t="s">
        <v>76</v>
      </c>
      <c r="G370" s="584" t="s">
        <v>84</v>
      </c>
      <c r="H370" s="584" t="s">
        <v>38</v>
      </c>
      <c r="I370" s="585" t="s">
        <v>39</v>
      </c>
      <c r="J370" s="16"/>
      <c r="K370" s="32">
        <f t="shared" si="53"/>
        <v>571.6</v>
      </c>
      <c r="L370" s="32">
        <v>0</v>
      </c>
      <c r="M370" s="32">
        <v>571.6</v>
      </c>
      <c r="N370" s="32">
        <v>0</v>
      </c>
    </row>
    <row r="371" spans="1:14" s="127" customFormat="1" ht="38.25" customHeight="1" x14ac:dyDescent="0.35">
      <c r="A371" s="17"/>
      <c r="B371" s="30" t="s">
        <v>259</v>
      </c>
      <c r="C371" s="31" t="s">
        <v>407</v>
      </c>
      <c r="D371" s="16" t="s">
        <v>219</v>
      </c>
      <c r="E371" s="16" t="s">
        <v>58</v>
      </c>
      <c r="F371" s="583" t="s">
        <v>76</v>
      </c>
      <c r="G371" s="584" t="s">
        <v>84</v>
      </c>
      <c r="H371" s="584" t="s">
        <v>32</v>
      </c>
      <c r="I371" s="585" t="s">
        <v>39</v>
      </c>
      <c r="J371" s="16"/>
      <c r="K371" s="32">
        <f t="shared" si="53"/>
        <v>571.6</v>
      </c>
      <c r="L371" s="32">
        <v>0</v>
      </c>
      <c r="M371" s="32">
        <v>571.6</v>
      </c>
      <c r="N371" s="32">
        <v>0</v>
      </c>
    </row>
    <row r="372" spans="1:14" s="127" customFormat="1" ht="18" x14ac:dyDescent="0.35">
      <c r="A372" s="17"/>
      <c r="B372" s="30" t="s">
        <v>410</v>
      </c>
      <c r="C372" s="31" t="s">
        <v>407</v>
      </c>
      <c r="D372" s="16" t="s">
        <v>219</v>
      </c>
      <c r="E372" s="16" t="s">
        <v>58</v>
      </c>
      <c r="F372" s="583" t="s">
        <v>76</v>
      </c>
      <c r="G372" s="584" t="s">
        <v>84</v>
      </c>
      <c r="H372" s="584" t="s">
        <v>32</v>
      </c>
      <c r="I372" s="585" t="s">
        <v>411</v>
      </c>
      <c r="J372" s="16"/>
      <c r="K372" s="32">
        <f>K373</f>
        <v>571.6</v>
      </c>
      <c r="L372" s="32">
        <v>0</v>
      </c>
      <c r="M372" s="32">
        <v>571.6</v>
      </c>
      <c r="N372" s="32">
        <v>0</v>
      </c>
    </row>
    <row r="373" spans="1:14" s="127" customFormat="1" ht="54" x14ac:dyDescent="0.35">
      <c r="A373" s="17"/>
      <c r="B373" s="30" t="s">
        <v>50</v>
      </c>
      <c r="C373" s="31" t="s">
        <v>407</v>
      </c>
      <c r="D373" s="16" t="s">
        <v>219</v>
      </c>
      <c r="E373" s="16" t="s">
        <v>58</v>
      </c>
      <c r="F373" s="583" t="s">
        <v>76</v>
      </c>
      <c r="G373" s="584" t="s">
        <v>84</v>
      </c>
      <c r="H373" s="584" t="s">
        <v>32</v>
      </c>
      <c r="I373" s="585" t="s">
        <v>411</v>
      </c>
      <c r="J373" s="16" t="s">
        <v>51</v>
      </c>
      <c r="K373" s="32">
        <v>571.6</v>
      </c>
      <c r="L373" s="32">
        <v>0</v>
      </c>
      <c r="M373" s="32">
        <v>571.6</v>
      </c>
      <c r="N373" s="32">
        <v>0</v>
      </c>
    </row>
    <row r="374" spans="1:14" s="123" customFormat="1" ht="18" x14ac:dyDescent="0.35">
      <c r="A374" s="17"/>
      <c r="B374" s="30" t="s">
        <v>339</v>
      </c>
      <c r="C374" s="31" t="s">
        <v>407</v>
      </c>
      <c r="D374" s="16" t="s">
        <v>219</v>
      </c>
      <c r="E374" s="16" t="s">
        <v>219</v>
      </c>
      <c r="F374" s="583"/>
      <c r="G374" s="584"/>
      <c r="H374" s="584"/>
      <c r="I374" s="585"/>
      <c r="J374" s="16"/>
      <c r="K374" s="32">
        <f t="shared" ref="K374:N374" si="54">K375</f>
        <v>7938.2999999999993</v>
      </c>
      <c r="L374" s="32">
        <v>0</v>
      </c>
      <c r="M374" s="32">
        <v>7938.2999999999993</v>
      </c>
      <c r="N374" s="32">
        <v>7938.2999999999993</v>
      </c>
    </row>
    <row r="375" spans="1:14" s="123" customFormat="1" ht="54" x14ac:dyDescent="0.35">
      <c r="A375" s="17"/>
      <c r="B375" s="30" t="s">
        <v>200</v>
      </c>
      <c r="C375" s="31" t="s">
        <v>407</v>
      </c>
      <c r="D375" s="16" t="s">
        <v>219</v>
      </c>
      <c r="E375" s="16" t="s">
        <v>219</v>
      </c>
      <c r="F375" s="583" t="s">
        <v>34</v>
      </c>
      <c r="G375" s="584" t="s">
        <v>37</v>
      </c>
      <c r="H375" s="584" t="s">
        <v>38</v>
      </c>
      <c r="I375" s="585" t="s">
        <v>39</v>
      </c>
      <c r="J375" s="16"/>
      <c r="K375" s="32">
        <f t="shared" ref="K375:N376" si="55">K376</f>
        <v>7938.2999999999993</v>
      </c>
      <c r="L375" s="32">
        <v>0</v>
      </c>
      <c r="M375" s="32">
        <v>7938.2999999999993</v>
      </c>
      <c r="N375" s="32">
        <v>7938.2999999999993</v>
      </c>
    </row>
    <row r="376" spans="1:14" s="123" customFormat="1" ht="54" x14ac:dyDescent="0.35">
      <c r="A376" s="17"/>
      <c r="B376" s="30" t="s">
        <v>207</v>
      </c>
      <c r="C376" s="31" t="s">
        <v>407</v>
      </c>
      <c r="D376" s="16" t="s">
        <v>219</v>
      </c>
      <c r="E376" s="16" t="s">
        <v>219</v>
      </c>
      <c r="F376" s="583" t="s">
        <v>34</v>
      </c>
      <c r="G376" s="584" t="s">
        <v>25</v>
      </c>
      <c r="H376" s="584" t="s">
        <v>38</v>
      </c>
      <c r="I376" s="585" t="s">
        <v>39</v>
      </c>
      <c r="J376" s="16"/>
      <c r="K376" s="32">
        <f t="shared" si="55"/>
        <v>7938.2999999999993</v>
      </c>
      <c r="L376" s="32">
        <v>0</v>
      </c>
      <c r="M376" s="32">
        <v>7938.2999999999993</v>
      </c>
      <c r="N376" s="32">
        <v>7938.2999999999993</v>
      </c>
    </row>
    <row r="377" spans="1:14" s="123" customFormat="1" ht="54" x14ac:dyDescent="0.35">
      <c r="A377" s="17"/>
      <c r="B377" s="30" t="s">
        <v>269</v>
      </c>
      <c r="C377" s="31" t="s">
        <v>407</v>
      </c>
      <c r="D377" s="16" t="s">
        <v>219</v>
      </c>
      <c r="E377" s="16" t="s">
        <v>219</v>
      </c>
      <c r="F377" s="583" t="s">
        <v>34</v>
      </c>
      <c r="G377" s="584" t="s">
        <v>25</v>
      </c>
      <c r="H377" s="584" t="s">
        <v>34</v>
      </c>
      <c r="I377" s="585" t="s">
        <v>39</v>
      </c>
      <c r="J377" s="16"/>
      <c r="K377" s="32">
        <f>K378+K380</f>
        <v>7938.2999999999993</v>
      </c>
      <c r="L377" s="32">
        <v>0</v>
      </c>
      <c r="M377" s="32">
        <v>7938.2999999999993</v>
      </c>
      <c r="N377" s="32">
        <v>7938.2999999999993</v>
      </c>
    </row>
    <row r="378" spans="1:14" s="123" customFormat="1" ht="36" x14ac:dyDescent="0.35">
      <c r="A378" s="17"/>
      <c r="B378" s="30" t="s">
        <v>444</v>
      </c>
      <c r="C378" s="31" t="s">
        <v>407</v>
      </c>
      <c r="D378" s="16" t="s">
        <v>219</v>
      </c>
      <c r="E378" s="16" t="s">
        <v>219</v>
      </c>
      <c r="F378" s="583" t="s">
        <v>34</v>
      </c>
      <c r="G378" s="584" t="s">
        <v>25</v>
      </c>
      <c r="H378" s="584" t="s">
        <v>34</v>
      </c>
      <c r="I378" s="585" t="s">
        <v>443</v>
      </c>
      <c r="J378" s="16"/>
      <c r="K378" s="32">
        <f>K379</f>
        <v>1188.3999999999999</v>
      </c>
      <c r="L378" s="32">
        <v>0</v>
      </c>
      <c r="M378" s="32">
        <v>1188.3999999999999</v>
      </c>
      <c r="N378" s="32">
        <v>1188.3999999999999</v>
      </c>
    </row>
    <row r="379" spans="1:14" s="123" customFormat="1" ht="54" x14ac:dyDescent="0.35">
      <c r="A379" s="17"/>
      <c r="B379" s="30" t="s">
        <v>71</v>
      </c>
      <c r="C379" s="31" t="s">
        <v>407</v>
      </c>
      <c r="D379" s="16" t="s">
        <v>219</v>
      </c>
      <c r="E379" s="16" t="s">
        <v>219</v>
      </c>
      <c r="F379" s="583" t="s">
        <v>34</v>
      </c>
      <c r="G379" s="584" t="s">
        <v>25</v>
      </c>
      <c r="H379" s="584" t="s">
        <v>34</v>
      </c>
      <c r="I379" s="585" t="s">
        <v>443</v>
      </c>
      <c r="J379" s="16" t="s">
        <v>72</v>
      </c>
      <c r="K379" s="32">
        <f>524.3+591.9+72.2</f>
        <v>1188.3999999999999</v>
      </c>
      <c r="L379" s="32">
        <v>0</v>
      </c>
      <c r="M379" s="32">
        <v>1188.3999999999999</v>
      </c>
      <c r="N379" s="32">
        <v>1188.3999999999999</v>
      </c>
    </row>
    <row r="380" spans="1:14" s="123" customFormat="1" ht="110.25" customHeight="1" x14ac:dyDescent="0.35">
      <c r="A380" s="17"/>
      <c r="B380" s="30" t="s">
        <v>418</v>
      </c>
      <c r="C380" s="31" t="s">
        <v>407</v>
      </c>
      <c r="D380" s="16" t="s">
        <v>219</v>
      </c>
      <c r="E380" s="16" t="s">
        <v>219</v>
      </c>
      <c r="F380" s="583" t="s">
        <v>34</v>
      </c>
      <c r="G380" s="584" t="s">
        <v>25</v>
      </c>
      <c r="H380" s="584" t="s">
        <v>34</v>
      </c>
      <c r="I380" s="585" t="s">
        <v>417</v>
      </c>
      <c r="J380" s="16"/>
      <c r="K380" s="32">
        <f t="shared" ref="K380:M380" si="56">K381</f>
        <v>6749.9</v>
      </c>
      <c r="L380" s="32">
        <v>0</v>
      </c>
      <c r="M380" s="32">
        <v>6749.9</v>
      </c>
      <c r="N380" s="32">
        <v>6749.9</v>
      </c>
    </row>
    <row r="381" spans="1:14" s="123" customFormat="1" ht="54" x14ac:dyDescent="0.35">
      <c r="A381" s="17"/>
      <c r="B381" s="30" t="s">
        <v>71</v>
      </c>
      <c r="C381" s="31" t="s">
        <v>407</v>
      </c>
      <c r="D381" s="16" t="s">
        <v>219</v>
      </c>
      <c r="E381" s="16" t="s">
        <v>219</v>
      </c>
      <c r="F381" s="583" t="s">
        <v>34</v>
      </c>
      <c r="G381" s="584" t="s">
        <v>25</v>
      </c>
      <c r="H381" s="584" t="s">
        <v>34</v>
      </c>
      <c r="I381" s="585" t="s">
        <v>417</v>
      </c>
      <c r="J381" s="16" t="s">
        <v>72</v>
      </c>
      <c r="K381" s="32">
        <v>6749.9</v>
      </c>
      <c r="L381" s="32">
        <v>0</v>
      </c>
      <c r="M381" s="32">
        <v>6749.9</v>
      </c>
      <c r="N381" s="32">
        <v>6749.9</v>
      </c>
    </row>
    <row r="382" spans="1:14" s="127" customFormat="1" ht="18" x14ac:dyDescent="0.35">
      <c r="A382" s="17"/>
      <c r="B382" s="30" t="s">
        <v>181</v>
      </c>
      <c r="C382" s="31" t="s">
        <v>407</v>
      </c>
      <c r="D382" s="16" t="s">
        <v>219</v>
      </c>
      <c r="E382" s="16" t="s">
        <v>74</v>
      </c>
      <c r="F382" s="583"/>
      <c r="G382" s="584"/>
      <c r="H382" s="584"/>
      <c r="I382" s="585"/>
      <c r="J382" s="16"/>
      <c r="K382" s="32">
        <f>K383</f>
        <v>64326.7</v>
      </c>
      <c r="L382" s="32">
        <v>-47704</v>
      </c>
      <c r="M382" s="32">
        <v>16622.7</v>
      </c>
      <c r="N382" s="32">
        <v>64752.700000000004</v>
      </c>
    </row>
    <row r="383" spans="1:14" s="127" customFormat="1" ht="54" x14ac:dyDescent="0.35">
      <c r="A383" s="17"/>
      <c r="B383" s="30" t="s">
        <v>200</v>
      </c>
      <c r="C383" s="31" t="s">
        <v>407</v>
      </c>
      <c r="D383" s="16" t="s">
        <v>219</v>
      </c>
      <c r="E383" s="16" t="s">
        <v>74</v>
      </c>
      <c r="F383" s="583" t="s">
        <v>34</v>
      </c>
      <c r="G383" s="584" t="s">
        <v>37</v>
      </c>
      <c r="H383" s="584" t="s">
        <v>38</v>
      </c>
      <c r="I383" s="585" t="s">
        <v>39</v>
      </c>
      <c r="J383" s="16"/>
      <c r="K383" s="32">
        <f t="shared" ref="K383:N384" si="57">K384</f>
        <v>64326.7</v>
      </c>
      <c r="L383" s="32">
        <v>-47704</v>
      </c>
      <c r="M383" s="32">
        <v>16622.7</v>
      </c>
      <c r="N383" s="32">
        <v>64752.700000000004</v>
      </c>
    </row>
    <row r="384" spans="1:14" s="127" customFormat="1" ht="54" x14ac:dyDescent="0.35">
      <c r="A384" s="17"/>
      <c r="B384" s="30" t="s">
        <v>207</v>
      </c>
      <c r="C384" s="31" t="s">
        <v>407</v>
      </c>
      <c r="D384" s="16" t="s">
        <v>219</v>
      </c>
      <c r="E384" s="16" t="s">
        <v>74</v>
      </c>
      <c r="F384" s="583" t="s">
        <v>34</v>
      </c>
      <c r="G384" s="584" t="s">
        <v>25</v>
      </c>
      <c r="H384" s="584" t="s">
        <v>38</v>
      </c>
      <c r="I384" s="585" t="s">
        <v>39</v>
      </c>
      <c r="J384" s="16"/>
      <c r="K384" s="32">
        <f t="shared" si="57"/>
        <v>64326.7</v>
      </c>
      <c r="L384" s="32">
        <v>-47704</v>
      </c>
      <c r="M384" s="32">
        <v>16622.7</v>
      </c>
      <c r="N384" s="32">
        <v>64752.700000000004</v>
      </c>
    </row>
    <row r="385" spans="1:14" s="127" customFormat="1" ht="36" x14ac:dyDescent="0.35">
      <c r="A385" s="17"/>
      <c r="B385" s="30" t="s">
        <v>270</v>
      </c>
      <c r="C385" s="31" t="s">
        <v>407</v>
      </c>
      <c r="D385" s="16" t="s">
        <v>219</v>
      </c>
      <c r="E385" s="16" t="s">
        <v>74</v>
      </c>
      <c r="F385" s="583" t="s">
        <v>34</v>
      </c>
      <c r="G385" s="584" t="s">
        <v>25</v>
      </c>
      <c r="H385" s="584" t="s">
        <v>32</v>
      </c>
      <c r="I385" s="585" t="s">
        <v>39</v>
      </c>
      <c r="J385" s="16"/>
      <c r="K385" s="32">
        <f>K386+K390+K395</f>
        <v>64326.7</v>
      </c>
      <c r="L385" s="32">
        <v>-47704</v>
      </c>
      <c r="M385" s="32">
        <v>16622.7</v>
      </c>
      <c r="N385" s="32">
        <v>64752.700000000004</v>
      </c>
    </row>
    <row r="386" spans="1:14" s="127" customFormat="1" ht="36" x14ac:dyDescent="0.35">
      <c r="A386" s="17"/>
      <c r="B386" s="30" t="s">
        <v>42</v>
      </c>
      <c r="C386" s="31" t="s">
        <v>407</v>
      </c>
      <c r="D386" s="16" t="s">
        <v>219</v>
      </c>
      <c r="E386" s="16" t="s">
        <v>74</v>
      </c>
      <c r="F386" s="583" t="s">
        <v>34</v>
      </c>
      <c r="G386" s="584" t="s">
        <v>25</v>
      </c>
      <c r="H386" s="584" t="s">
        <v>32</v>
      </c>
      <c r="I386" s="585" t="s">
        <v>43</v>
      </c>
      <c r="J386" s="16"/>
      <c r="K386" s="32">
        <f>K387+K388+K389</f>
        <v>10576.099999999999</v>
      </c>
      <c r="L386" s="32">
        <v>-9648.2999999999993</v>
      </c>
      <c r="M386" s="32">
        <v>927.8</v>
      </c>
      <c r="N386" s="32">
        <v>10582.3</v>
      </c>
    </row>
    <row r="387" spans="1:14" s="127" customFormat="1" ht="108" x14ac:dyDescent="0.35">
      <c r="A387" s="17"/>
      <c r="B387" s="30" t="s">
        <v>44</v>
      </c>
      <c r="C387" s="31" t="s">
        <v>407</v>
      </c>
      <c r="D387" s="16" t="s">
        <v>219</v>
      </c>
      <c r="E387" s="16" t="s">
        <v>74</v>
      </c>
      <c r="F387" s="583" t="s">
        <v>34</v>
      </c>
      <c r="G387" s="584" t="s">
        <v>25</v>
      </c>
      <c r="H387" s="584" t="s">
        <v>32</v>
      </c>
      <c r="I387" s="585" t="s">
        <v>43</v>
      </c>
      <c r="J387" s="16" t="s">
        <v>45</v>
      </c>
      <c r="K387" s="32">
        <v>9648.2999999999993</v>
      </c>
      <c r="L387" s="32">
        <v>-9648.2999999999993</v>
      </c>
      <c r="M387" s="575">
        <v>0</v>
      </c>
      <c r="N387" s="32">
        <v>9648.2999999999993</v>
      </c>
    </row>
    <row r="388" spans="1:14" s="127" customFormat="1" ht="54" x14ac:dyDescent="0.35">
      <c r="A388" s="17"/>
      <c r="B388" s="30" t="s">
        <v>50</v>
      </c>
      <c r="C388" s="31" t="s">
        <v>407</v>
      </c>
      <c r="D388" s="16" t="s">
        <v>219</v>
      </c>
      <c r="E388" s="16" t="s">
        <v>74</v>
      </c>
      <c r="F388" s="583" t="s">
        <v>34</v>
      </c>
      <c r="G388" s="584" t="s">
        <v>25</v>
      </c>
      <c r="H388" s="584" t="s">
        <v>32</v>
      </c>
      <c r="I388" s="585" t="s">
        <v>43</v>
      </c>
      <c r="J388" s="16" t="s">
        <v>51</v>
      </c>
      <c r="K388" s="32">
        <v>910.9</v>
      </c>
      <c r="L388" s="32">
        <v>0</v>
      </c>
      <c r="M388" s="32">
        <v>910.9</v>
      </c>
      <c r="N388" s="32">
        <v>917.2</v>
      </c>
    </row>
    <row r="389" spans="1:14" s="127" customFormat="1" ht="18" x14ac:dyDescent="0.35">
      <c r="A389" s="17"/>
      <c r="B389" s="30" t="s">
        <v>52</v>
      </c>
      <c r="C389" s="31" t="s">
        <v>407</v>
      </c>
      <c r="D389" s="16" t="s">
        <v>219</v>
      </c>
      <c r="E389" s="16" t="s">
        <v>74</v>
      </c>
      <c r="F389" s="583" t="s">
        <v>34</v>
      </c>
      <c r="G389" s="584" t="s">
        <v>25</v>
      </c>
      <c r="H389" s="584" t="s">
        <v>32</v>
      </c>
      <c r="I389" s="585" t="s">
        <v>43</v>
      </c>
      <c r="J389" s="16" t="s">
        <v>53</v>
      </c>
      <c r="K389" s="32">
        <v>16.899999999999999</v>
      </c>
      <c r="L389" s="32">
        <v>0</v>
      </c>
      <c r="M389" s="32">
        <v>16.899999999999999</v>
      </c>
      <c r="N389" s="32">
        <v>16.8</v>
      </c>
    </row>
    <row r="390" spans="1:14" s="127" customFormat="1" ht="36" x14ac:dyDescent="0.35">
      <c r="A390" s="17"/>
      <c r="B390" s="85" t="s">
        <v>437</v>
      </c>
      <c r="C390" s="31" t="s">
        <v>407</v>
      </c>
      <c r="D390" s="16" t="s">
        <v>219</v>
      </c>
      <c r="E390" s="16" t="s">
        <v>74</v>
      </c>
      <c r="F390" s="583" t="s">
        <v>34</v>
      </c>
      <c r="G390" s="584" t="s">
        <v>25</v>
      </c>
      <c r="H390" s="584" t="s">
        <v>32</v>
      </c>
      <c r="I390" s="585" t="s">
        <v>86</v>
      </c>
      <c r="J390" s="16"/>
      <c r="K390" s="32">
        <f>K391+K392+K394+K393</f>
        <v>47560.7</v>
      </c>
      <c r="L390" s="32">
        <v>-38055.699999999997</v>
      </c>
      <c r="M390" s="32">
        <v>9505.0000000000018</v>
      </c>
      <c r="N390" s="32">
        <v>47980.5</v>
      </c>
    </row>
    <row r="391" spans="1:14" s="127" customFormat="1" ht="108" x14ac:dyDescent="0.35">
      <c r="A391" s="17"/>
      <c r="B391" s="30" t="s">
        <v>44</v>
      </c>
      <c r="C391" s="31" t="s">
        <v>407</v>
      </c>
      <c r="D391" s="16" t="s">
        <v>219</v>
      </c>
      <c r="E391" s="16" t="s">
        <v>74</v>
      </c>
      <c r="F391" s="583" t="s">
        <v>34</v>
      </c>
      <c r="G391" s="584" t="s">
        <v>25</v>
      </c>
      <c r="H391" s="584" t="s">
        <v>32</v>
      </c>
      <c r="I391" s="585" t="s">
        <v>86</v>
      </c>
      <c r="J391" s="16" t="s">
        <v>45</v>
      </c>
      <c r="K391" s="32">
        <v>28006.9</v>
      </c>
      <c r="L391" s="32">
        <v>-28006.9</v>
      </c>
      <c r="M391" s="575">
        <v>0</v>
      </c>
      <c r="N391" s="32">
        <v>28006.9</v>
      </c>
    </row>
    <row r="392" spans="1:14" s="127" customFormat="1" ht="54" x14ac:dyDescent="0.35">
      <c r="A392" s="17"/>
      <c r="B392" s="30" t="s">
        <v>50</v>
      </c>
      <c r="C392" s="31" t="s">
        <v>407</v>
      </c>
      <c r="D392" s="16" t="s">
        <v>219</v>
      </c>
      <c r="E392" s="16" t="s">
        <v>74</v>
      </c>
      <c r="F392" s="583" t="s">
        <v>34</v>
      </c>
      <c r="G392" s="584" t="s">
        <v>25</v>
      </c>
      <c r="H392" s="584" t="s">
        <v>32</v>
      </c>
      <c r="I392" s="585" t="s">
        <v>86</v>
      </c>
      <c r="J392" s="16" t="s">
        <v>51</v>
      </c>
      <c r="K392" s="32">
        <v>2651.3</v>
      </c>
      <c r="L392" s="32">
        <v>0</v>
      </c>
      <c r="M392" s="32">
        <v>2651.3</v>
      </c>
      <c r="N392" s="32">
        <v>3071.4</v>
      </c>
    </row>
    <row r="393" spans="1:14" s="127" customFormat="1" ht="54" x14ac:dyDescent="0.35">
      <c r="A393" s="17"/>
      <c r="B393" s="30" t="s">
        <v>71</v>
      </c>
      <c r="C393" s="31" t="s">
        <v>407</v>
      </c>
      <c r="D393" s="16" t="s">
        <v>219</v>
      </c>
      <c r="E393" s="16" t="s">
        <v>74</v>
      </c>
      <c r="F393" s="583" t="s">
        <v>34</v>
      </c>
      <c r="G393" s="584" t="s">
        <v>25</v>
      </c>
      <c r="H393" s="584" t="s">
        <v>32</v>
      </c>
      <c r="I393" s="585" t="s">
        <v>86</v>
      </c>
      <c r="J393" s="16" t="s">
        <v>72</v>
      </c>
      <c r="K393" s="32">
        <v>16896.7</v>
      </c>
      <c r="L393" s="32">
        <v>-10048.799999999999</v>
      </c>
      <c r="M393" s="575">
        <v>6847.9000000000015</v>
      </c>
      <c r="N393" s="32">
        <v>16896.7</v>
      </c>
    </row>
    <row r="394" spans="1:14" s="127" customFormat="1" ht="18" x14ac:dyDescent="0.35">
      <c r="A394" s="17"/>
      <c r="B394" s="30" t="s">
        <v>52</v>
      </c>
      <c r="C394" s="31" t="s">
        <v>407</v>
      </c>
      <c r="D394" s="16" t="s">
        <v>219</v>
      </c>
      <c r="E394" s="16" t="s">
        <v>74</v>
      </c>
      <c r="F394" s="583" t="s">
        <v>34</v>
      </c>
      <c r="G394" s="584" t="s">
        <v>25</v>
      </c>
      <c r="H394" s="584" t="s">
        <v>32</v>
      </c>
      <c r="I394" s="585" t="s">
        <v>86</v>
      </c>
      <c r="J394" s="16" t="s">
        <v>53</v>
      </c>
      <c r="K394" s="32">
        <v>5.8</v>
      </c>
      <c r="L394" s="32">
        <v>0</v>
      </c>
      <c r="M394" s="32">
        <v>5.8</v>
      </c>
      <c r="N394" s="32">
        <v>5.5</v>
      </c>
    </row>
    <row r="395" spans="1:14" s="127" customFormat="1" ht="108" x14ac:dyDescent="0.35">
      <c r="A395" s="17"/>
      <c r="B395" s="30" t="s">
        <v>334</v>
      </c>
      <c r="C395" s="31" t="s">
        <v>407</v>
      </c>
      <c r="D395" s="16" t="s">
        <v>219</v>
      </c>
      <c r="E395" s="16" t="s">
        <v>74</v>
      </c>
      <c r="F395" s="583" t="s">
        <v>34</v>
      </c>
      <c r="G395" s="584" t="s">
        <v>25</v>
      </c>
      <c r="H395" s="584" t="s">
        <v>32</v>
      </c>
      <c r="I395" s="585" t="s">
        <v>258</v>
      </c>
      <c r="J395" s="16"/>
      <c r="K395" s="32">
        <f>K396</f>
        <v>6189.9</v>
      </c>
      <c r="L395" s="32">
        <v>0</v>
      </c>
      <c r="M395" s="32">
        <v>6189.9</v>
      </c>
      <c r="N395" s="32">
        <v>6189.9</v>
      </c>
    </row>
    <row r="396" spans="1:14" s="127" customFormat="1" ht="108" x14ac:dyDescent="0.35">
      <c r="A396" s="17"/>
      <c r="B396" s="30" t="s">
        <v>44</v>
      </c>
      <c r="C396" s="31" t="s">
        <v>407</v>
      </c>
      <c r="D396" s="16" t="s">
        <v>219</v>
      </c>
      <c r="E396" s="16" t="s">
        <v>74</v>
      </c>
      <c r="F396" s="583" t="s">
        <v>34</v>
      </c>
      <c r="G396" s="584" t="s">
        <v>25</v>
      </c>
      <c r="H396" s="584" t="s">
        <v>32</v>
      </c>
      <c r="I396" s="585" t="s">
        <v>258</v>
      </c>
      <c r="J396" s="16" t="s">
        <v>45</v>
      </c>
      <c r="K396" s="32">
        <v>6189.9</v>
      </c>
      <c r="L396" s="32">
        <v>0</v>
      </c>
      <c r="M396" s="32">
        <v>6189.9</v>
      </c>
      <c r="N396" s="32">
        <v>6189.9</v>
      </c>
    </row>
    <row r="397" spans="1:14" s="127" customFormat="1" ht="18" x14ac:dyDescent="0.35">
      <c r="A397" s="17"/>
      <c r="B397" s="35" t="s">
        <v>114</v>
      </c>
      <c r="C397" s="31" t="s">
        <v>407</v>
      </c>
      <c r="D397" s="16" t="s">
        <v>99</v>
      </c>
      <c r="E397" s="16"/>
      <c r="F397" s="583"/>
      <c r="G397" s="584"/>
      <c r="H397" s="584"/>
      <c r="I397" s="585"/>
      <c r="J397" s="16"/>
      <c r="K397" s="32">
        <f t="shared" ref="K397:N398" si="58">K398</f>
        <v>5452.5</v>
      </c>
      <c r="L397" s="32">
        <v>0</v>
      </c>
      <c r="M397" s="32">
        <v>5452.5</v>
      </c>
      <c r="N397" s="32">
        <v>5452.5</v>
      </c>
    </row>
    <row r="398" spans="1:14" s="127" customFormat="1" ht="18" x14ac:dyDescent="0.35">
      <c r="A398" s="17"/>
      <c r="B398" s="35" t="s">
        <v>188</v>
      </c>
      <c r="C398" s="31" t="s">
        <v>407</v>
      </c>
      <c r="D398" s="16" t="s">
        <v>99</v>
      </c>
      <c r="E398" s="16" t="s">
        <v>47</v>
      </c>
      <c r="F398" s="583"/>
      <c r="G398" s="584"/>
      <c r="H398" s="584"/>
      <c r="I398" s="585"/>
      <c r="J398" s="16"/>
      <c r="K398" s="32">
        <f t="shared" si="58"/>
        <v>5452.5</v>
      </c>
      <c r="L398" s="32">
        <v>0</v>
      </c>
      <c r="M398" s="32">
        <v>5452.5</v>
      </c>
      <c r="N398" s="32">
        <v>5452.5</v>
      </c>
    </row>
    <row r="399" spans="1:14" s="127" customFormat="1" ht="54" x14ac:dyDescent="0.35">
      <c r="A399" s="17"/>
      <c r="B399" s="30" t="s">
        <v>200</v>
      </c>
      <c r="C399" s="31" t="s">
        <v>407</v>
      </c>
      <c r="D399" s="16" t="s">
        <v>99</v>
      </c>
      <c r="E399" s="16" t="s">
        <v>47</v>
      </c>
      <c r="F399" s="583" t="s">
        <v>34</v>
      </c>
      <c r="G399" s="584" t="s">
        <v>37</v>
      </c>
      <c r="H399" s="584" t="s">
        <v>38</v>
      </c>
      <c r="I399" s="585" t="s">
        <v>39</v>
      </c>
      <c r="J399" s="16"/>
      <c r="K399" s="32">
        <f t="shared" ref="K399:N401" si="59">K400</f>
        <v>5452.5</v>
      </c>
      <c r="L399" s="32">
        <v>0</v>
      </c>
      <c r="M399" s="32">
        <v>5452.5</v>
      </c>
      <c r="N399" s="32">
        <v>5452.5</v>
      </c>
    </row>
    <row r="400" spans="1:14" s="127" customFormat="1" ht="36" x14ac:dyDescent="0.35">
      <c r="A400" s="17"/>
      <c r="B400" s="30" t="s">
        <v>201</v>
      </c>
      <c r="C400" s="31" t="s">
        <v>407</v>
      </c>
      <c r="D400" s="16" t="s">
        <v>99</v>
      </c>
      <c r="E400" s="16" t="s">
        <v>47</v>
      </c>
      <c r="F400" s="583" t="s">
        <v>34</v>
      </c>
      <c r="G400" s="584" t="s">
        <v>40</v>
      </c>
      <c r="H400" s="584" t="s">
        <v>38</v>
      </c>
      <c r="I400" s="585" t="s">
        <v>39</v>
      </c>
      <c r="J400" s="16"/>
      <c r="K400" s="32">
        <f t="shared" si="59"/>
        <v>5452.5</v>
      </c>
      <c r="L400" s="32">
        <v>0</v>
      </c>
      <c r="M400" s="32">
        <v>5452.5</v>
      </c>
      <c r="N400" s="32">
        <v>5452.5</v>
      </c>
    </row>
    <row r="401" spans="1:14" s="127" customFormat="1" ht="36" x14ac:dyDescent="0.35">
      <c r="A401" s="17"/>
      <c r="B401" s="30" t="s">
        <v>255</v>
      </c>
      <c r="C401" s="31" t="s">
        <v>407</v>
      </c>
      <c r="D401" s="16" t="s">
        <v>99</v>
      </c>
      <c r="E401" s="16" t="s">
        <v>47</v>
      </c>
      <c r="F401" s="583" t="s">
        <v>34</v>
      </c>
      <c r="G401" s="584" t="s">
        <v>40</v>
      </c>
      <c r="H401" s="584" t="s">
        <v>32</v>
      </c>
      <c r="I401" s="585" t="s">
        <v>39</v>
      </c>
      <c r="J401" s="16"/>
      <c r="K401" s="32">
        <f t="shared" si="59"/>
        <v>5452.5</v>
      </c>
      <c r="L401" s="32">
        <v>0</v>
      </c>
      <c r="M401" s="32">
        <v>5452.5</v>
      </c>
      <c r="N401" s="32">
        <v>5452.5</v>
      </c>
    </row>
    <row r="402" spans="1:14" s="127" customFormat="1" ht="133.5" customHeight="1" x14ac:dyDescent="0.35">
      <c r="A402" s="17"/>
      <c r="B402" s="30" t="s">
        <v>271</v>
      </c>
      <c r="C402" s="31" t="s">
        <v>407</v>
      </c>
      <c r="D402" s="16" t="s">
        <v>99</v>
      </c>
      <c r="E402" s="16" t="s">
        <v>47</v>
      </c>
      <c r="F402" s="583" t="s">
        <v>34</v>
      </c>
      <c r="G402" s="584" t="s">
        <v>40</v>
      </c>
      <c r="H402" s="584" t="s">
        <v>32</v>
      </c>
      <c r="I402" s="585" t="s">
        <v>272</v>
      </c>
      <c r="J402" s="16"/>
      <c r="K402" s="32">
        <f>K403+K404</f>
        <v>5452.5</v>
      </c>
      <c r="L402" s="32">
        <v>0</v>
      </c>
      <c r="M402" s="32">
        <v>5452.5</v>
      </c>
      <c r="N402" s="32">
        <v>5452.5</v>
      </c>
    </row>
    <row r="403" spans="1:14" s="127" customFormat="1" ht="54" x14ac:dyDescent="0.35">
      <c r="A403" s="17"/>
      <c r="B403" s="30" t="s">
        <v>50</v>
      </c>
      <c r="C403" s="31" t="s">
        <v>407</v>
      </c>
      <c r="D403" s="16" t="s">
        <v>99</v>
      </c>
      <c r="E403" s="16" t="s">
        <v>47</v>
      </c>
      <c r="F403" s="583" t="s">
        <v>34</v>
      </c>
      <c r="G403" s="584" t="s">
        <v>40</v>
      </c>
      <c r="H403" s="584" t="s">
        <v>32</v>
      </c>
      <c r="I403" s="585" t="s">
        <v>272</v>
      </c>
      <c r="J403" s="16" t="s">
        <v>51</v>
      </c>
      <c r="K403" s="32">
        <v>80.5</v>
      </c>
      <c r="L403" s="32">
        <v>0</v>
      </c>
      <c r="M403" s="32">
        <v>80.5</v>
      </c>
      <c r="N403" s="32">
        <v>80.5</v>
      </c>
    </row>
    <row r="404" spans="1:14" s="127" customFormat="1" ht="36" x14ac:dyDescent="0.35">
      <c r="A404" s="17"/>
      <c r="B404" s="34" t="s">
        <v>115</v>
      </c>
      <c r="C404" s="31" t="s">
        <v>407</v>
      </c>
      <c r="D404" s="16" t="s">
        <v>99</v>
      </c>
      <c r="E404" s="16" t="s">
        <v>47</v>
      </c>
      <c r="F404" s="583" t="s">
        <v>34</v>
      </c>
      <c r="G404" s="584" t="s">
        <v>40</v>
      </c>
      <c r="H404" s="584" t="s">
        <v>32</v>
      </c>
      <c r="I404" s="585" t="s">
        <v>272</v>
      </c>
      <c r="J404" s="16" t="s">
        <v>116</v>
      </c>
      <c r="K404" s="32">
        <v>5372</v>
      </c>
      <c r="L404" s="32">
        <v>0</v>
      </c>
      <c r="M404" s="32">
        <v>5372</v>
      </c>
      <c r="N404" s="32">
        <v>5372</v>
      </c>
    </row>
    <row r="405" spans="1:14" s="129" customFormat="1" ht="18" x14ac:dyDescent="0.35">
      <c r="A405" s="17"/>
      <c r="B405" s="30"/>
      <c r="C405" s="31"/>
      <c r="D405" s="16"/>
      <c r="E405" s="16"/>
      <c r="F405" s="583"/>
      <c r="G405" s="584"/>
      <c r="H405" s="584"/>
      <c r="I405" s="585"/>
      <c r="J405" s="16"/>
      <c r="K405" s="32"/>
      <c r="L405" s="32"/>
      <c r="M405" s="32"/>
      <c r="N405" s="32"/>
    </row>
    <row r="406" spans="1:14" s="123" customFormat="1" ht="52.2" x14ac:dyDescent="0.3">
      <c r="A406" s="122">
        <v>6</v>
      </c>
      <c r="B406" s="160" t="s">
        <v>7</v>
      </c>
      <c r="C406" s="25" t="s">
        <v>301</v>
      </c>
      <c r="D406" s="26"/>
      <c r="E406" s="26"/>
      <c r="F406" s="27"/>
      <c r="G406" s="28"/>
      <c r="H406" s="28"/>
      <c r="I406" s="29"/>
      <c r="J406" s="26"/>
      <c r="K406" s="46">
        <f>K414+K435+K407</f>
        <v>93411.000000000015</v>
      </c>
      <c r="L406" s="46">
        <v>0</v>
      </c>
      <c r="M406" s="46">
        <v>93411.000000000015</v>
      </c>
      <c r="N406" s="46">
        <v>102079.3</v>
      </c>
    </row>
    <row r="407" spans="1:14" s="123" customFormat="1" ht="18" x14ac:dyDescent="0.35">
      <c r="A407" s="122"/>
      <c r="B407" s="30" t="s">
        <v>31</v>
      </c>
      <c r="C407" s="31" t="s">
        <v>301</v>
      </c>
      <c r="D407" s="41" t="s">
        <v>32</v>
      </c>
      <c r="E407" s="26"/>
      <c r="F407" s="27"/>
      <c r="G407" s="28"/>
      <c r="H407" s="28"/>
      <c r="I407" s="29"/>
      <c r="J407" s="26"/>
      <c r="K407" s="230">
        <f t="shared" ref="K407:M411" si="60">K408</f>
        <v>53.3</v>
      </c>
      <c r="L407" s="230">
        <v>0</v>
      </c>
      <c r="M407" s="230">
        <v>53.3</v>
      </c>
      <c r="N407" s="230">
        <v>53.3</v>
      </c>
    </row>
    <row r="408" spans="1:14" s="123" customFormat="1" ht="18" x14ac:dyDescent="0.35">
      <c r="A408" s="122"/>
      <c r="B408" s="30" t="s">
        <v>65</v>
      </c>
      <c r="C408" s="31" t="s">
        <v>301</v>
      </c>
      <c r="D408" s="41" t="s">
        <v>32</v>
      </c>
      <c r="E408" s="41" t="s">
        <v>66</v>
      </c>
      <c r="F408" s="27"/>
      <c r="G408" s="28"/>
      <c r="H408" s="28"/>
      <c r="I408" s="29"/>
      <c r="J408" s="26"/>
      <c r="K408" s="230">
        <f t="shared" ref="K408:N409" si="61">K409</f>
        <v>53.3</v>
      </c>
      <c r="L408" s="230">
        <v>0</v>
      </c>
      <c r="M408" s="230">
        <v>53.3</v>
      </c>
      <c r="N408" s="230">
        <v>53.3</v>
      </c>
    </row>
    <row r="409" spans="1:14" s="123" customFormat="1" ht="54" x14ac:dyDescent="0.35">
      <c r="A409" s="122"/>
      <c r="B409" s="36" t="s">
        <v>208</v>
      </c>
      <c r="C409" s="31" t="s">
        <v>301</v>
      </c>
      <c r="D409" s="41" t="s">
        <v>32</v>
      </c>
      <c r="E409" s="41" t="s">
        <v>66</v>
      </c>
      <c r="F409" s="227" t="s">
        <v>58</v>
      </c>
      <c r="G409" s="228" t="s">
        <v>37</v>
      </c>
      <c r="H409" s="228" t="s">
        <v>38</v>
      </c>
      <c r="I409" s="229" t="s">
        <v>39</v>
      </c>
      <c r="J409" s="26"/>
      <c r="K409" s="230">
        <f t="shared" si="61"/>
        <v>53.3</v>
      </c>
      <c r="L409" s="230">
        <v>0</v>
      </c>
      <c r="M409" s="230">
        <v>53.3</v>
      </c>
      <c r="N409" s="230">
        <v>53.3</v>
      </c>
    </row>
    <row r="410" spans="1:14" s="123" customFormat="1" ht="54" x14ac:dyDescent="0.35">
      <c r="A410" s="122"/>
      <c r="B410" s="30" t="s">
        <v>211</v>
      </c>
      <c r="C410" s="31" t="s">
        <v>301</v>
      </c>
      <c r="D410" s="41" t="s">
        <v>32</v>
      </c>
      <c r="E410" s="41" t="s">
        <v>66</v>
      </c>
      <c r="F410" s="227" t="s">
        <v>58</v>
      </c>
      <c r="G410" s="228" t="s">
        <v>25</v>
      </c>
      <c r="H410" s="228" t="s">
        <v>38</v>
      </c>
      <c r="I410" s="229" t="s">
        <v>39</v>
      </c>
      <c r="J410" s="26"/>
      <c r="K410" s="230">
        <f t="shared" si="60"/>
        <v>53.3</v>
      </c>
      <c r="L410" s="230">
        <v>0</v>
      </c>
      <c r="M410" s="230">
        <v>53.3</v>
      </c>
      <c r="N410" s="230">
        <v>53.3</v>
      </c>
    </row>
    <row r="411" spans="1:14" s="123" customFormat="1" ht="36" x14ac:dyDescent="0.35">
      <c r="A411" s="122"/>
      <c r="B411" s="30" t="s">
        <v>340</v>
      </c>
      <c r="C411" s="31" t="s">
        <v>301</v>
      </c>
      <c r="D411" s="41" t="s">
        <v>32</v>
      </c>
      <c r="E411" s="41" t="s">
        <v>66</v>
      </c>
      <c r="F411" s="227" t="s">
        <v>58</v>
      </c>
      <c r="G411" s="228" t="s">
        <v>25</v>
      </c>
      <c r="H411" s="228" t="s">
        <v>34</v>
      </c>
      <c r="I411" s="229" t="s">
        <v>39</v>
      </c>
      <c r="J411" s="26"/>
      <c r="K411" s="230">
        <f t="shared" si="60"/>
        <v>53.3</v>
      </c>
      <c r="L411" s="230">
        <v>0</v>
      </c>
      <c r="M411" s="230">
        <v>53.3</v>
      </c>
      <c r="N411" s="230">
        <v>53.3</v>
      </c>
    </row>
    <row r="412" spans="1:14" s="123" customFormat="1" ht="54" x14ac:dyDescent="0.35">
      <c r="A412" s="122"/>
      <c r="B412" s="30" t="s">
        <v>341</v>
      </c>
      <c r="C412" s="31" t="s">
        <v>301</v>
      </c>
      <c r="D412" s="41" t="s">
        <v>32</v>
      </c>
      <c r="E412" s="41" t="s">
        <v>66</v>
      </c>
      <c r="F412" s="227" t="s">
        <v>58</v>
      </c>
      <c r="G412" s="228" t="s">
        <v>25</v>
      </c>
      <c r="H412" s="228" t="s">
        <v>34</v>
      </c>
      <c r="I412" s="229" t="s">
        <v>100</v>
      </c>
      <c r="J412" s="26"/>
      <c r="K412" s="230">
        <f>K413</f>
        <v>53.3</v>
      </c>
      <c r="L412" s="230">
        <v>0</v>
      </c>
      <c r="M412" s="230">
        <v>53.3</v>
      </c>
      <c r="N412" s="230">
        <v>53.3</v>
      </c>
    </row>
    <row r="413" spans="1:14" s="123" customFormat="1" ht="54" x14ac:dyDescent="0.35">
      <c r="A413" s="122"/>
      <c r="B413" s="30" t="s">
        <v>50</v>
      </c>
      <c r="C413" s="31" t="s">
        <v>301</v>
      </c>
      <c r="D413" s="41" t="s">
        <v>32</v>
      </c>
      <c r="E413" s="41" t="s">
        <v>66</v>
      </c>
      <c r="F413" s="227" t="s">
        <v>58</v>
      </c>
      <c r="G413" s="228" t="s">
        <v>25</v>
      </c>
      <c r="H413" s="228" t="s">
        <v>34</v>
      </c>
      <c r="I413" s="229" t="s">
        <v>100</v>
      </c>
      <c r="J413" s="41" t="s">
        <v>51</v>
      </c>
      <c r="K413" s="230">
        <v>53.3</v>
      </c>
      <c r="L413" s="32">
        <v>0</v>
      </c>
      <c r="M413" s="230">
        <v>53.3</v>
      </c>
      <c r="N413" s="230">
        <v>53.3</v>
      </c>
    </row>
    <row r="414" spans="1:14" s="13" customFormat="1" ht="18" x14ac:dyDescent="0.35">
      <c r="A414" s="17"/>
      <c r="B414" s="36" t="s">
        <v>174</v>
      </c>
      <c r="C414" s="31" t="s">
        <v>301</v>
      </c>
      <c r="D414" s="16" t="s">
        <v>219</v>
      </c>
      <c r="E414" s="16"/>
      <c r="F414" s="583"/>
      <c r="G414" s="584"/>
      <c r="H414" s="584"/>
      <c r="I414" s="585"/>
      <c r="J414" s="16"/>
      <c r="K414" s="32">
        <f>K415+K423+K429</f>
        <v>59487.3</v>
      </c>
      <c r="L414" s="32">
        <v>0</v>
      </c>
      <c r="M414" s="32">
        <v>59487.3</v>
      </c>
      <c r="N414" s="32">
        <v>65127.9</v>
      </c>
    </row>
    <row r="415" spans="1:14" s="123" customFormat="1" ht="18" x14ac:dyDescent="0.35">
      <c r="A415" s="17"/>
      <c r="B415" s="36" t="s">
        <v>338</v>
      </c>
      <c r="C415" s="31" t="s">
        <v>301</v>
      </c>
      <c r="D415" s="16" t="s">
        <v>219</v>
      </c>
      <c r="E415" s="16" t="s">
        <v>58</v>
      </c>
      <c r="F415" s="583"/>
      <c r="G415" s="584"/>
      <c r="H415" s="584"/>
      <c r="I415" s="585"/>
      <c r="J415" s="16"/>
      <c r="K415" s="32">
        <f t="shared" ref="K415:M416" si="62">K416</f>
        <v>58973.3</v>
      </c>
      <c r="L415" s="32">
        <v>0</v>
      </c>
      <c r="M415" s="32">
        <v>58973.3</v>
      </c>
      <c r="N415" s="32">
        <v>64613.9</v>
      </c>
    </row>
    <row r="416" spans="1:14" s="123" customFormat="1" ht="54" x14ac:dyDescent="0.35">
      <c r="A416" s="17"/>
      <c r="B416" s="36" t="s">
        <v>208</v>
      </c>
      <c r="C416" s="31" t="s">
        <v>301</v>
      </c>
      <c r="D416" s="16" t="s">
        <v>219</v>
      </c>
      <c r="E416" s="16" t="s">
        <v>58</v>
      </c>
      <c r="F416" s="583" t="s">
        <v>58</v>
      </c>
      <c r="G416" s="584" t="s">
        <v>37</v>
      </c>
      <c r="H416" s="584" t="s">
        <v>38</v>
      </c>
      <c r="I416" s="585" t="s">
        <v>39</v>
      </c>
      <c r="J416" s="16"/>
      <c r="K416" s="32">
        <f t="shared" si="62"/>
        <v>58973.3</v>
      </c>
      <c r="L416" s="32">
        <v>0</v>
      </c>
      <c r="M416" s="32">
        <v>58973.3</v>
      </c>
      <c r="N416" s="32">
        <v>64613.9</v>
      </c>
    </row>
    <row r="417" spans="1:14" s="123" customFormat="1" ht="72" x14ac:dyDescent="0.35">
      <c r="A417" s="17"/>
      <c r="B417" s="36" t="s">
        <v>209</v>
      </c>
      <c r="C417" s="31" t="s">
        <v>301</v>
      </c>
      <c r="D417" s="16" t="s">
        <v>219</v>
      </c>
      <c r="E417" s="16" t="s">
        <v>58</v>
      </c>
      <c r="F417" s="583" t="s">
        <v>58</v>
      </c>
      <c r="G417" s="584" t="s">
        <v>40</v>
      </c>
      <c r="H417" s="584" t="s">
        <v>38</v>
      </c>
      <c r="I417" s="585" t="s">
        <v>39</v>
      </c>
      <c r="J417" s="16"/>
      <c r="K417" s="32">
        <f t="shared" ref="K417:N419" si="63">K418</f>
        <v>58973.3</v>
      </c>
      <c r="L417" s="32">
        <v>0</v>
      </c>
      <c r="M417" s="32">
        <v>58973.3</v>
      </c>
      <c r="N417" s="32">
        <v>64613.9</v>
      </c>
    </row>
    <row r="418" spans="1:14" s="123" customFormat="1" ht="36" x14ac:dyDescent="0.35">
      <c r="A418" s="17"/>
      <c r="B418" s="36" t="s">
        <v>264</v>
      </c>
      <c r="C418" s="31" t="s">
        <v>301</v>
      </c>
      <c r="D418" s="16" t="s">
        <v>219</v>
      </c>
      <c r="E418" s="16" t="s">
        <v>58</v>
      </c>
      <c r="F418" s="583" t="s">
        <v>58</v>
      </c>
      <c r="G418" s="584" t="s">
        <v>40</v>
      </c>
      <c r="H418" s="584" t="s">
        <v>32</v>
      </c>
      <c r="I418" s="585" t="s">
        <v>39</v>
      </c>
      <c r="J418" s="16"/>
      <c r="K418" s="32">
        <f>K419+K421</f>
        <v>58973.3</v>
      </c>
      <c r="L418" s="32">
        <v>0</v>
      </c>
      <c r="M418" s="32">
        <v>58973.3</v>
      </c>
      <c r="N418" s="32">
        <v>64613.9</v>
      </c>
    </row>
    <row r="419" spans="1:14" s="123" customFormat="1" ht="36" x14ac:dyDescent="0.35">
      <c r="A419" s="17"/>
      <c r="B419" s="85" t="s">
        <v>437</v>
      </c>
      <c r="C419" s="31" t="s">
        <v>301</v>
      </c>
      <c r="D419" s="16" t="s">
        <v>219</v>
      </c>
      <c r="E419" s="16" t="s">
        <v>58</v>
      </c>
      <c r="F419" s="583" t="s">
        <v>58</v>
      </c>
      <c r="G419" s="584" t="s">
        <v>40</v>
      </c>
      <c r="H419" s="584" t="s">
        <v>32</v>
      </c>
      <c r="I419" s="585" t="s">
        <v>86</v>
      </c>
      <c r="J419" s="16"/>
      <c r="K419" s="32">
        <f t="shared" si="63"/>
        <v>56990</v>
      </c>
      <c r="L419" s="32">
        <v>0</v>
      </c>
      <c r="M419" s="32">
        <v>56990</v>
      </c>
      <c r="N419" s="32">
        <v>62630.6</v>
      </c>
    </row>
    <row r="420" spans="1:14" s="13" customFormat="1" ht="54" x14ac:dyDescent="0.35">
      <c r="A420" s="17"/>
      <c r="B420" s="34" t="s">
        <v>71</v>
      </c>
      <c r="C420" s="31" t="s">
        <v>301</v>
      </c>
      <c r="D420" s="16" t="s">
        <v>219</v>
      </c>
      <c r="E420" s="16" t="s">
        <v>58</v>
      </c>
      <c r="F420" s="583" t="s">
        <v>58</v>
      </c>
      <c r="G420" s="584" t="s">
        <v>40</v>
      </c>
      <c r="H420" s="584" t="s">
        <v>32</v>
      </c>
      <c r="I420" s="585" t="s">
        <v>86</v>
      </c>
      <c r="J420" s="16" t="s">
        <v>72</v>
      </c>
      <c r="K420" s="32">
        <v>56990</v>
      </c>
      <c r="L420" s="32">
        <v>0</v>
      </c>
      <c r="M420" s="32">
        <v>56990</v>
      </c>
      <c r="N420" s="32">
        <v>62630.6</v>
      </c>
    </row>
    <row r="421" spans="1:14" s="13" customFormat="1" ht="36" x14ac:dyDescent="0.35">
      <c r="A421" s="17"/>
      <c r="B421" s="34" t="s">
        <v>302</v>
      </c>
      <c r="C421" s="31" t="s">
        <v>301</v>
      </c>
      <c r="D421" s="16" t="s">
        <v>219</v>
      </c>
      <c r="E421" s="16" t="s">
        <v>58</v>
      </c>
      <c r="F421" s="583" t="s">
        <v>58</v>
      </c>
      <c r="G421" s="584" t="s">
        <v>40</v>
      </c>
      <c r="H421" s="584" t="s">
        <v>32</v>
      </c>
      <c r="I421" s="585" t="s">
        <v>303</v>
      </c>
      <c r="J421" s="16"/>
      <c r="K421" s="32">
        <f>K422</f>
        <v>1983.3</v>
      </c>
      <c r="L421" s="32">
        <v>0</v>
      </c>
      <c r="M421" s="32">
        <v>1983.3</v>
      </c>
      <c r="N421" s="32">
        <v>1983.3</v>
      </c>
    </row>
    <row r="422" spans="1:14" s="13" customFormat="1" ht="54" x14ac:dyDescent="0.35">
      <c r="A422" s="17"/>
      <c r="B422" s="34" t="s">
        <v>71</v>
      </c>
      <c r="C422" s="31" t="s">
        <v>301</v>
      </c>
      <c r="D422" s="16" t="s">
        <v>219</v>
      </c>
      <c r="E422" s="16" t="s">
        <v>58</v>
      </c>
      <c r="F422" s="583" t="s">
        <v>58</v>
      </c>
      <c r="G422" s="584" t="s">
        <v>40</v>
      </c>
      <c r="H422" s="584" t="s">
        <v>32</v>
      </c>
      <c r="I422" s="585" t="s">
        <v>303</v>
      </c>
      <c r="J422" s="16" t="s">
        <v>72</v>
      </c>
      <c r="K422" s="32">
        <v>1983.3</v>
      </c>
      <c r="L422" s="32">
        <v>0</v>
      </c>
      <c r="M422" s="32">
        <v>1983.3</v>
      </c>
      <c r="N422" s="32">
        <v>1983.3</v>
      </c>
    </row>
    <row r="423" spans="1:14" s="13" customFormat="1" ht="18" x14ac:dyDescent="0.35">
      <c r="A423" s="17"/>
      <c r="B423" s="34" t="s">
        <v>442</v>
      </c>
      <c r="C423" s="31" t="s">
        <v>301</v>
      </c>
      <c r="D423" s="16" t="s">
        <v>219</v>
      </c>
      <c r="E423" s="16" t="s">
        <v>219</v>
      </c>
      <c r="F423" s="583"/>
      <c r="G423" s="584"/>
      <c r="H423" s="584"/>
      <c r="I423" s="585"/>
      <c r="J423" s="16"/>
      <c r="K423" s="32">
        <f t="shared" ref="K423:M427" si="64">K424</f>
        <v>289</v>
      </c>
      <c r="L423" s="32">
        <v>0</v>
      </c>
      <c r="M423" s="32">
        <v>289</v>
      </c>
      <c r="N423" s="32">
        <v>289</v>
      </c>
    </row>
    <row r="424" spans="1:14" s="13" customFormat="1" ht="54" x14ac:dyDescent="0.35">
      <c r="A424" s="17"/>
      <c r="B424" s="36" t="s">
        <v>208</v>
      </c>
      <c r="C424" s="31" t="s">
        <v>301</v>
      </c>
      <c r="D424" s="16" t="s">
        <v>219</v>
      </c>
      <c r="E424" s="16" t="s">
        <v>219</v>
      </c>
      <c r="F424" s="583" t="s">
        <v>58</v>
      </c>
      <c r="G424" s="584" t="s">
        <v>37</v>
      </c>
      <c r="H424" s="584" t="s">
        <v>38</v>
      </c>
      <c r="I424" s="585" t="s">
        <v>39</v>
      </c>
      <c r="J424" s="16"/>
      <c r="K424" s="32">
        <f t="shared" si="64"/>
        <v>289</v>
      </c>
      <c r="L424" s="32">
        <v>0</v>
      </c>
      <c r="M424" s="32">
        <v>289</v>
      </c>
      <c r="N424" s="32">
        <v>289</v>
      </c>
    </row>
    <row r="425" spans="1:14" s="13" customFormat="1" ht="72" x14ac:dyDescent="0.35">
      <c r="A425" s="17"/>
      <c r="B425" s="36" t="s">
        <v>209</v>
      </c>
      <c r="C425" s="31" t="s">
        <v>301</v>
      </c>
      <c r="D425" s="16" t="s">
        <v>219</v>
      </c>
      <c r="E425" s="16" t="s">
        <v>219</v>
      </c>
      <c r="F425" s="583" t="s">
        <v>58</v>
      </c>
      <c r="G425" s="584" t="s">
        <v>40</v>
      </c>
      <c r="H425" s="584" t="s">
        <v>38</v>
      </c>
      <c r="I425" s="585" t="s">
        <v>39</v>
      </c>
      <c r="J425" s="16"/>
      <c r="K425" s="32">
        <f t="shared" si="64"/>
        <v>289</v>
      </c>
      <c r="L425" s="32">
        <v>0</v>
      </c>
      <c r="M425" s="32">
        <v>289</v>
      </c>
      <c r="N425" s="32">
        <v>289</v>
      </c>
    </row>
    <row r="426" spans="1:14" s="13" customFormat="1" ht="58.5" customHeight="1" x14ac:dyDescent="0.35">
      <c r="A426" s="17"/>
      <c r="B426" s="34" t="s">
        <v>269</v>
      </c>
      <c r="C426" s="31" t="s">
        <v>301</v>
      </c>
      <c r="D426" s="16" t="s">
        <v>219</v>
      </c>
      <c r="E426" s="16" t="s">
        <v>219</v>
      </c>
      <c r="F426" s="583" t="s">
        <v>58</v>
      </c>
      <c r="G426" s="584" t="s">
        <v>40</v>
      </c>
      <c r="H426" s="584" t="s">
        <v>60</v>
      </c>
      <c r="I426" s="585" t="s">
        <v>39</v>
      </c>
      <c r="J426" s="16"/>
      <c r="K426" s="32">
        <f t="shared" si="64"/>
        <v>289</v>
      </c>
      <c r="L426" s="32">
        <v>0</v>
      </c>
      <c r="M426" s="32">
        <v>289</v>
      </c>
      <c r="N426" s="32">
        <v>289</v>
      </c>
    </row>
    <row r="427" spans="1:14" s="13" customFormat="1" ht="36" x14ac:dyDescent="0.35">
      <c r="A427" s="17"/>
      <c r="B427" s="34" t="s">
        <v>444</v>
      </c>
      <c r="C427" s="31" t="s">
        <v>301</v>
      </c>
      <c r="D427" s="16" t="s">
        <v>219</v>
      </c>
      <c r="E427" s="16" t="s">
        <v>219</v>
      </c>
      <c r="F427" s="583" t="s">
        <v>58</v>
      </c>
      <c r="G427" s="584" t="s">
        <v>40</v>
      </c>
      <c r="H427" s="584" t="s">
        <v>60</v>
      </c>
      <c r="I427" s="585" t="s">
        <v>443</v>
      </c>
      <c r="J427" s="16"/>
      <c r="K427" s="32">
        <f t="shared" si="64"/>
        <v>289</v>
      </c>
      <c r="L427" s="32">
        <v>0</v>
      </c>
      <c r="M427" s="32">
        <v>289</v>
      </c>
      <c r="N427" s="32">
        <v>289</v>
      </c>
    </row>
    <row r="428" spans="1:14" s="13" customFormat="1" ht="54" x14ac:dyDescent="0.35">
      <c r="A428" s="17"/>
      <c r="B428" s="34" t="s">
        <v>71</v>
      </c>
      <c r="C428" s="31" t="s">
        <v>301</v>
      </c>
      <c r="D428" s="16" t="s">
        <v>219</v>
      </c>
      <c r="E428" s="16" t="s">
        <v>219</v>
      </c>
      <c r="F428" s="583" t="s">
        <v>58</v>
      </c>
      <c r="G428" s="584" t="s">
        <v>40</v>
      </c>
      <c r="H428" s="584" t="s">
        <v>60</v>
      </c>
      <c r="I428" s="585" t="s">
        <v>443</v>
      </c>
      <c r="J428" s="16" t="s">
        <v>72</v>
      </c>
      <c r="K428" s="32">
        <v>289</v>
      </c>
      <c r="L428" s="32">
        <v>0</v>
      </c>
      <c r="M428" s="32">
        <v>289</v>
      </c>
      <c r="N428" s="32">
        <v>289</v>
      </c>
    </row>
    <row r="429" spans="1:14" s="13" customFormat="1" ht="18" x14ac:dyDescent="0.35">
      <c r="A429" s="17"/>
      <c r="B429" s="30" t="s">
        <v>181</v>
      </c>
      <c r="C429" s="31" t="s">
        <v>301</v>
      </c>
      <c r="D429" s="16" t="s">
        <v>219</v>
      </c>
      <c r="E429" s="16" t="s">
        <v>74</v>
      </c>
      <c r="F429" s="583"/>
      <c r="G429" s="584"/>
      <c r="H429" s="584"/>
      <c r="I429" s="585"/>
      <c r="J429" s="16"/>
      <c r="K429" s="32">
        <f t="shared" ref="K429:N433" si="65">K430</f>
        <v>225</v>
      </c>
      <c r="L429" s="32">
        <v>0</v>
      </c>
      <c r="M429" s="32">
        <v>225</v>
      </c>
      <c r="N429" s="32">
        <v>225</v>
      </c>
    </row>
    <row r="430" spans="1:14" s="13" customFormat="1" ht="54" x14ac:dyDescent="0.35">
      <c r="A430" s="17"/>
      <c r="B430" s="36" t="s">
        <v>208</v>
      </c>
      <c r="C430" s="31" t="s">
        <v>301</v>
      </c>
      <c r="D430" s="16" t="s">
        <v>219</v>
      </c>
      <c r="E430" s="16" t="s">
        <v>74</v>
      </c>
      <c r="F430" s="583" t="s">
        <v>58</v>
      </c>
      <c r="G430" s="584" t="s">
        <v>37</v>
      </c>
      <c r="H430" s="584" t="s">
        <v>38</v>
      </c>
      <c r="I430" s="585" t="s">
        <v>39</v>
      </c>
      <c r="J430" s="16"/>
      <c r="K430" s="32">
        <f t="shared" si="65"/>
        <v>225</v>
      </c>
      <c r="L430" s="32">
        <v>0</v>
      </c>
      <c r="M430" s="32">
        <v>225</v>
      </c>
      <c r="N430" s="32">
        <v>225</v>
      </c>
    </row>
    <row r="431" spans="1:14" s="13" customFormat="1" ht="72" x14ac:dyDescent="0.35">
      <c r="A431" s="17"/>
      <c r="B431" s="36" t="s">
        <v>209</v>
      </c>
      <c r="C431" s="31" t="s">
        <v>301</v>
      </c>
      <c r="D431" s="16" t="s">
        <v>219</v>
      </c>
      <c r="E431" s="16" t="s">
        <v>74</v>
      </c>
      <c r="F431" s="583" t="s">
        <v>58</v>
      </c>
      <c r="G431" s="584" t="s">
        <v>40</v>
      </c>
      <c r="H431" s="584" t="s">
        <v>38</v>
      </c>
      <c r="I431" s="585" t="s">
        <v>39</v>
      </c>
      <c r="J431" s="16"/>
      <c r="K431" s="32">
        <f t="shared" si="65"/>
        <v>225</v>
      </c>
      <c r="L431" s="32">
        <v>0</v>
      </c>
      <c r="M431" s="32">
        <v>225</v>
      </c>
      <c r="N431" s="32">
        <v>225</v>
      </c>
    </row>
    <row r="432" spans="1:14" s="13" customFormat="1" ht="18" x14ac:dyDescent="0.35">
      <c r="A432" s="17"/>
      <c r="B432" s="34" t="s">
        <v>265</v>
      </c>
      <c r="C432" s="31" t="s">
        <v>301</v>
      </c>
      <c r="D432" s="16" t="s">
        <v>219</v>
      </c>
      <c r="E432" s="16" t="s">
        <v>74</v>
      </c>
      <c r="F432" s="583" t="s">
        <v>58</v>
      </c>
      <c r="G432" s="584" t="s">
        <v>40</v>
      </c>
      <c r="H432" s="584" t="s">
        <v>34</v>
      </c>
      <c r="I432" s="585" t="s">
        <v>39</v>
      </c>
      <c r="J432" s="16"/>
      <c r="K432" s="32">
        <f t="shared" si="65"/>
        <v>225</v>
      </c>
      <c r="L432" s="32">
        <v>0</v>
      </c>
      <c r="M432" s="32">
        <v>225</v>
      </c>
      <c r="N432" s="32">
        <v>225</v>
      </c>
    </row>
    <row r="433" spans="1:14" s="13" customFormat="1" ht="36" x14ac:dyDescent="0.35">
      <c r="A433" s="17"/>
      <c r="B433" s="34" t="s">
        <v>206</v>
      </c>
      <c r="C433" s="31" t="s">
        <v>301</v>
      </c>
      <c r="D433" s="16" t="s">
        <v>219</v>
      </c>
      <c r="E433" s="16" t="s">
        <v>74</v>
      </c>
      <c r="F433" s="583" t="s">
        <v>58</v>
      </c>
      <c r="G433" s="584" t="s">
        <v>40</v>
      </c>
      <c r="H433" s="584" t="s">
        <v>34</v>
      </c>
      <c r="I433" s="585" t="s">
        <v>267</v>
      </c>
      <c r="J433" s="16"/>
      <c r="K433" s="32">
        <f t="shared" si="65"/>
        <v>225</v>
      </c>
      <c r="L433" s="32">
        <v>0</v>
      </c>
      <c r="M433" s="32">
        <v>225</v>
      </c>
      <c r="N433" s="32">
        <v>225</v>
      </c>
    </row>
    <row r="434" spans="1:14" s="13" customFormat="1" ht="36" x14ac:dyDescent="0.35">
      <c r="A434" s="17"/>
      <c r="B434" s="34" t="s">
        <v>115</v>
      </c>
      <c r="C434" s="31" t="s">
        <v>301</v>
      </c>
      <c r="D434" s="16" t="s">
        <v>219</v>
      </c>
      <c r="E434" s="16" t="s">
        <v>74</v>
      </c>
      <c r="F434" s="583" t="s">
        <v>58</v>
      </c>
      <c r="G434" s="584" t="s">
        <v>40</v>
      </c>
      <c r="H434" s="584" t="s">
        <v>34</v>
      </c>
      <c r="I434" s="585" t="s">
        <v>267</v>
      </c>
      <c r="J434" s="16" t="s">
        <v>116</v>
      </c>
      <c r="K434" s="32">
        <v>225</v>
      </c>
      <c r="L434" s="32">
        <v>0</v>
      </c>
      <c r="M434" s="32">
        <v>225</v>
      </c>
      <c r="N434" s="32">
        <v>225</v>
      </c>
    </row>
    <row r="435" spans="1:14" s="13" customFormat="1" ht="18" x14ac:dyDescent="0.35">
      <c r="A435" s="17"/>
      <c r="B435" s="30" t="s">
        <v>183</v>
      </c>
      <c r="C435" s="31" t="s">
        <v>301</v>
      </c>
      <c r="D435" s="16" t="s">
        <v>221</v>
      </c>
      <c r="E435" s="16"/>
      <c r="F435" s="583"/>
      <c r="G435" s="584"/>
      <c r="H435" s="584"/>
      <c r="I435" s="585"/>
      <c r="J435" s="16"/>
      <c r="K435" s="32">
        <f>K436+K454</f>
        <v>33870.400000000001</v>
      </c>
      <c r="L435" s="32">
        <v>0</v>
      </c>
      <c r="M435" s="32">
        <v>33870.400000000001</v>
      </c>
      <c r="N435" s="32">
        <v>36898.1</v>
      </c>
    </row>
    <row r="436" spans="1:14" s="13" customFormat="1" ht="18" x14ac:dyDescent="0.35">
      <c r="A436" s="17"/>
      <c r="B436" s="30" t="s">
        <v>185</v>
      </c>
      <c r="C436" s="31" t="s">
        <v>301</v>
      </c>
      <c r="D436" s="16" t="s">
        <v>221</v>
      </c>
      <c r="E436" s="16" t="s">
        <v>32</v>
      </c>
      <c r="F436" s="583"/>
      <c r="G436" s="584"/>
      <c r="H436" s="584"/>
      <c r="I436" s="585"/>
      <c r="J436" s="16"/>
      <c r="K436" s="32">
        <f t="shared" ref="K436:N436" si="66">K437</f>
        <v>24617.300000000003</v>
      </c>
      <c r="L436" s="32">
        <v>0</v>
      </c>
      <c r="M436" s="32">
        <v>24617.300000000003</v>
      </c>
      <c r="N436" s="32">
        <v>26988.1</v>
      </c>
    </row>
    <row r="437" spans="1:14" s="13" customFormat="1" ht="54" x14ac:dyDescent="0.35">
      <c r="A437" s="17"/>
      <c r="B437" s="36" t="s">
        <v>208</v>
      </c>
      <c r="C437" s="31" t="s">
        <v>301</v>
      </c>
      <c r="D437" s="16" t="s">
        <v>221</v>
      </c>
      <c r="E437" s="16" t="s">
        <v>32</v>
      </c>
      <c r="F437" s="583" t="s">
        <v>58</v>
      </c>
      <c r="G437" s="584" t="s">
        <v>37</v>
      </c>
      <c r="H437" s="584" t="s">
        <v>38</v>
      </c>
      <c r="I437" s="585" t="s">
        <v>39</v>
      </c>
      <c r="J437" s="16"/>
      <c r="K437" s="32">
        <f>K438+K447</f>
        <v>24617.300000000003</v>
      </c>
      <c r="L437" s="32">
        <v>0</v>
      </c>
      <c r="M437" s="32">
        <v>24617.300000000003</v>
      </c>
      <c r="N437" s="32">
        <v>26988.1</v>
      </c>
    </row>
    <row r="438" spans="1:14" s="13" customFormat="1" ht="72" x14ac:dyDescent="0.35">
      <c r="A438" s="17"/>
      <c r="B438" s="36" t="s">
        <v>209</v>
      </c>
      <c r="C438" s="31" t="s">
        <v>301</v>
      </c>
      <c r="D438" s="16" t="s">
        <v>221</v>
      </c>
      <c r="E438" s="16" t="s">
        <v>32</v>
      </c>
      <c r="F438" s="40" t="s">
        <v>58</v>
      </c>
      <c r="G438" s="97" t="s">
        <v>40</v>
      </c>
      <c r="H438" s="97" t="s">
        <v>38</v>
      </c>
      <c r="I438" s="98" t="s">
        <v>39</v>
      </c>
      <c r="J438" s="99"/>
      <c r="K438" s="32">
        <f>K439+K442</f>
        <v>24267.800000000003</v>
      </c>
      <c r="L438" s="32">
        <v>0</v>
      </c>
      <c r="M438" s="32">
        <v>24267.800000000003</v>
      </c>
      <c r="N438" s="32">
        <v>26638.6</v>
      </c>
    </row>
    <row r="439" spans="1:14" s="13" customFormat="1" ht="18" x14ac:dyDescent="0.35">
      <c r="A439" s="17"/>
      <c r="B439" s="30" t="s">
        <v>304</v>
      </c>
      <c r="C439" s="31" t="s">
        <v>301</v>
      </c>
      <c r="D439" s="16" t="s">
        <v>221</v>
      </c>
      <c r="E439" s="16" t="s">
        <v>32</v>
      </c>
      <c r="F439" s="40" t="s">
        <v>58</v>
      </c>
      <c r="G439" s="97" t="s">
        <v>40</v>
      </c>
      <c r="H439" s="97" t="s">
        <v>58</v>
      </c>
      <c r="I439" s="98" t="s">
        <v>39</v>
      </c>
      <c r="J439" s="99"/>
      <c r="K439" s="32">
        <f t="shared" ref="K439:N440" si="67">K440</f>
        <v>11243.5</v>
      </c>
      <c r="L439" s="32">
        <v>0</v>
      </c>
      <c r="M439" s="32">
        <v>11243.5</v>
      </c>
      <c r="N439" s="32">
        <v>12367.9</v>
      </c>
    </row>
    <row r="440" spans="1:14" s="13" customFormat="1" ht="41.25" customHeight="1" x14ac:dyDescent="0.35">
      <c r="A440" s="17"/>
      <c r="B440" s="85" t="s">
        <v>437</v>
      </c>
      <c r="C440" s="31" t="s">
        <v>301</v>
      </c>
      <c r="D440" s="16" t="s">
        <v>221</v>
      </c>
      <c r="E440" s="16" t="s">
        <v>32</v>
      </c>
      <c r="F440" s="40" t="s">
        <v>58</v>
      </c>
      <c r="G440" s="97" t="s">
        <v>40</v>
      </c>
      <c r="H440" s="97" t="s">
        <v>58</v>
      </c>
      <c r="I440" s="98" t="s">
        <v>86</v>
      </c>
      <c r="J440" s="99"/>
      <c r="K440" s="32">
        <f t="shared" si="67"/>
        <v>11243.5</v>
      </c>
      <c r="L440" s="32">
        <v>0</v>
      </c>
      <c r="M440" s="32">
        <v>11243.5</v>
      </c>
      <c r="N440" s="32">
        <v>12367.9</v>
      </c>
    </row>
    <row r="441" spans="1:14" s="13" customFormat="1" ht="54" x14ac:dyDescent="0.35">
      <c r="A441" s="17"/>
      <c r="B441" s="34" t="s">
        <v>71</v>
      </c>
      <c r="C441" s="31" t="s">
        <v>301</v>
      </c>
      <c r="D441" s="16" t="s">
        <v>221</v>
      </c>
      <c r="E441" s="16" t="s">
        <v>32</v>
      </c>
      <c r="F441" s="583" t="s">
        <v>58</v>
      </c>
      <c r="G441" s="584" t="s">
        <v>40</v>
      </c>
      <c r="H441" s="584" t="s">
        <v>58</v>
      </c>
      <c r="I441" s="585" t="s">
        <v>86</v>
      </c>
      <c r="J441" s="16" t="s">
        <v>72</v>
      </c>
      <c r="K441" s="32">
        <v>11243.5</v>
      </c>
      <c r="L441" s="32">
        <v>0</v>
      </c>
      <c r="M441" s="32">
        <v>11243.5</v>
      </c>
      <c r="N441" s="32">
        <v>12367.9</v>
      </c>
    </row>
    <row r="442" spans="1:14" s="13" customFormat="1" ht="36" x14ac:dyDescent="0.35">
      <c r="A442" s="17"/>
      <c r="B442" s="34" t="s">
        <v>306</v>
      </c>
      <c r="C442" s="31" t="s">
        <v>301</v>
      </c>
      <c r="D442" s="16" t="s">
        <v>221</v>
      </c>
      <c r="E442" s="16" t="s">
        <v>32</v>
      </c>
      <c r="F442" s="40" t="s">
        <v>58</v>
      </c>
      <c r="G442" s="97" t="s">
        <v>40</v>
      </c>
      <c r="H442" s="97" t="s">
        <v>47</v>
      </c>
      <c r="I442" s="585" t="s">
        <v>39</v>
      </c>
      <c r="J442" s="16"/>
      <c r="K442" s="32">
        <f>K443</f>
        <v>13024.300000000001</v>
      </c>
      <c r="L442" s="32">
        <v>0</v>
      </c>
      <c r="M442" s="32">
        <v>13024.300000000001</v>
      </c>
      <c r="N442" s="32">
        <v>14270.7</v>
      </c>
    </row>
    <row r="443" spans="1:14" s="13" customFormat="1" ht="37.5" customHeight="1" x14ac:dyDescent="0.35">
      <c r="A443" s="17"/>
      <c r="B443" s="85" t="s">
        <v>437</v>
      </c>
      <c r="C443" s="31" t="s">
        <v>301</v>
      </c>
      <c r="D443" s="16" t="s">
        <v>221</v>
      </c>
      <c r="E443" s="16" t="s">
        <v>32</v>
      </c>
      <c r="F443" s="40" t="s">
        <v>58</v>
      </c>
      <c r="G443" s="97" t="s">
        <v>40</v>
      </c>
      <c r="H443" s="97" t="s">
        <v>47</v>
      </c>
      <c r="I443" s="98" t="s">
        <v>86</v>
      </c>
      <c r="J443" s="99"/>
      <c r="K443" s="32">
        <f>K444+K445+K446</f>
        <v>13024.300000000001</v>
      </c>
      <c r="L443" s="32">
        <v>0</v>
      </c>
      <c r="M443" s="32">
        <v>13024.300000000001</v>
      </c>
      <c r="N443" s="32">
        <v>14270.7</v>
      </c>
    </row>
    <row r="444" spans="1:14" s="13" customFormat="1" ht="108" x14ac:dyDescent="0.35">
      <c r="A444" s="17"/>
      <c r="B444" s="30" t="s">
        <v>44</v>
      </c>
      <c r="C444" s="31" t="s">
        <v>301</v>
      </c>
      <c r="D444" s="16" t="s">
        <v>221</v>
      </c>
      <c r="E444" s="16" t="s">
        <v>32</v>
      </c>
      <c r="F444" s="583" t="s">
        <v>58</v>
      </c>
      <c r="G444" s="584" t="s">
        <v>40</v>
      </c>
      <c r="H444" s="584" t="s">
        <v>47</v>
      </c>
      <c r="I444" s="585" t="s">
        <v>86</v>
      </c>
      <c r="J444" s="16" t="s">
        <v>45</v>
      </c>
      <c r="K444" s="32">
        <v>11895.6</v>
      </c>
      <c r="L444" s="32">
        <v>0</v>
      </c>
      <c r="M444" s="32">
        <v>11895.6</v>
      </c>
      <c r="N444" s="32">
        <v>11895.6</v>
      </c>
    </row>
    <row r="445" spans="1:14" s="13" customFormat="1" ht="54" x14ac:dyDescent="0.35">
      <c r="A445" s="17"/>
      <c r="B445" s="30" t="s">
        <v>50</v>
      </c>
      <c r="C445" s="31" t="s">
        <v>301</v>
      </c>
      <c r="D445" s="16" t="s">
        <v>221</v>
      </c>
      <c r="E445" s="16" t="s">
        <v>32</v>
      </c>
      <c r="F445" s="583" t="s">
        <v>58</v>
      </c>
      <c r="G445" s="584" t="s">
        <v>40</v>
      </c>
      <c r="H445" s="584" t="s">
        <v>47</v>
      </c>
      <c r="I445" s="585" t="s">
        <v>86</v>
      </c>
      <c r="J445" s="16" t="s">
        <v>51</v>
      </c>
      <c r="K445" s="32">
        <v>1081.7</v>
      </c>
      <c r="L445" s="32">
        <v>0</v>
      </c>
      <c r="M445" s="32">
        <v>1081.7</v>
      </c>
      <c r="N445" s="32">
        <v>2328.1</v>
      </c>
    </row>
    <row r="446" spans="1:14" s="13" customFormat="1" ht="18" x14ac:dyDescent="0.35">
      <c r="A446" s="17"/>
      <c r="B446" s="30" t="s">
        <v>52</v>
      </c>
      <c r="C446" s="31" t="s">
        <v>301</v>
      </c>
      <c r="D446" s="16" t="s">
        <v>221</v>
      </c>
      <c r="E446" s="16" t="s">
        <v>32</v>
      </c>
      <c r="F446" s="583" t="s">
        <v>58</v>
      </c>
      <c r="G446" s="584" t="s">
        <v>40</v>
      </c>
      <c r="H446" s="584" t="s">
        <v>47</v>
      </c>
      <c r="I446" s="585" t="s">
        <v>86</v>
      </c>
      <c r="J446" s="16" t="s">
        <v>53</v>
      </c>
      <c r="K446" s="32">
        <v>47</v>
      </c>
      <c r="L446" s="32">
        <v>0</v>
      </c>
      <c r="M446" s="32">
        <v>47</v>
      </c>
      <c r="N446" s="32">
        <v>47</v>
      </c>
    </row>
    <row r="447" spans="1:14" s="13" customFormat="1" ht="54" x14ac:dyDescent="0.35">
      <c r="A447" s="17"/>
      <c r="B447" s="30" t="s">
        <v>315</v>
      </c>
      <c r="C447" s="31" t="s">
        <v>301</v>
      </c>
      <c r="D447" s="16" t="s">
        <v>221</v>
      </c>
      <c r="E447" s="16" t="s">
        <v>32</v>
      </c>
      <c r="F447" s="40" t="s">
        <v>58</v>
      </c>
      <c r="G447" s="97" t="s">
        <v>84</v>
      </c>
      <c r="H447" s="97" t="s">
        <v>38</v>
      </c>
      <c r="I447" s="585" t="s">
        <v>39</v>
      </c>
      <c r="J447" s="16"/>
      <c r="K447" s="32">
        <f t="shared" ref="K447:M452" si="68">K448</f>
        <v>349.5</v>
      </c>
      <c r="L447" s="32">
        <v>0</v>
      </c>
      <c r="M447" s="32">
        <v>349.5</v>
      </c>
      <c r="N447" s="32">
        <v>349.5</v>
      </c>
    </row>
    <row r="448" spans="1:14" s="13" customFormat="1" ht="96.75" customHeight="1" x14ac:dyDescent="0.35">
      <c r="A448" s="17"/>
      <c r="B448" s="34" t="s">
        <v>307</v>
      </c>
      <c r="C448" s="31" t="s">
        <v>301</v>
      </c>
      <c r="D448" s="16" t="s">
        <v>221</v>
      </c>
      <c r="E448" s="16" t="s">
        <v>32</v>
      </c>
      <c r="F448" s="40" t="s">
        <v>58</v>
      </c>
      <c r="G448" s="97" t="s">
        <v>84</v>
      </c>
      <c r="H448" s="97" t="s">
        <v>58</v>
      </c>
      <c r="I448" s="585" t="s">
        <v>39</v>
      </c>
      <c r="J448" s="16"/>
      <c r="K448" s="32">
        <f>K452+K449</f>
        <v>349.5</v>
      </c>
      <c r="L448" s="32">
        <v>0</v>
      </c>
      <c r="M448" s="32">
        <v>349.5</v>
      </c>
      <c r="N448" s="32">
        <v>349.5</v>
      </c>
    </row>
    <row r="449" spans="1:14" s="13" customFormat="1" ht="40.5" customHeight="1" x14ac:dyDescent="0.35">
      <c r="A449" s="17"/>
      <c r="B449" s="34" t="s">
        <v>302</v>
      </c>
      <c r="C449" s="31" t="s">
        <v>301</v>
      </c>
      <c r="D449" s="16" t="s">
        <v>221</v>
      </c>
      <c r="E449" s="16" t="s">
        <v>32</v>
      </c>
      <c r="F449" s="40" t="s">
        <v>58</v>
      </c>
      <c r="G449" s="97" t="s">
        <v>84</v>
      </c>
      <c r="H449" s="97" t="s">
        <v>58</v>
      </c>
      <c r="I449" s="585" t="s">
        <v>303</v>
      </c>
      <c r="J449" s="16"/>
      <c r="K449" s="32">
        <f>K450+K451</f>
        <v>307.39999999999998</v>
      </c>
      <c r="L449" s="32">
        <v>0</v>
      </c>
      <c r="M449" s="32">
        <v>307.39999999999998</v>
      </c>
      <c r="N449" s="32">
        <v>307.39999999999998</v>
      </c>
    </row>
    <row r="450" spans="1:14" s="13" customFormat="1" ht="54" x14ac:dyDescent="0.35">
      <c r="A450" s="17"/>
      <c r="B450" s="30" t="s">
        <v>50</v>
      </c>
      <c r="C450" s="31" t="s">
        <v>301</v>
      </c>
      <c r="D450" s="16" t="s">
        <v>221</v>
      </c>
      <c r="E450" s="16" t="s">
        <v>32</v>
      </c>
      <c r="F450" s="40" t="s">
        <v>58</v>
      </c>
      <c r="G450" s="97" t="s">
        <v>84</v>
      </c>
      <c r="H450" s="97" t="s">
        <v>58</v>
      </c>
      <c r="I450" s="585" t="s">
        <v>303</v>
      </c>
      <c r="J450" s="16" t="s">
        <v>51</v>
      </c>
      <c r="K450" s="32">
        <v>289.5</v>
      </c>
      <c r="L450" s="32">
        <v>0</v>
      </c>
      <c r="M450" s="32">
        <v>289.5</v>
      </c>
      <c r="N450" s="32">
        <v>289.5</v>
      </c>
    </row>
    <row r="451" spans="1:14" s="13" customFormat="1" ht="57" customHeight="1" x14ac:dyDescent="0.35">
      <c r="A451" s="17"/>
      <c r="B451" s="34" t="s">
        <v>71</v>
      </c>
      <c r="C451" s="31" t="s">
        <v>301</v>
      </c>
      <c r="D451" s="16" t="s">
        <v>221</v>
      </c>
      <c r="E451" s="16" t="s">
        <v>32</v>
      </c>
      <c r="F451" s="40" t="s">
        <v>58</v>
      </c>
      <c r="G451" s="97" t="s">
        <v>84</v>
      </c>
      <c r="H451" s="97" t="s">
        <v>58</v>
      </c>
      <c r="I451" s="585" t="s">
        <v>303</v>
      </c>
      <c r="J451" s="16" t="s">
        <v>72</v>
      </c>
      <c r="K451" s="32">
        <v>17.899999999999999</v>
      </c>
      <c r="L451" s="32">
        <v>0</v>
      </c>
      <c r="M451" s="32">
        <v>17.899999999999999</v>
      </c>
      <c r="N451" s="32">
        <v>17.899999999999999</v>
      </c>
    </row>
    <row r="452" spans="1:14" s="13" customFormat="1" ht="54" x14ac:dyDescent="0.35">
      <c r="A452" s="17"/>
      <c r="B452" s="34" t="s">
        <v>401</v>
      </c>
      <c r="C452" s="31" t="s">
        <v>301</v>
      </c>
      <c r="D452" s="16" t="s">
        <v>221</v>
      </c>
      <c r="E452" s="16" t="s">
        <v>32</v>
      </c>
      <c r="F452" s="583" t="s">
        <v>58</v>
      </c>
      <c r="G452" s="584" t="s">
        <v>84</v>
      </c>
      <c r="H452" s="584" t="s">
        <v>58</v>
      </c>
      <c r="I452" s="585" t="s">
        <v>402</v>
      </c>
      <c r="J452" s="16"/>
      <c r="K452" s="32">
        <f t="shared" si="68"/>
        <v>42.1</v>
      </c>
      <c r="L452" s="32">
        <v>0</v>
      </c>
      <c r="M452" s="32">
        <v>42.1</v>
      </c>
      <c r="N452" s="32">
        <v>42.1</v>
      </c>
    </row>
    <row r="453" spans="1:14" s="13" customFormat="1" ht="54" x14ac:dyDescent="0.35">
      <c r="A453" s="17"/>
      <c r="B453" s="34" t="s">
        <v>71</v>
      </c>
      <c r="C453" s="31" t="s">
        <v>301</v>
      </c>
      <c r="D453" s="16" t="s">
        <v>221</v>
      </c>
      <c r="E453" s="16" t="s">
        <v>32</v>
      </c>
      <c r="F453" s="583" t="s">
        <v>58</v>
      </c>
      <c r="G453" s="584" t="s">
        <v>84</v>
      </c>
      <c r="H453" s="584" t="s">
        <v>58</v>
      </c>
      <c r="I453" s="585" t="s">
        <v>402</v>
      </c>
      <c r="J453" s="16" t="s">
        <v>72</v>
      </c>
      <c r="K453" s="32">
        <v>42.1</v>
      </c>
      <c r="L453" s="32">
        <v>0</v>
      </c>
      <c r="M453" s="32">
        <v>42.1</v>
      </c>
      <c r="N453" s="32">
        <v>42.1</v>
      </c>
    </row>
    <row r="454" spans="1:14" s="13" customFormat="1" ht="36" x14ac:dyDescent="0.35">
      <c r="A454" s="17"/>
      <c r="B454" s="30" t="s">
        <v>308</v>
      </c>
      <c r="C454" s="31" t="s">
        <v>301</v>
      </c>
      <c r="D454" s="16" t="s">
        <v>221</v>
      </c>
      <c r="E454" s="16" t="s">
        <v>47</v>
      </c>
      <c r="F454" s="40"/>
      <c r="G454" s="97"/>
      <c r="H454" s="97"/>
      <c r="I454" s="98"/>
      <c r="J454" s="99"/>
      <c r="K454" s="32">
        <f t="shared" ref="K454:N456" si="69">K455</f>
        <v>9253.1</v>
      </c>
      <c r="L454" s="32">
        <v>0</v>
      </c>
      <c r="M454" s="32">
        <v>9253.1</v>
      </c>
      <c r="N454" s="32">
        <v>9910</v>
      </c>
    </row>
    <row r="455" spans="1:14" s="13" customFormat="1" ht="54" x14ac:dyDescent="0.35">
      <c r="A455" s="17"/>
      <c r="B455" s="36" t="s">
        <v>208</v>
      </c>
      <c r="C455" s="31" t="s">
        <v>301</v>
      </c>
      <c r="D455" s="16" t="s">
        <v>221</v>
      </c>
      <c r="E455" s="16" t="s">
        <v>47</v>
      </c>
      <c r="F455" s="40" t="s">
        <v>58</v>
      </c>
      <c r="G455" s="97" t="s">
        <v>37</v>
      </c>
      <c r="H455" s="97" t="s">
        <v>38</v>
      </c>
      <c r="I455" s="98" t="s">
        <v>39</v>
      </c>
      <c r="J455" s="99"/>
      <c r="K455" s="32">
        <f t="shared" si="69"/>
        <v>9253.1</v>
      </c>
      <c r="L455" s="32">
        <v>0</v>
      </c>
      <c r="M455" s="32">
        <v>9253.1</v>
      </c>
      <c r="N455" s="32">
        <v>9910</v>
      </c>
    </row>
    <row r="456" spans="1:14" s="13" customFormat="1" ht="54" x14ac:dyDescent="0.35">
      <c r="A456" s="17"/>
      <c r="B456" s="30" t="s">
        <v>211</v>
      </c>
      <c r="C456" s="31" t="s">
        <v>301</v>
      </c>
      <c r="D456" s="16" t="s">
        <v>221</v>
      </c>
      <c r="E456" s="16" t="s">
        <v>47</v>
      </c>
      <c r="F456" s="583" t="s">
        <v>58</v>
      </c>
      <c r="G456" s="584" t="s">
        <v>25</v>
      </c>
      <c r="H456" s="584" t="s">
        <v>38</v>
      </c>
      <c r="I456" s="585" t="s">
        <v>39</v>
      </c>
      <c r="J456" s="16"/>
      <c r="K456" s="32">
        <f t="shared" si="69"/>
        <v>9253.1</v>
      </c>
      <c r="L456" s="32">
        <v>0</v>
      </c>
      <c r="M456" s="32">
        <v>9253.1</v>
      </c>
      <c r="N456" s="32">
        <v>9910</v>
      </c>
    </row>
    <row r="457" spans="1:14" s="13" customFormat="1" ht="36" x14ac:dyDescent="0.35">
      <c r="A457" s="17"/>
      <c r="B457" s="30" t="s">
        <v>270</v>
      </c>
      <c r="C457" s="31" t="s">
        <v>301</v>
      </c>
      <c r="D457" s="16" t="s">
        <v>221</v>
      </c>
      <c r="E457" s="16" t="s">
        <v>47</v>
      </c>
      <c r="F457" s="583" t="s">
        <v>58</v>
      </c>
      <c r="G457" s="584" t="s">
        <v>25</v>
      </c>
      <c r="H457" s="584" t="s">
        <v>32</v>
      </c>
      <c r="I457" s="585" t="s">
        <v>39</v>
      </c>
      <c r="J457" s="16"/>
      <c r="K457" s="32">
        <f>K458+K462</f>
        <v>9253.1</v>
      </c>
      <c r="L457" s="32">
        <v>0</v>
      </c>
      <c r="M457" s="32">
        <v>9253.1</v>
      </c>
      <c r="N457" s="32">
        <v>9910</v>
      </c>
    </row>
    <row r="458" spans="1:14" s="13" customFormat="1" ht="36" x14ac:dyDescent="0.35">
      <c r="A458" s="17"/>
      <c r="B458" s="30" t="s">
        <v>42</v>
      </c>
      <c r="C458" s="31" t="s">
        <v>301</v>
      </c>
      <c r="D458" s="16" t="s">
        <v>221</v>
      </c>
      <c r="E458" s="16" t="s">
        <v>47</v>
      </c>
      <c r="F458" s="583" t="s">
        <v>58</v>
      </c>
      <c r="G458" s="584" t="s">
        <v>25</v>
      </c>
      <c r="H458" s="584" t="s">
        <v>32</v>
      </c>
      <c r="I458" s="585" t="s">
        <v>43</v>
      </c>
      <c r="J458" s="99"/>
      <c r="K458" s="32">
        <f>K459+K460+K461</f>
        <v>2982.2000000000003</v>
      </c>
      <c r="L458" s="32">
        <v>0</v>
      </c>
      <c r="M458" s="32">
        <v>2982.2000000000003</v>
      </c>
      <c r="N458" s="32">
        <v>2983.1</v>
      </c>
    </row>
    <row r="459" spans="1:14" s="13" customFormat="1" ht="108" x14ac:dyDescent="0.35">
      <c r="A459" s="17"/>
      <c r="B459" s="30" t="s">
        <v>44</v>
      </c>
      <c r="C459" s="31" t="s">
        <v>301</v>
      </c>
      <c r="D459" s="16" t="s">
        <v>221</v>
      </c>
      <c r="E459" s="16" t="s">
        <v>47</v>
      </c>
      <c r="F459" s="583" t="s">
        <v>58</v>
      </c>
      <c r="G459" s="584" t="s">
        <v>25</v>
      </c>
      <c r="H459" s="584" t="s">
        <v>32</v>
      </c>
      <c r="I459" s="585" t="s">
        <v>43</v>
      </c>
      <c r="J459" s="99" t="s">
        <v>45</v>
      </c>
      <c r="K459" s="32">
        <v>2712.1</v>
      </c>
      <c r="L459" s="32">
        <v>0</v>
      </c>
      <c r="M459" s="32">
        <v>2712.1</v>
      </c>
      <c r="N459" s="32">
        <v>2712.1</v>
      </c>
    </row>
    <row r="460" spans="1:14" s="13" customFormat="1" ht="54" x14ac:dyDescent="0.35">
      <c r="A460" s="17"/>
      <c r="B460" s="30" t="s">
        <v>50</v>
      </c>
      <c r="C460" s="31" t="s">
        <v>301</v>
      </c>
      <c r="D460" s="16" t="s">
        <v>221</v>
      </c>
      <c r="E460" s="16" t="s">
        <v>47</v>
      </c>
      <c r="F460" s="583" t="s">
        <v>58</v>
      </c>
      <c r="G460" s="584" t="s">
        <v>25</v>
      </c>
      <c r="H460" s="584" t="s">
        <v>32</v>
      </c>
      <c r="I460" s="585" t="s">
        <v>43</v>
      </c>
      <c r="J460" s="99" t="s">
        <v>51</v>
      </c>
      <c r="K460" s="32">
        <v>265.8</v>
      </c>
      <c r="L460" s="32">
        <v>0</v>
      </c>
      <c r="M460" s="32">
        <v>265.8</v>
      </c>
      <c r="N460" s="32">
        <v>266.7</v>
      </c>
    </row>
    <row r="461" spans="1:14" s="13" customFormat="1" ht="18" x14ac:dyDescent="0.35">
      <c r="A461" s="17"/>
      <c r="B461" s="30" t="s">
        <v>52</v>
      </c>
      <c r="C461" s="31" t="s">
        <v>301</v>
      </c>
      <c r="D461" s="16" t="s">
        <v>221</v>
      </c>
      <c r="E461" s="16" t="s">
        <v>47</v>
      </c>
      <c r="F461" s="583" t="s">
        <v>58</v>
      </c>
      <c r="G461" s="584" t="s">
        <v>25</v>
      </c>
      <c r="H461" s="584" t="s">
        <v>32</v>
      </c>
      <c r="I461" s="585" t="s">
        <v>43</v>
      </c>
      <c r="J461" s="16" t="s">
        <v>53</v>
      </c>
      <c r="K461" s="32">
        <v>4.3</v>
      </c>
      <c r="L461" s="32">
        <v>0</v>
      </c>
      <c r="M461" s="32">
        <v>4.3</v>
      </c>
      <c r="N461" s="32">
        <v>4.3</v>
      </c>
    </row>
    <row r="462" spans="1:14" s="13" customFormat="1" ht="39" customHeight="1" x14ac:dyDescent="0.35">
      <c r="A462" s="17"/>
      <c r="B462" s="85" t="s">
        <v>437</v>
      </c>
      <c r="C462" s="31" t="s">
        <v>301</v>
      </c>
      <c r="D462" s="16" t="s">
        <v>221</v>
      </c>
      <c r="E462" s="16" t="s">
        <v>47</v>
      </c>
      <c r="F462" s="583" t="s">
        <v>58</v>
      </c>
      <c r="G462" s="584" t="s">
        <v>25</v>
      </c>
      <c r="H462" s="584" t="s">
        <v>32</v>
      </c>
      <c r="I462" s="585" t="s">
        <v>86</v>
      </c>
      <c r="J462" s="16"/>
      <c r="K462" s="32">
        <f>K463+K464+K465</f>
        <v>6270.9000000000005</v>
      </c>
      <c r="L462" s="32">
        <v>0</v>
      </c>
      <c r="M462" s="32">
        <v>6270.9000000000005</v>
      </c>
      <c r="N462" s="32">
        <v>6926.9000000000005</v>
      </c>
    </row>
    <row r="463" spans="1:14" s="13" customFormat="1" ht="108" x14ac:dyDescent="0.35">
      <c r="A463" s="17"/>
      <c r="B463" s="30" t="s">
        <v>44</v>
      </c>
      <c r="C463" s="161" t="s">
        <v>301</v>
      </c>
      <c r="D463" s="99" t="s">
        <v>221</v>
      </c>
      <c r="E463" s="99" t="s">
        <v>47</v>
      </c>
      <c r="F463" s="583" t="s">
        <v>58</v>
      </c>
      <c r="G463" s="584" t="s">
        <v>25</v>
      </c>
      <c r="H463" s="584" t="s">
        <v>32</v>
      </c>
      <c r="I463" s="585" t="s">
        <v>86</v>
      </c>
      <c r="J463" s="99" t="s">
        <v>45</v>
      </c>
      <c r="K463" s="32">
        <v>6121.1</v>
      </c>
      <c r="L463" s="32">
        <v>0</v>
      </c>
      <c r="M463" s="32">
        <v>6121.1</v>
      </c>
      <c r="N463" s="32">
        <v>6121.1</v>
      </c>
    </row>
    <row r="464" spans="1:14" s="13" customFormat="1" ht="54" x14ac:dyDescent="0.35">
      <c r="A464" s="17"/>
      <c r="B464" s="30" t="s">
        <v>50</v>
      </c>
      <c r="C464" s="161" t="s">
        <v>301</v>
      </c>
      <c r="D464" s="99" t="s">
        <v>221</v>
      </c>
      <c r="E464" s="99" t="s">
        <v>47</v>
      </c>
      <c r="F464" s="583" t="s">
        <v>58</v>
      </c>
      <c r="G464" s="584" t="s">
        <v>25</v>
      </c>
      <c r="H464" s="584" t="s">
        <v>32</v>
      </c>
      <c r="I464" s="585" t="s">
        <v>86</v>
      </c>
      <c r="J464" s="99" t="s">
        <v>51</v>
      </c>
      <c r="K464" s="32">
        <v>148.19999999999999</v>
      </c>
      <c r="L464" s="32">
        <v>0</v>
      </c>
      <c r="M464" s="32">
        <v>148.19999999999999</v>
      </c>
      <c r="N464" s="32">
        <v>804.2</v>
      </c>
    </row>
    <row r="465" spans="1:14" s="13" customFormat="1" ht="18" x14ac:dyDescent="0.35">
      <c r="A465" s="17"/>
      <c r="B465" s="30" t="s">
        <v>52</v>
      </c>
      <c r="C465" s="161" t="s">
        <v>301</v>
      </c>
      <c r="D465" s="99" t="s">
        <v>221</v>
      </c>
      <c r="E465" s="99" t="s">
        <v>47</v>
      </c>
      <c r="F465" s="583" t="s">
        <v>58</v>
      </c>
      <c r="G465" s="584" t="s">
        <v>25</v>
      </c>
      <c r="H465" s="584" t="s">
        <v>32</v>
      </c>
      <c r="I465" s="585" t="s">
        <v>86</v>
      </c>
      <c r="J465" s="16" t="s">
        <v>53</v>
      </c>
      <c r="K465" s="32">
        <v>1.6</v>
      </c>
      <c r="L465" s="32">
        <v>0</v>
      </c>
      <c r="M465" s="32">
        <v>1.6</v>
      </c>
      <c r="N465" s="32">
        <v>1.6</v>
      </c>
    </row>
    <row r="466" spans="1:14" s="128" customFormat="1" ht="18" x14ac:dyDescent="0.35">
      <c r="A466" s="17"/>
      <c r="B466" s="30"/>
      <c r="C466" s="161"/>
      <c r="D466" s="99"/>
      <c r="E466" s="99"/>
      <c r="F466" s="583"/>
      <c r="G466" s="584"/>
      <c r="H466" s="584"/>
      <c r="I466" s="585"/>
      <c r="J466" s="16"/>
      <c r="K466" s="32"/>
      <c r="L466" s="32"/>
      <c r="M466" s="32"/>
      <c r="N466" s="32"/>
    </row>
    <row r="467" spans="1:14" s="123" customFormat="1" ht="52.2" x14ac:dyDescent="0.3">
      <c r="A467" s="122">
        <v>7</v>
      </c>
      <c r="B467" s="24" t="s">
        <v>8</v>
      </c>
      <c r="C467" s="25" t="s">
        <v>279</v>
      </c>
      <c r="D467" s="26"/>
      <c r="E467" s="26"/>
      <c r="F467" s="27"/>
      <c r="G467" s="28"/>
      <c r="H467" s="28"/>
      <c r="I467" s="29"/>
      <c r="J467" s="26"/>
      <c r="K467" s="46">
        <f>K468+K475</f>
        <v>34284.499999999993</v>
      </c>
      <c r="L467" s="46">
        <v>0</v>
      </c>
      <c r="M467" s="46">
        <v>34284.499999999993</v>
      </c>
      <c r="N467" s="46">
        <v>30605.3</v>
      </c>
    </row>
    <row r="468" spans="1:14" s="123" customFormat="1" ht="18" x14ac:dyDescent="0.35">
      <c r="A468" s="122"/>
      <c r="B468" s="240" t="s">
        <v>31</v>
      </c>
      <c r="C468" s="241" t="s">
        <v>279</v>
      </c>
      <c r="D468" s="41" t="s">
        <v>32</v>
      </c>
      <c r="E468" s="41"/>
      <c r="F468" s="227"/>
      <c r="G468" s="228"/>
      <c r="H468" s="228"/>
      <c r="I468" s="229"/>
      <c r="J468" s="41"/>
      <c r="K468" s="230">
        <f t="shared" ref="K468:M472" si="70">K469</f>
        <v>35.6</v>
      </c>
      <c r="L468" s="230">
        <v>0</v>
      </c>
      <c r="M468" s="230">
        <v>35.6</v>
      </c>
      <c r="N468" s="230">
        <v>35.6</v>
      </c>
    </row>
    <row r="469" spans="1:14" s="123" customFormat="1" ht="18" x14ac:dyDescent="0.35">
      <c r="A469" s="122"/>
      <c r="B469" s="240" t="s">
        <v>65</v>
      </c>
      <c r="C469" s="241" t="s">
        <v>279</v>
      </c>
      <c r="D469" s="41" t="s">
        <v>32</v>
      </c>
      <c r="E469" s="41" t="s">
        <v>66</v>
      </c>
      <c r="F469" s="227"/>
      <c r="G469" s="228"/>
      <c r="H469" s="228"/>
      <c r="I469" s="229"/>
      <c r="J469" s="41"/>
      <c r="K469" s="230">
        <f t="shared" si="70"/>
        <v>35.6</v>
      </c>
      <c r="L469" s="230">
        <v>0</v>
      </c>
      <c r="M469" s="230">
        <v>35.6</v>
      </c>
      <c r="N469" s="230">
        <v>35.6</v>
      </c>
    </row>
    <row r="470" spans="1:14" s="123" customFormat="1" ht="54" x14ac:dyDescent="0.35">
      <c r="A470" s="122"/>
      <c r="B470" s="240" t="s">
        <v>212</v>
      </c>
      <c r="C470" s="241" t="s">
        <v>279</v>
      </c>
      <c r="D470" s="41" t="s">
        <v>32</v>
      </c>
      <c r="E470" s="41" t="s">
        <v>66</v>
      </c>
      <c r="F470" s="227" t="s">
        <v>47</v>
      </c>
      <c r="G470" s="228" t="s">
        <v>37</v>
      </c>
      <c r="H470" s="228" t="s">
        <v>38</v>
      </c>
      <c r="I470" s="229" t="s">
        <v>39</v>
      </c>
      <c r="J470" s="41"/>
      <c r="K470" s="230">
        <f t="shared" si="70"/>
        <v>35.6</v>
      </c>
      <c r="L470" s="230">
        <v>0</v>
      </c>
      <c r="M470" s="230">
        <v>35.6</v>
      </c>
      <c r="N470" s="230">
        <v>35.6</v>
      </c>
    </row>
    <row r="471" spans="1:14" s="123" customFormat="1" ht="36" x14ac:dyDescent="0.35">
      <c r="A471" s="122"/>
      <c r="B471" s="240" t="s">
        <v>215</v>
      </c>
      <c r="C471" s="241" t="s">
        <v>279</v>
      </c>
      <c r="D471" s="41" t="s">
        <v>32</v>
      </c>
      <c r="E471" s="41" t="s">
        <v>66</v>
      </c>
      <c r="F471" s="227" t="s">
        <v>47</v>
      </c>
      <c r="G471" s="228" t="s">
        <v>84</v>
      </c>
      <c r="H471" s="228" t="s">
        <v>38</v>
      </c>
      <c r="I471" s="229" t="s">
        <v>39</v>
      </c>
      <c r="J471" s="41"/>
      <c r="K471" s="230">
        <f t="shared" si="70"/>
        <v>35.6</v>
      </c>
      <c r="L471" s="230">
        <v>0</v>
      </c>
      <c r="M471" s="230">
        <v>35.6</v>
      </c>
      <c r="N471" s="230">
        <v>35.6</v>
      </c>
    </row>
    <row r="472" spans="1:14" s="123" customFormat="1" ht="36" x14ac:dyDescent="0.35">
      <c r="A472" s="122"/>
      <c r="B472" s="240" t="s">
        <v>340</v>
      </c>
      <c r="C472" s="241" t="s">
        <v>279</v>
      </c>
      <c r="D472" s="41" t="s">
        <v>32</v>
      </c>
      <c r="E472" s="41" t="s">
        <v>66</v>
      </c>
      <c r="F472" s="227" t="s">
        <v>47</v>
      </c>
      <c r="G472" s="228" t="s">
        <v>84</v>
      </c>
      <c r="H472" s="228" t="s">
        <v>58</v>
      </c>
      <c r="I472" s="229" t="s">
        <v>39</v>
      </c>
      <c r="J472" s="41"/>
      <c r="K472" s="230">
        <f t="shared" si="70"/>
        <v>35.6</v>
      </c>
      <c r="L472" s="230">
        <v>0</v>
      </c>
      <c r="M472" s="230">
        <v>35.6</v>
      </c>
      <c r="N472" s="230">
        <v>35.6</v>
      </c>
    </row>
    <row r="473" spans="1:14" s="123" customFormat="1" ht="54" customHeight="1" x14ac:dyDescent="0.35">
      <c r="A473" s="122"/>
      <c r="B473" s="240" t="s">
        <v>341</v>
      </c>
      <c r="C473" s="241" t="s">
        <v>279</v>
      </c>
      <c r="D473" s="41" t="s">
        <v>32</v>
      </c>
      <c r="E473" s="41" t="s">
        <v>66</v>
      </c>
      <c r="F473" s="227" t="s">
        <v>47</v>
      </c>
      <c r="G473" s="228" t="s">
        <v>84</v>
      </c>
      <c r="H473" s="228" t="s">
        <v>58</v>
      </c>
      <c r="I473" s="229" t="s">
        <v>100</v>
      </c>
      <c r="J473" s="41"/>
      <c r="K473" s="230">
        <f>K474</f>
        <v>35.6</v>
      </c>
      <c r="L473" s="230">
        <v>0</v>
      </c>
      <c r="M473" s="230">
        <v>35.6</v>
      </c>
      <c r="N473" s="230">
        <v>35.6</v>
      </c>
    </row>
    <row r="474" spans="1:14" s="13" customFormat="1" ht="54" x14ac:dyDescent="0.35">
      <c r="A474" s="17"/>
      <c r="B474" s="243" t="s">
        <v>50</v>
      </c>
      <c r="C474" s="241" t="s">
        <v>279</v>
      </c>
      <c r="D474" s="41" t="s">
        <v>32</v>
      </c>
      <c r="E474" s="41" t="s">
        <v>66</v>
      </c>
      <c r="F474" s="227" t="s">
        <v>47</v>
      </c>
      <c r="G474" s="228" t="s">
        <v>84</v>
      </c>
      <c r="H474" s="228" t="s">
        <v>58</v>
      </c>
      <c r="I474" s="229" t="s">
        <v>100</v>
      </c>
      <c r="J474" s="41" t="s">
        <v>51</v>
      </c>
      <c r="K474" s="230">
        <v>35.6</v>
      </c>
      <c r="L474" s="32">
        <v>0</v>
      </c>
      <c r="M474" s="230">
        <v>35.6</v>
      </c>
      <c r="N474" s="32">
        <v>35.6</v>
      </c>
    </row>
    <row r="475" spans="1:14" s="13" customFormat="1" ht="18" x14ac:dyDescent="0.35">
      <c r="A475" s="17"/>
      <c r="B475" s="243" t="s">
        <v>309</v>
      </c>
      <c r="C475" s="241" t="s">
        <v>279</v>
      </c>
      <c r="D475" s="41" t="s">
        <v>62</v>
      </c>
      <c r="E475" s="41"/>
      <c r="F475" s="227"/>
      <c r="G475" s="228"/>
      <c r="H475" s="228"/>
      <c r="I475" s="229"/>
      <c r="J475" s="41"/>
      <c r="K475" s="230">
        <f>K476+K504+K494</f>
        <v>34248.899999999994</v>
      </c>
      <c r="L475" s="230">
        <v>0</v>
      </c>
      <c r="M475" s="230">
        <v>34248.899999999994</v>
      </c>
      <c r="N475" s="230">
        <v>30569.7</v>
      </c>
    </row>
    <row r="476" spans="1:14" s="123" customFormat="1" ht="18" x14ac:dyDescent="0.35">
      <c r="A476" s="17"/>
      <c r="B476" s="36" t="s">
        <v>349</v>
      </c>
      <c r="C476" s="31" t="s">
        <v>279</v>
      </c>
      <c r="D476" s="16" t="s">
        <v>62</v>
      </c>
      <c r="E476" s="16" t="s">
        <v>32</v>
      </c>
      <c r="F476" s="583"/>
      <c r="G476" s="584"/>
      <c r="H476" s="584"/>
      <c r="I476" s="585"/>
      <c r="J476" s="16"/>
      <c r="K476" s="32">
        <f>K477</f>
        <v>27442.499999999996</v>
      </c>
      <c r="L476" s="32">
        <v>0</v>
      </c>
      <c r="M476" s="32">
        <v>27442.499999999996</v>
      </c>
      <c r="N476" s="32">
        <v>27452.1</v>
      </c>
    </row>
    <row r="477" spans="1:14" s="123" customFormat="1" ht="61.5" customHeight="1" x14ac:dyDescent="0.35">
      <c r="A477" s="17"/>
      <c r="B477" s="30" t="s">
        <v>212</v>
      </c>
      <c r="C477" s="31" t="s">
        <v>279</v>
      </c>
      <c r="D477" s="16" t="s">
        <v>62</v>
      </c>
      <c r="E477" s="16" t="s">
        <v>32</v>
      </c>
      <c r="F477" s="583" t="s">
        <v>47</v>
      </c>
      <c r="G477" s="584" t="s">
        <v>37</v>
      </c>
      <c r="H477" s="584" t="s">
        <v>38</v>
      </c>
      <c r="I477" s="585" t="s">
        <v>39</v>
      </c>
      <c r="J477" s="16"/>
      <c r="K477" s="32">
        <f>K478+K482</f>
        <v>27442.499999999996</v>
      </c>
      <c r="L477" s="32">
        <v>0</v>
      </c>
      <c r="M477" s="32">
        <v>27442.499999999996</v>
      </c>
      <c r="N477" s="32">
        <v>27452.1</v>
      </c>
    </row>
    <row r="478" spans="1:14" s="123" customFormat="1" ht="36" x14ac:dyDescent="0.35">
      <c r="A478" s="17"/>
      <c r="B478" s="36" t="s">
        <v>213</v>
      </c>
      <c r="C478" s="31" t="s">
        <v>279</v>
      </c>
      <c r="D478" s="16" t="s">
        <v>62</v>
      </c>
      <c r="E478" s="16" t="s">
        <v>32</v>
      </c>
      <c r="F478" s="583" t="s">
        <v>47</v>
      </c>
      <c r="G478" s="584" t="s">
        <v>40</v>
      </c>
      <c r="H478" s="584" t="s">
        <v>38</v>
      </c>
      <c r="I478" s="585" t="s">
        <v>39</v>
      </c>
      <c r="J478" s="16"/>
      <c r="K478" s="32">
        <f>K479</f>
        <v>225</v>
      </c>
      <c r="L478" s="32">
        <v>0</v>
      </c>
      <c r="M478" s="32">
        <v>225</v>
      </c>
      <c r="N478" s="32">
        <v>225</v>
      </c>
    </row>
    <row r="479" spans="1:14" s="123" customFormat="1" ht="18" x14ac:dyDescent="0.35">
      <c r="A479" s="17"/>
      <c r="B479" s="30" t="s">
        <v>265</v>
      </c>
      <c r="C479" s="31" t="s">
        <v>279</v>
      </c>
      <c r="D479" s="16" t="s">
        <v>62</v>
      </c>
      <c r="E479" s="16" t="s">
        <v>32</v>
      </c>
      <c r="F479" s="583" t="s">
        <v>47</v>
      </c>
      <c r="G479" s="584" t="s">
        <v>40</v>
      </c>
      <c r="H479" s="584" t="s">
        <v>32</v>
      </c>
      <c r="I479" s="585" t="s">
        <v>39</v>
      </c>
      <c r="J479" s="16"/>
      <c r="K479" s="32">
        <f t="shared" ref="K479:N480" si="71">K480</f>
        <v>225</v>
      </c>
      <c r="L479" s="32">
        <v>0</v>
      </c>
      <c r="M479" s="32">
        <v>225</v>
      </c>
      <c r="N479" s="32">
        <v>225</v>
      </c>
    </row>
    <row r="480" spans="1:14" s="123" customFormat="1" ht="41.25" customHeight="1" x14ac:dyDescent="0.35">
      <c r="A480" s="17"/>
      <c r="B480" s="30" t="s">
        <v>266</v>
      </c>
      <c r="C480" s="31" t="s">
        <v>279</v>
      </c>
      <c r="D480" s="16" t="s">
        <v>62</v>
      </c>
      <c r="E480" s="16" t="s">
        <v>32</v>
      </c>
      <c r="F480" s="583" t="s">
        <v>47</v>
      </c>
      <c r="G480" s="584" t="s">
        <v>40</v>
      </c>
      <c r="H480" s="584" t="s">
        <v>32</v>
      </c>
      <c r="I480" s="585" t="s">
        <v>267</v>
      </c>
      <c r="J480" s="16"/>
      <c r="K480" s="32">
        <f t="shared" si="71"/>
        <v>225</v>
      </c>
      <c r="L480" s="32">
        <v>0</v>
      </c>
      <c r="M480" s="32">
        <v>225</v>
      </c>
      <c r="N480" s="32">
        <v>225</v>
      </c>
    </row>
    <row r="481" spans="1:14" s="123" customFormat="1" ht="36" x14ac:dyDescent="0.35">
      <c r="A481" s="17"/>
      <c r="B481" s="30" t="s">
        <v>115</v>
      </c>
      <c r="C481" s="31" t="s">
        <v>279</v>
      </c>
      <c r="D481" s="16" t="s">
        <v>62</v>
      </c>
      <c r="E481" s="16" t="s">
        <v>32</v>
      </c>
      <c r="F481" s="583" t="s">
        <v>47</v>
      </c>
      <c r="G481" s="584" t="s">
        <v>40</v>
      </c>
      <c r="H481" s="584" t="s">
        <v>32</v>
      </c>
      <c r="I481" s="585" t="s">
        <v>267</v>
      </c>
      <c r="J481" s="16" t="s">
        <v>116</v>
      </c>
      <c r="K481" s="32">
        <v>225</v>
      </c>
      <c r="L481" s="32">
        <v>0</v>
      </c>
      <c r="M481" s="32">
        <v>225</v>
      </c>
      <c r="N481" s="32">
        <v>225</v>
      </c>
    </row>
    <row r="482" spans="1:14" s="13" customFormat="1" ht="36" x14ac:dyDescent="0.35">
      <c r="A482" s="17"/>
      <c r="B482" s="30" t="s">
        <v>215</v>
      </c>
      <c r="C482" s="31" t="s">
        <v>279</v>
      </c>
      <c r="D482" s="16" t="s">
        <v>62</v>
      </c>
      <c r="E482" s="16" t="s">
        <v>32</v>
      </c>
      <c r="F482" s="583" t="s">
        <v>47</v>
      </c>
      <c r="G482" s="584" t="s">
        <v>84</v>
      </c>
      <c r="H482" s="584" t="s">
        <v>38</v>
      </c>
      <c r="I482" s="585" t="s">
        <v>39</v>
      </c>
      <c r="J482" s="16"/>
      <c r="K482" s="32">
        <f t="shared" ref="K482:N482" si="72">K483</f>
        <v>27217.499999999996</v>
      </c>
      <c r="L482" s="32">
        <v>0</v>
      </c>
      <c r="M482" s="32">
        <v>27217.499999999996</v>
      </c>
      <c r="N482" s="32">
        <v>27227.1</v>
      </c>
    </row>
    <row r="483" spans="1:14" s="123" customFormat="1" ht="34.200000000000003" customHeight="1" x14ac:dyDescent="0.35">
      <c r="A483" s="17"/>
      <c r="B483" s="30" t="s">
        <v>350</v>
      </c>
      <c r="C483" s="31" t="s">
        <v>279</v>
      </c>
      <c r="D483" s="16" t="s">
        <v>62</v>
      </c>
      <c r="E483" s="16" t="s">
        <v>32</v>
      </c>
      <c r="F483" s="583" t="s">
        <v>47</v>
      </c>
      <c r="G483" s="584" t="s">
        <v>84</v>
      </c>
      <c r="H483" s="584" t="s">
        <v>34</v>
      </c>
      <c r="I483" s="585" t="s">
        <v>39</v>
      </c>
      <c r="J483" s="16"/>
      <c r="K483" s="32">
        <f>K484+K488+K490+K492</f>
        <v>27217.499999999996</v>
      </c>
      <c r="L483" s="32">
        <v>0</v>
      </c>
      <c r="M483" s="32">
        <v>27217.499999999996</v>
      </c>
      <c r="N483" s="32">
        <v>27227.1</v>
      </c>
    </row>
    <row r="484" spans="1:14" s="123" customFormat="1" ht="39" customHeight="1" x14ac:dyDescent="0.35">
      <c r="A484" s="17"/>
      <c r="B484" s="85" t="s">
        <v>437</v>
      </c>
      <c r="C484" s="31" t="s">
        <v>279</v>
      </c>
      <c r="D484" s="16" t="s">
        <v>62</v>
      </c>
      <c r="E484" s="16" t="s">
        <v>32</v>
      </c>
      <c r="F484" s="583" t="s">
        <v>47</v>
      </c>
      <c r="G484" s="584" t="s">
        <v>84</v>
      </c>
      <c r="H484" s="584" t="s">
        <v>34</v>
      </c>
      <c r="I484" s="585" t="s">
        <v>86</v>
      </c>
      <c r="J484" s="16"/>
      <c r="K484" s="32">
        <f>K485+K486+K487</f>
        <v>21191.899999999998</v>
      </c>
      <c r="L484" s="32">
        <v>0</v>
      </c>
      <c r="M484" s="32">
        <v>21191.899999999998</v>
      </c>
      <c r="N484" s="32">
        <v>21201.5</v>
      </c>
    </row>
    <row r="485" spans="1:14" s="123" customFormat="1" ht="108" x14ac:dyDescent="0.35">
      <c r="A485" s="17"/>
      <c r="B485" s="30" t="s">
        <v>44</v>
      </c>
      <c r="C485" s="31" t="s">
        <v>279</v>
      </c>
      <c r="D485" s="16" t="s">
        <v>62</v>
      </c>
      <c r="E485" s="16" t="s">
        <v>32</v>
      </c>
      <c r="F485" s="583" t="s">
        <v>47</v>
      </c>
      <c r="G485" s="584" t="s">
        <v>84</v>
      </c>
      <c r="H485" s="584" t="s">
        <v>34</v>
      </c>
      <c r="I485" s="585" t="s">
        <v>86</v>
      </c>
      <c r="J485" s="16" t="s">
        <v>45</v>
      </c>
      <c r="K485" s="32">
        <v>17974.3</v>
      </c>
      <c r="L485" s="32">
        <v>0</v>
      </c>
      <c r="M485" s="32">
        <v>17974.3</v>
      </c>
      <c r="N485" s="32">
        <v>17974.3</v>
      </c>
    </row>
    <row r="486" spans="1:14" s="13" customFormat="1" ht="54" x14ac:dyDescent="0.35">
      <c r="A486" s="17"/>
      <c r="B486" s="30" t="s">
        <v>50</v>
      </c>
      <c r="C486" s="31" t="s">
        <v>279</v>
      </c>
      <c r="D486" s="16" t="s">
        <v>62</v>
      </c>
      <c r="E486" s="16" t="s">
        <v>32</v>
      </c>
      <c r="F486" s="583" t="s">
        <v>47</v>
      </c>
      <c r="G486" s="584" t="s">
        <v>84</v>
      </c>
      <c r="H486" s="584" t="s">
        <v>34</v>
      </c>
      <c r="I486" s="585" t="s">
        <v>86</v>
      </c>
      <c r="J486" s="16" t="s">
        <v>51</v>
      </c>
      <c r="K486" s="32">
        <v>3160.8</v>
      </c>
      <c r="L486" s="32">
        <v>0</v>
      </c>
      <c r="M486" s="32">
        <v>3160.8</v>
      </c>
      <c r="N486" s="32">
        <v>3172.4</v>
      </c>
    </row>
    <row r="487" spans="1:14" s="123" customFormat="1" ht="18" x14ac:dyDescent="0.35">
      <c r="A487" s="17"/>
      <c r="B487" s="30" t="s">
        <v>52</v>
      </c>
      <c r="C487" s="31" t="s">
        <v>279</v>
      </c>
      <c r="D487" s="16" t="s">
        <v>62</v>
      </c>
      <c r="E487" s="16" t="s">
        <v>32</v>
      </c>
      <c r="F487" s="583" t="s">
        <v>47</v>
      </c>
      <c r="G487" s="584" t="s">
        <v>84</v>
      </c>
      <c r="H487" s="584" t="s">
        <v>34</v>
      </c>
      <c r="I487" s="585" t="s">
        <v>86</v>
      </c>
      <c r="J487" s="16" t="s">
        <v>53</v>
      </c>
      <c r="K487" s="32">
        <f>47.6+9.2</f>
        <v>56.8</v>
      </c>
      <c r="L487" s="32">
        <v>0</v>
      </c>
      <c r="M487" s="32">
        <v>56.8</v>
      </c>
      <c r="N487" s="32">
        <v>54.8</v>
      </c>
    </row>
    <row r="488" spans="1:14" s="123" customFormat="1" ht="54" x14ac:dyDescent="0.35">
      <c r="A488" s="17"/>
      <c r="B488" s="30" t="s">
        <v>214</v>
      </c>
      <c r="C488" s="31" t="s">
        <v>279</v>
      </c>
      <c r="D488" s="16" t="s">
        <v>62</v>
      </c>
      <c r="E488" s="16" t="s">
        <v>32</v>
      </c>
      <c r="F488" s="583" t="s">
        <v>47</v>
      </c>
      <c r="G488" s="584" t="s">
        <v>84</v>
      </c>
      <c r="H488" s="584" t="s">
        <v>34</v>
      </c>
      <c r="I488" s="585" t="s">
        <v>281</v>
      </c>
      <c r="J488" s="16"/>
      <c r="K488" s="32">
        <f>K489</f>
        <v>4110</v>
      </c>
      <c r="L488" s="32">
        <v>0</v>
      </c>
      <c r="M488" s="32">
        <v>4110</v>
      </c>
      <c r="N488" s="32">
        <v>4110</v>
      </c>
    </row>
    <row r="489" spans="1:14" s="123" customFormat="1" ht="54" x14ac:dyDescent="0.35">
      <c r="A489" s="17"/>
      <c r="B489" s="30" t="s">
        <v>50</v>
      </c>
      <c r="C489" s="31" t="s">
        <v>279</v>
      </c>
      <c r="D489" s="16" t="s">
        <v>62</v>
      </c>
      <c r="E489" s="16" t="s">
        <v>32</v>
      </c>
      <c r="F489" s="583" t="s">
        <v>47</v>
      </c>
      <c r="G489" s="584" t="s">
        <v>84</v>
      </c>
      <c r="H489" s="584" t="s">
        <v>34</v>
      </c>
      <c r="I489" s="585" t="s">
        <v>281</v>
      </c>
      <c r="J489" s="16" t="s">
        <v>51</v>
      </c>
      <c r="K489" s="32">
        <v>4110</v>
      </c>
      <c r="L489" s="32">
        <v>0</v>
      </c>
      <c r="M489" s="32">
        <v>4110</v>
      </c>
      <c r="N489" s="32">
        <v>4110</v>
      </c>
    </row>
    <row r="490" spans="1:14" s="123" customFormat="1" ht="193.5" customHeight="1" x14ac:dyDescent="0.35">
      <c r="A490" s="17"/>
      <c r="B490" s="30" t="s">
        <v>414</v>
      </c>
      <c r="C490" s="31" t="s">
        <v>279</v>
      </c>
      <c r="D490" s="16" t="s">
        <v>62</v>
      </c>
      <c r="E490" s="16" t="s">
        <v>32</v>
      </c>
      <c r="F490" s="583" t="s">
        <v>47</v>
      </c>
      <c r="G490" s="584" t="s">
        <v>84</v>
      </c>
      <c r="H490" s="584" t="s">
        <v>34</v>
      </c>
      <c r="I490" s="585" t="s">
        <v>389</v>
      </c>
      <c r="J490" s="16"/>
      <c r="K490" s="32">
        <f>K491</f>
        <v>250</v>
      </c>
      <c r="L490" s="32">
        <v>0</v>
      </c>
      <c r="M490" s="32">
        <v>250</v>
      </c>
      <c r="N490" s="32">
        <v>250</v>
      </c>
    </row>
    <row r="491" spans="1:14" s="123" customFormat="1" ht="108" x14ac:dyDescent="0.35">
      <c r="A491" s="17"/>
      <c r="B491" s="30" t="s">
        <v>44</v>
      </c>
      <c r="C491" s="31" t="s">
        <v>279</v>
      </c>
      <c r="D491" s="16" t="s">
        <v>62</v>
      </c>
      <c r="E491" s="16" t="s">
        <v>32</v>
      </c>
      <c r="F491" s="583" t="s">
        <v>47</v>
      </c>
      <c r="G491" s="584" t="s">
        <v>84</v>
      </c>
      <c r="H491" s="584" t="s">
        <v>34</v>
      </c>
      <c r="I491" s="585" t="s">
        <v>389</v>
      </c>
      <c r="J491" s="16" t="s">
        <v>45</v>
      </c>
      <c r="K491" s="32">
        <v>250</v>
      </c>
      <c r="L491" s="32">
        <v>0</v>
      </c>
      <c r="M491" s="32">
        <v>250</v>
      </c>
      <c r="N491" s="290">
        <v>250</v>
      </c>
    </row>
    <row r="492" spans="1:14" s="123" customFormat="1" ht="57" customHeight="1" x14ac:dyDescent="0.35">
      <c r="A492" s="17"/>
      <c r="B492" s="30" t="s">
        <v>416</v>
      </c>
      <c r="C492" s="31" t="s">
        <v>279</v>
      </c>
      <c r="D492" s="16" t="s">
        <v>62</v>
      </c>
      <c r="E492" s="16" t="s">
        <v>32</v>
      </c>
      <c r="F492" s="583" t="s">
        <v>47</v>
      </c>
      <c r="G492" s="584" t="s">
        <v>84</v>
      </c>
      <c r="H492" s="584" t="s">
        <v>34</v>
      </c>
      <c r="I492" s="585" t="s">
        <v>398</v>
      </c>
      <c r="J492" s="16"/>
      <c r="K492" s="32">
        <f>K493</f>
        <v>1665.6</v>
      </c>
      <c r="L492" s="32">
        <v>0</v>
      </c>
      <c r="M492" s="32">
        <v>1665.6</v>
      </c>
      <c r="N492" s="32">
        <v>1665.6</v>
      </c>
    </row>
    <row r="493" spans="1:14" s="123" customFormat="1" ht="108" x14ac:dyDescent="0.35">
      <c r="A493" s="17"/>
      <c r="B493" s="30" t="s">
        <v>44</v>
      </c>
      <c r="C493" s="31" t="s">
        <v>279</v>
      </c>
      <c r="D493" s="16" t="s">
        <v>62</v>
      </c>
      <c r="E493" s="16" t="s">
        <v>32</v>
      </c>
      <c r="F493" s="583" t="s">
        <v>47</v>
      </c>
      <c r="G493" s="584" t="s">
        <v>84</v>
      </c>
      <c r="H493" s="584" t="s">
        <v>34</v>
      </c>
      <c r="I493" s="585" t="s">
        <v>398</v>
      </c>
      <c r="J493" s="16" t="s">
        <v>45</v>
      </c>
      <c r="K493" s="32">
        <v>1665.6</v>
      </c>
      <c r="L493" s="32">
        <v>0</v>
      </c>
      <c r="M493" s="32">
        <v>1665.6</v>
      </c>
      <c r="N493" s="290">
        <v>1665.6</v>
      </c>
    </row>
    <row r="494" spans="1:14" s="123" customFormat="1" ht="18" x14ac:dyDescent="0.35">
      <c r="A494" s="17"/>
      <c r="B494" s="30" t="s">
        <v>192</v>
      </c>
      <c r="C494" s="31" t="s">
        <v>279</v>
      </c>
      <c r="D494" s="16" t="s">
        <v>62</v>
      </c>
      <c r="E494" s="16" t="s">
        <v>34</v>
      </c>
      <c r="F494" s="583"/>
      <c r="G494" s="584"/>
      <c r="H494" s="584"/>
      <c r="I494" s="585"/>
      <c r="J494" s="16"/>
      <c r="K494" s="32">
        <f t="shared" ref="K494:N502" si="73">K495</f>
        <v>4319.5</v>
      </c>
      <c r="L494" s="32">
        <v>0</v>
      </c>
      <c r="M494" s="32">
        <v>4319.5</v>
      </c>
      <c r="N494" s="32">
        <v>629.70000000000005</v>
      </c>
    </row>
    <row r="495" spans="1:14" s="123" customFormat="1" ht="56.25" customHeight="1" x14ac:dyDescent="0.35">
      <c r="A495" s="17"/>
      <c r="B495" s="30" t="s">
        <v>212</v>
      </c>
      <c r="C495" s="31" t="s">
        <v>279</v>
      </c>
      <c r="D495" s="16" t="s">
        <v>62</v>
      </c>
      <c r="E495" s="16" t="s">
        <v>34</v>
      </c>
      <c r="F495" s="583" t="s">
        <v>47</v>
      </c>
      <c r="G495" s="584" t="s">
        <v>37</v>
      </c>
      <c r="H495" s="584" t="s">
        <v>38</v>
      </c>
      <c r="I495" s="585" t="s">
        <v>39</v>
      </c>
      <c r="J495" s="16"/>
      <c r="K495" s="32">
        <f t="shared" si="73"/>
        <v>4319.5</v>
      </c>
      <c r="L495" s="32">
        <v>0</v>
      </c>
      <c r="M495" s="32">
        <v>4319.5</v>
      </c>
      <c r="N495" s="32">
        <v>629.70000000000005</v>
      </c>
    </row>
    <row r="496" spans="1:14" s="123" customFormat="1" ht="36" x14ac:dyDescent="0.35">
      <c r="A496" s="17"/>
      <c r="B496" s="36" t="s">
        <v>213</v>
      </c>
      <c r="C496" s="31" t="s">
        <v>279</v>
      </c>
      <c r="D496" s="16" t="s">
        <v>62</v>
      </c>
      <c r="E496" s="16" t="s">
        <v>34</v>
      </c>
      <c r="F496" s="583" t="s">
        <v>47</v>
      </c>
      <c r="G496" s="584" t="s">
        <v>40</v>
      </c>
      <c r="H496" s="584" t="s">
        <v>38</v>
      </c>
      <c r="I496" s="585" t="s">
        <v>39</v>
      </c>
      <c r="J496" s="16"/>
      <c r="K496" s="32">
        <f>K497+K501</f>
        <v>4319.5</v>
      </c>
      <c r="L496" s="32">
        <v>0</v>
      </c>
      <c r="M496" s="32">
        <v>4319.5</v>
      </c>
      <c r="N496" s="32">
        <v>629.70000000000005</v>
      </c>
    </row>
    <row r="497" spans="1:14" s="123" customFormat="1" ht="54" x14ac:dyDescent="0.35">
      <c r="A497" s="17"/>
      <c r="B497" s="30" t="s">
        <v>280</v>
      </c>
      <c r="C497" s="31" t="s">
        <v>279</v>
      </c>
      <c r="D497" s="16" t="s">
        <v>62</v>
      </c>
      <c r="E497" s="16" t="s">
        <v>34</v>
      </c>
      <c r="F497" s="583" t="s">
        <v>47</v>
      </c>
      <c r="G497" s="584" t="s">
        <v>40</v>
      </c>
      <c r="H497" s="584" t="s">
        <v>34</v>
      </c>
      <c r="I497" s="585" t="s">
        <v>39</v>
      </c>
      <c r="J497" s="16"/>
      <c r="K497" s="32">
        <f>K498</f>
        <v>629.70000000000005</v>
      </c>
      <c r="L497" s="32">
        <v>0</v>
      </c>
      <c r="M497" s="32">
        <v>629.70000000000005</v>
      </c>
      <c r="N497" s="32">
        <v>629.70000000000005</v>
      </c>
    </row>
    <row r="498" spans="1:14" s="123" customFormat="1" ht="54" x14ac:dyDescent="0.35">
      <c r="A498" s="17"/>
      <c r="B498" s="30" t="s">
        <v>214</v>
      </c>
      <c r="C498" s="31" t="s">
        <v>279</v>
      </c>
      <c r="D498" s="16" t="s">
        <v>62</v>
      </c>
      <c r="E498" s="16" t="s">
        <v>34</v>
      </c>
      <c r="F498" s="583" t="s">
        <v>47</v>
      </c>
      <c r="G498" s="584" t="s">
        <v>40</v>
      </c>
      <c r="H498" s="584" t="s">
        <v>34</v>
      </c>
      <c r="I498" s="585" t="s">
        <v>281</v>
      </c>
      <c r="J498" s="16"/>
      <c r="K498" s="32">
        <f>K499+K500</f>
        <v>629.70000000000005</v>
      </c>
      <c r="L498" s="32">
        <v>0</v>
      </c>
      <c r="M498" s="32">
        <v>629.70000000000005</v>
      </c>
      <c r="N498" s="32">
        <v>629.70000000000005</v>
      </c>
    </row>
    <row r="499" spans="1:14" s="123" customFormat="1" ht="108" x14ac:dyDescent="0.35">
      <c r="A499" s="17"/>
      <c r="B499" s="30" t="s">
        <v>44</v>
      </c>
      <c r="C499" s="31" t="s">
        <v>279</v>
      </c>
      <c r="D499" s="16" t="s">
        <v>62</v>
      </c>
      <c r="E499" s="16" t="s">
        <v>34</v>
      </c>
      <c r="F499" s="583" t="s">
        <v>47</v>
      </c>
      <c r="G499" s="584" t="s">
        <v>40</v>
      </c>
      <c r="H499" s="584" t="s">
        <v>34</v>
      </c>
      <c r="I499" s="585" t="s">
        <v>281</v>
      </c>
      <c r="J499" s="16" t="s">
        <v>45</v>
      </c>
      <c r="K499" s="32">
        <v>561.70000000000005</v>
      </c>
      <c r="L499" s="32">
        <v>0</v>
      </c>
      <c r="M499" s="32">
        <v>561.70000000000005</v>
      </c>
      <c r="N499" s="393">
        <v>561.70000000000005</v>
      </c>
    </row>
    <row r="500" spans="1:14" s="123" customFormat="1" ht="54" x14ac:dyDescent="0.35">
      <c r="A500" s="17"/>
      <c r="B500" s="30" t="s">
        <v>50</v>
      </c>
      <c r="C500" s="31" t="s">
        <v>279</v>
      </c>
      <c r="D500" s="16" t="s">
        <v>62</v>
      </c>
      <c r="E500" s="16" t="s">
        <v>34</v>
      </c>
      <c r="F500" s="583" t="s">
        <v>47</v>
      </c>
      <c r="G500" s="584" t="s">
        <v>40</v>
      </c>
      <c r="H500" s="584" t="s">
        <v>34</v>
      </c>
      <c r="I500" s="585" t="s">
        <v>281</v>
      </c>
      <c r="J500" s="16" t="s">
        <v>51</v>
      </c>
      <c r="K500" s="32">
        <v>68</v>
      </c>
      <c r="L500" s="32">
        <v>0</v>
      </c>
      <c r="M500" s="32">
        <v>68</v>
      </c>
      <c r="N500" s="393">
        <v>68</v>
      </c>
    </row>
    <row r="501" spans="1:14" s="123" customFormat="1" ht="21" customHeight="1" x14ac:dyDescent="0.35">
      <c r="A501" s="17"/>
      <c r="B501" s="30" t="s">
        <v>463</v>
      </c>
      <c r="C501" s="31" t="s">
        <v>279</v>
      </c>
      <c r="D501" s="16" t="s">
        <v>62</v>
      </c>
      <c r="E501" s="16" t="s">
        <v>34</v>
      </c>
      <c r="F501" s="583" t="s">
        <v>47</v>
      </c>
      <c r="G501" s="584" t="s">
        <v>40</v>
      </c>
      <c r="H501" s="584" t="s">
        <v>462</v>
      </c>
      <c r="I501" s="585" t="s">
        <v>39</v>
      </c>
      <c r="J501" s="16"/>
      <c r="K501" s="32">
        <f t="shared" si="73"/>
        <v>3689.8</v>
      </c>
      <c r="L501" s="32">
        <v>0</v>
      </c>
      <c r="M501" s="32">
        <v>3689.8</v>
      </c>
      <c r="N501" s="32">
        <v>0</v>
      </c>
    </row>
    <row r="502" spans="1:14" s="123" customFormat="1" ht="54" x14ac:dyDescent="0.35">
      <c r="A502" s="17"/>
      <c r="B502" s="30" t="s">
        <v>464</v>
      </c>
      <c r="C502" s="31" t="s">
        <v>279</v>
      </c>
      <c r="D502" s="16" t="s">
        <v>62</v>
      </c>
      <c r="E502" s="16" t="s">
        <v>34</v>
      </c>
      <c r="F502" s="583" t="s">
        <v>47</v>
      </c>
      <c r="G502" s="584" t="s">
        <v>40</v>
      </c>
      <c r="H502" s="584" t="s">
        <v>462</v>
      </c>
      <c r="I502" s="585" t="s">
        <v>474</v>
      </c>
      <c r="J502" s="16"/>
      <c r="K502" s="32">
        <f t="shared" si="73"/>
        <v>3689.8</v>
      </c>
      <c r="L502" s="32">
        <v>0</v>
      </c>
      <c r="M502" s="32">
        <v>3689.8</v>
      </c>
      <c r="N502" s="32">
        <v>0</v>
      </c>
    </row>
    <row r="503" spans="1:14" s="123" customFormat="1" ht="54" x14ac:dyDescent="0.35">
      <c r="A503" s="17"/>
      <c r="B503" s="30" t="s">
        <v>50</v>
      </c>
      <c r="C503" s="31" t="s">
        <v>279</v>
      </c>
      <c r="D503" s="16" t="s">
        <v>62</v>
      </c>
      <c r="E503" s="16" t="s">
        <v>34</v>
      </c>
      <c r="F503" s="583" t="s">
        <v>47</v>
      </c>
      <c r="G503" s="584" t="s">
        <v>40</v>
      </c>
      <c r="H503" s="584" t="s">
        <v>462</v>
      </c>
      <c r="I503" s="585" t="s">
        <v>474</v>
      </c>
      <c r="J503" s="16" t="s">
        <v>51</v>
      </c>
      <c r="K503" s="32">
        <v>3689.8</v>
      </c>
      <c r="L503" s="32">
        <v>0</v>
      </c>
      <c r="M503" s="32">
        <v>3689.8</v>
      </c>
      <c r="N503" s="290">
        <v>0</v>
      </c>
    </row>
    <row r="504" spans="1:14" s="13" customFormat="1" ht="36" x14ac:dyDescent="0.35">
      <c r="A504" s="17"/>
      <c r="B504" s="36" t="s">
        <v>194</v>
      </c>
      <c r="C504" s="31" t="s">
        <v>279</v>
      </c>
      <c r="D504" s="16" t="s">
        <v>62</v>
      </c>
      <c r="E504" s="16" t="s">
        <v>60</v>
      </c>
      <c r="F504" s="583"/>
      <c r="G504" s="584"/>
      <c r="H504" s="584"/>
      <c r="I504" s="585"/>
      <c r="J504" s="16"/>
      <c r="K504" s="32">
        <f t="shared" ref="K504:N507" si="74">K505</f>
        <v>2486.9</v>
      </c>
      <c r="L504" s="32">
        <v>0</v>
      </c>
      <c r="M504" s="32">
        <v>2486.9</v>
      </c>
      <c r="N504" s="32">
        <v>2487.9</v>
      </c>
    </row>
    <row r="505" spans="1:14" s="13" customFormat="1" ht="60" customHeight="1" x14ac:dyDescent="0.35">
      <c r="A505" s="17"/>
      <c r="B505" s="30" t="s">
        <v>212</v>
      </c>
      <c r="C505" s="31" t="s">
        <v>279</v>
      </c>
      <c r="D505" s="16" t="s">
        <v>62</v>
      </c>
      <c r="E505" s="16" t="s">
        <v>60</v>
      </c>
      <c r="F505" s="583" t="s">
        <v>47</v>
      </c>
      <c r="G505" s="584" t="s">
        <v>37</v>
      </c>
      <c r="H505" s="584" t="s">
        <v>38</v>
      </c>
      <c r="I505" s="585" t="s">
        <v>39</v>
      </c>
      <c r="J505" s="16"/>
      <c r="K505" s="32">
        <f t="shared" si="74"/>
        <v>2486.9</v>
      </c>
      <c r="L505" s="32">
        <v>0</v>
      </c>
      <c r="M505" s="32">
        <v>2486.9</v>
      </c>
      <c r="N505" s="32">
        <v>2487.9</v>
      </c>
    </row>
    <row r="506" spans="1:14" s="13" customFormat="1" ht="36" x14ac:dyDescent="0.35">
      <c r="A506" s="17"/>
      <c r="B506" s="34" t="s">
        <v>215</v>
      </c>
      <c r="C506" s="31" t="s">
        <v>279</v>
      </c>
      <c r="D506" s="16" t="s">
        <v>62</v>
      </c>
      <c r="E506" s="16" t="s">
        <v>60</v>
      </c>
      <c r="F506" s="583" t="s">
        <v>47</v>
      </c>
      <c r="G506" s="584" t="s">
        <v>84</v>
      </c>
      <c r="H506" s="584" t="s">
        <v>38</v>
      </c>
      <c r="I506" s="585" t="s">
        <v>39</v>
      </c>
      <c r="J506" s="16"/>
      <c r="K506" s="32">
        <f t="shared" si="74"/>
        <v>2486.9</v>
      </c>
      <c r="L506" s="32">
        <v>0</v>
      </c>
      <c r="M506" s="32">
        <v>2486.9</v>
      </c>
      <c r="N506" s="32">
        <v>2487.9</v>
      </c>
    </row>
    <row r="507" spans="1:14" s="13" customFormat="1" ht="36" x14ac:dyDescent="0.35">
      <c r="A507" s="17"/>
      <c r="B507" s="30" t="s">
        <v>270</v>
      </c>
      <c r="C507" s="31" t="s">
        <v>279</v>
      </c>
      <c r="D507" s="16" t="s">
        <v>62</v>
      </c>
      <c r="E507" s="16" t="s">
        <v>60</v>
      </c>
      <c r="F507" s="583" t="s">
        <v>47</v>
      </c>
      <c r="G507" s="584" t="s">
        <v>84</v>
      </c>
      <c r="H507" s="584" t="s">
        <v>32</v>
      </c>
      <c r="I507" s="585" t="s">
        <v>39</v>
      </c>
      <c r="J507" s="16"/>
      <c r="K507" s="32">
        <f t="shared" si="74"/>
        <v>2486.9</v>
      </c>
      <c r="L507" s="32">
        <v>0</v>
      </c>
      <c r="M507" s="32">
        <v>2486.9</v>
      </c>
      <c r="N507" s="32">
        <v>2487.9</v>
      </c>
    </row>
    <row r="508" spans="1:14" s="13" customFormat="1" ht="36" x14ac:dyDescent="0.35">
      <c r="A508" s="17"/>
      <c r="B508" s="30" t="s">
        <v>42</v>
      </c>
      <c r="C508" s="31" t="s">
        <v>279</v>
      </c>
      <c r="D508" s="16" t="s">
        <v>62</v>
      </c>
      <c r="E508" s="16" t="s">
        <v>60</v>
      </c>
      <c r="F508" s="583" t="s">
        <v>47</v>
      </c>
      <c r="G508" s="584" t="s">
        <v>84</v>
      </c>
      <c r="H508" s="584" t="s">
        <v>32</v>
      </c>
      <c r="I508" s="585" t="s">
        <v>43</v>
      </c>
      <c r="J508" s="16"/>
      <c r="K508" s="32">
        <f>K509+K510+K511</f>
        <v>2486.9</v>
      </c>
      <c r="L508" s="32">
        <v>0</v>
      </c>
      <c r="M508" s="32">
        <v>2486.9</v>
      </c>
      <c r="N508" s="32">
        <v>2487.9</v>
      </c>
    </row>
    <row r="509" spans="1:14" s="13" customFormat="1" ht="108" x14ac:dyDescent="0.35">
      <c r="A509" s="17"/>
      <c r="B509" s="30" t="s">
        <v>44</v>
      </c>
      <c r="C509" s="31" t="s">
        <v>279</v>
      </c>
      <c r="D509" s="16" t="s">
        <v>62</v>
      </c>
      <c r="E509" s="16" t="s">
        <v>60</v>
      </c>
      <c r="F509" s="583" t="s">
        <v>47</v>
      </c>
      <c r="G509" s="584" t="s">
        <v>84</v>
      </c>
      <c r="H509" s="584" t="s">
        <v>32</v>
      </c>
      <c r="I509" s="585" t="s">
        <v>43</v>
      </c>
      <c r="J509" s="16" t="s">
        <v>45</v>
      </c>
      <c r="K509" s="32">
        <v>2442.4</v>
      </c>
      <c r="L509" s="32">
        <v>0</v>
      </c>
      <c r="M509" s="32">
        <v>2442.4</v>
      </c>
      <c r="N509" s="32">
        <v>2442.4</v>
      </c>
    </row>
    <row r="510" spans="1:14" s="13" customFormat="1" ht="54" x14ac:dyDescent="0.35">
      <c r="A510" s="17"/>
      <c r="B510" s="30" t="s">
        <v>50</v>
      </c>
      <c r="C510" s="31" t="s">
        <v>279</v>
      </c>
      <c r="D510" s="16" t="s">
        <v>62</v>
      </c>
      <c r="E510" s="16" t="s">
        <v>60</v>
      </c>
      <c r="F510" s="583" t="s">
        <v>47</v>
      </c>
      <c r="G510" s="584" t="s">
        <v>84</v>
      </c>
      <c r="H510" s="584" t="s">
        <v>32</v>
      </c>
      <c r="I510" s="585" t="s">
        <v>43</v>
      </c>
      <c r="J510" s="16" t="s">
        <v>51</v>
      </c>
      <c r="K510" s="32">
        <f>42.5+0.1</f>
        <v>42.6</v>
      </c>
      <c r="L510" s="32">
        <v>0</v>
      </c>
      <c r="M510" s="32">
        <v>42.6</v>
      </c>
      <c r="N510" s="32">
        <v>43.7</v>
      </c>
    </row>
    <row r="511" spans="1:14" s="13" customFormat="1" ht="18" x14ac:dyDescent="0.35">
      <c r="A511" s="17"/>
      <c r="B511" s="30" t="s">
        <v>52</v>
      </c>
      <c r="C511" s="31" t="s">
        <v>279</v>
      </c>
      <c r="D511" s="16" t="s">
        <v>62</v>
      </c>
      <c r="E511" s="16" t="s">
        <v>60</v>
      </c>
      <c r="F511" s="583" t="s">
        <v>47</v>
      </c>
      <c r="G511" s="584" t="s">
        <v>84</v>
      </c>
      <c r="H511" s="584" t="s">
        <v>32</v>
      </c>
      <c r="I511" s="585" t="s">
        <v>43</v>
      </c>
      <c r="J511" s="16" t="s">
        <v>53</v>
      </c>
      <c r="K511" s="32">
        <v>1.9</v>
      </c>
      <c r="L511" s="32">
        <v>0</v>
      </c>
      <c r="M511" s="32">
        <v>1.9</v>
      </c>
      <c r="N511" s="32">
        <v>1.8</v>
      </c>
    </row>
    <row r="512" spans="1:14" s="13" customFormat="1" ht="18" x14ac:dyDescent="0.35">
      <c r="A512" s="17"/>
      <c r="B512" s="30"/>
      <c r="C512" s="31"/>
      <c r="D512" s="16"/>
      <c r="E512" s="16"/>
      <c r="F512" s="583"/>
      <c r="G512" s="584"/>
      <c r="H512" s="584"/>
      <c r="I512" s="585"/>
      <c r="J512" s="16"/>
      <c r="K512" s="32"/>
      <c r="L512" s="32"/>
      <c r="M512" s="32"/>
      <c r="N512" s="32"/>
    </row>
    <row r="513" spans="1:14" s="123" customFormat="1" ht="52.2" x14ac:dyDescent="0.3">
      <c r="A513" s="122">
        <v>8</v>
      </c>
      <c r="B513" s="24" t="s">
        <v>9</v>
      </c>
      <c r="C513" s="25" t="s">
        <v>275</v>
      </c>
      <c r="D513" s="26"/>
      <c r="E513" s="26"/>
      <c r="F513" s="27"/>
      <c r="G513" s="28"/>
      <c r="H513" s="28"/>
      <c r="I513" s="29"/>
      <c r="J513" s="26"/>
      <c r="K513" s="46">
        <f>K527+K514</f>
        <v>6956.4</v>
      </c>
      <c r="L513" s="46">
        <v>0</v>
      </c>
      <c r="M513" s="46">
        <v>6956.4</v>
      </c>
      <c r="N513" s="46">
        <v>6961.8999999999987</v>
      </c>
    </row>
    <row r="514" spans="1:14" s="123" customFormat="1" ht="18" x14ac:dyDescent="0.35">
      <c r="A514" s="122"/>
      <c r="B514" s="30" t="s">
        <v>31</v>
      </c>
      <c r="C514" s="31" t="s">
        <v>275</v>
      </c>
      <c r="D514" s="16" t="s">
        <v>32</v>
      </c>
      <c r="E514" s="16"/>
      <c r="F514" s="583"/>
      <c r="G514" s="584"/>
      <c r="H514" s="584"/>
      <c r="I514" s="585"/>
      <c r="J514" s="16"/>
      <c r="K514" s="230">
        <f t="shared" ref="K514:N516" si="75">K515</f>
        <v>150.89999999999998</v>
      </c>
      <c r="L514" s="230">
        <v>0</v>
      </c>
      <c r="M514" s="230">
        <v>150.89999999999998</v>
      </c>
      <c r="N514" s="230">
        <v>150.89999999999998</v>
      </c>
    </row>
    <row r="515" spans="1:14" s="123" customFormat="1" ht="18" x14ac:dyDescent="0.35">
      <c r="A515" s="122"/>
      <c r="B515" s="30" t="s">
        <v>65</v>
      </c>
      <c r="C515" s="31" t="s">
        <v>275</v>
      </c>
      <c r="D515" s="16" t="s">
        <v>32</v>
      </c>
      <c r="E515" s="16" t="s">
        <v>66</v>
      </c>
      <c r="F515" s="583"/>
      <c r="G515" s="584"/>
      <c r="H515" s="584"/>
      <c r="I515" s="585"/>
      <c r="J515" s="16"/>
      <c r="K515" s="230">
        <f t="shared" si="75"/>
        <v>150.89999999999998</v>
      </c>
      <c r="L515" s="230">
        <v>0</v>
      </c>
      <c r="M515" s="230">
        <v>150.89999999999998</v>
      </c>
      <c r="N515" s="230">
        <v>150.89999999999998</v>
      </c>
    </row>
    <row r="516" spans="1:14" s="123" customFormat="1" ht="54" x14ac:dyDescent="0.35">
      <c r="A516" s="122"/>
      <c r="B516" s="30" t="s">
        <v>216</v>
      </c>
      <c r="C516" s="31" t="s">
        <v>275</v>
      </c>
      <c r="D516" s="16" t="s">
        <v>32</v>
      </c>
      <c r="E516" s="16" t="s">
        <v>66</v>
      </c>
      <c r="F516" s="583" t="s">
        <v>60</v>
      </c>
      <c r="G516" s="584" t="s">
        <v>37</v>
      </c>
      <c r="H516" s="584" t="s">
        <v>38</v>
      </c>
      <c r="I516" s="585" t="s">
        <v>39</v>
      </c>
      <c r="J516" s="16"/>
      <c r="K516" s="230">
        <f t="shared" si="75"/>
        <v>150.89999999999998</v>
      </c>
      <c r="L516" s="230">
        <v>0</v>
      </c>
      <c r="M516" s="230">
        <v>150.89999999999998</v>
      </c>
      <c r="N516" s="230">
        <v>150.89999999999998</v>
      </c>
    </row>
    <row r="517" spans="1:14" s="123" customFormat="1" ht="36" x14ac:dyDescent="0.35">
      <c r="A517" s="122"/>
      <c r="B517" s="30" t="s">
        <v>215</v>
      </c>
      <c r="C517" s="31" t="s">
        <v>275</v>
      </c>
      <c r="D517" s="16" t="s">
        <v>32</v>
      </c>
      <c r="E517" s="16" t="s">
        <v>66</v>
      </c>
      <c r="F517" s="583" t="s">
        <v>60</v>
      </c>
      <c r="G517" s="584" t="s">
        <v>84</v>
      </c>
      <c r="H517" s="584" t="s">
        <v>38</v>
      </c>
      <c r="I517" s="585" t="s">
        <v>39</v>
      </c>
      <c r="J517" s="16"/>
      <c r="K517" s="230">
        <f>K518+K521+K524</f>
        <v>150.89999999999998</v>
      </c>
      <c r="L517" s="230">
        <v>0</v>
      </c>
      <c r="M517" s="230">
        <v>150.89999999999998</v>
      </c>
      <c r="N517" s="230">
        <v>150.89999999999998</v>
      </c>
    </row>
    <row r="518" spans="1:14" s="123" customFormat="1" ht="36" x14ac:dyDescent="0.35">
      <c r="A518" s="122"/>
      <c r="B518" s="265" t="s">
        <v>340</v>
      </c>
      <c r="C518" s="31" t="s">
        <v>275</v>
      </c>
      <c r="D518" s="16" t="s">
        <v>32</v>
      </c>
      <c r="E518" s="16" t="s">
        <v>66</v>
      </c>
      <c r="F518" s="583" t="s">
        <v>60</v>
      </c>
      <c r="G518" s="584" t="s">
        <v>84</v>
      </c>
      <c r="H518" s="584" t="s">
        <v>34</v>
      </c>
      <c r="I518" s="585" t="s">
        <v>39</v>
      </c>
      <c r="J518" s="16"/>
      <c r="K518" s="230">
        <f t="shared" ref="K518:N519" si="76">K519</f>
        <v>93.6</v>
      </c>
      <c r="L518" s="230">
        <v>0</v>
      </c>
      <c r="M518" s="230">
        <v>93.6</v>
      </c>
      <c r="N518" s="230">
        <v>93.6</v>
      </c>
    </row>
    <row r="519" spans="1:14" s="123" customFormat="1" ht="63" customHeight="1" x14ac:dyDescent="0.35">
      <c r="A519" s="122"/>
      <c r="B519" s="265" t="s">
        <v>341</v>
      </c>
      <c r="C519" s="31" t="s">
        <v>275</v>
      </c>
      <c r="D519" s="16" t="s">
        <v>32</v>
      </c>
      <c r="E519" s="16" t="s">
        <v>66</v>
      </c>
      <c r="F519" s="583" t="s">
        <v>60</v>
      </c>
      <c r="G519" s="584" t="s">
        <v>84</v>
      </c>
      <c r="H519" s="584" t="s">
        <v>34</v>
      </c>
      <c r="I519" s="585" t="s">
        <v>100</v>
      </c>
      <c r="J519" s="16"/>
      <c r="K519" s="230">
        <f t="shared" si="76"/>
        <v>93.6</v>
      </c>
      <c r="L519" s="230">
        <v>0</v>
      </c>
      <c r="M519" s="230">
        <v>93.6</v>
      </c>
      <c r="N519" s="230">
        <v>93.6</v>
      </c>
    </row>
    <row r="520" spans="1:14" s="123" customFormat="1" ht="54" x14ac:dyDescent="0.35">
      <c r="A520" s="122"/>
      <c r="B520" s="265" t="s">
        <v>50</v>
      </c>
      <c r="C520" s="31" t="s">
        <v>275</v>
      </c>
      <c r="D520" s="16" t="s">
        <v>32</v>
      </c>
      <c r="E520" s="16" t="s">
        <v>66</v>
      </c>
      <c r="F520" s="583" t="s">
        <v>60</v>
      </c>
      <c r="G520" s="584" t="s">
        <v>84</v>
      </c>
      <c r="H520" s="584" t="s">
        <v>34</v>
      </c>
      <c r="I520" s="585" t="s">
        <v>100</v>
      </c>
      <c r="J520" s="16" t="s">
        <v>51</v>
      </c>
      <c r="K520" s="230">
        <v>93.6</v>
      </c>
      <c r="L520" s="32">
        <v>0</v>
      </c>
      <c r="M520" s="230">
        <v>93.6</v>
      </c>
      <c r="N520" s="230">
        <v>93.6</v>
      </c>
    </row>
    <row r="521" spans="1:14" s="123" customFormat="1" ht="36" x14ac:dyDescent="0.35">
      <c r="A521" s="122"/>
      <c r="B521" s="30" t="s">
        <v>441</v>
      </c>
      <c r="C521" s="31" t="s">
        <v>275</v>
      </c>
      <c r="D521" s="16" t="s">
        <v>32</v>
      </c>
      <c r="E521" s="16" t="s">
        <v>66</v>
      </c>
      <c r="F521" s="583" t="s">
        <v>60</v>
      </c>
      <c r="G521" s="584" t="s">
        <v>84</v>
      </c>
      <c r="H521" s="584" t="s">
        <v>58</v>
      </c>
      <c r="I521" s="585" t="s">
        <v>39</v>
      </c>
      <c r="J521" s="16"/>
      <c r="K521" s="230">
        <f t="shared" ref="K521:N522" si="77">K522</f>
        <v>14.8</v>
      </c>
      <c r="L521" s="230">
        <v>0</v>
      </c>
      <c r="M521" s="230">
        <v>14.8</v>
      </c>
      <c r="N521" s="230">
        <v>14.8</v>
      </c>
    </row>
    <row r="522" spans="1:14" s="123" customFormat="1" ht="18" x14ac:dyDescent="0.35">
      <c r="A522" s="122"/>
      <c r="B522" s="30" t="s">
        <v>439</v>
      </c>
      <c r="C522" s="31" t="s">
        <v>275</v>
      </c>
      <c r="D522" s="16" t="s">
        <v>32</v>
      </c>
      <c r="E522" s="16" t="s">
        <v>66</v>
      </c>
      <c r="F522" s="583" t="s">
        <v>60</v>
      </c>
      <c r="G522" s="584" t="s">
        <v>84</v>
      </c>
      <c r="H522" s="584" t="s">
        <v>58</v>
      </c>
      <c r="I522" s="585" t="s">
        <v>440</v>
      </c>
      <c r="J522" s="16"/>
      <c r="K522" s="230">
        <f t="shared" si="77"/>
        <v>14.8</v>
      </c>
      <c r="L522" s="230">
        <v>0</v>
      </c>
      <c r="M522" s="230">
        <v>14.8</v>
      </c>
      <c r="N522" s="230">
        <v>14.8</v>
      </c>
    </row>
    <row r="523" spans="1:14" s="123" customFormat="1" ht="54" x14ac:dyDescent="0.35">
      <c r="A523" s="122"/>
      <c r="B523" s="265" t="s">
        <v>50</v>
      </c>
      <c r="C523" s="31" t="s">
        <v>275</v>
      </c>
      <c r="D523" s="16" t="s">
        <v>32</v>
      </c>
      <c r="E523" s="16" t="s">
        <v>66</v>
      </c>
      <c r="F523" s="583" t="s">
        <v>60</v>
      </c>
      <c r="G523" s="584" t="s">
        <v>84</v>
      </c>
      <c r="H523" s="584" t="s">
        <v>58</v>
      </c>
      <c r="I523" s="585" t="s">
        <v>440</v>
      </c>
      <c r="J523" s="41" t="s">
        <v>51</v>
      </c>
      <c r="K523" s="230">
        <v>14.8</v>
      </c>
      <c r="L523" s="32">
        <v>0</v>
      </c>
      <c r="M523" s="230">
        <v>14.8</v>
      </c>
      <c r="N523" s="230">
        <v>14.8</v>
      </c>
    </row>
    <row r="524" spans="1:14" s="123" customFormat="1" ht="36" x14ac:dyDescent="0.35">
      <c r="A524" s="122"/>
      <c r="B524" s="265" t="s">
        <v>445</v>
      </c>
      <c r="C524" s="31" t="s">
        <v>275</v>
      </c>
      <c r="D524" s="16" t="s">
        <v>32</v>
      </c>
      <c r="E524" s="16" t="s">
        <v>66</v>
      </c>
      <c r="F524" s="583" t="s">
        <v>60</v>
      </c>
      <c r="G524" s="584" t="s">
        <v>84</v>
      </c>
      <c r="H524" s="584" t="s">
        <v>47</v>
      </c>
      <c r="I524" s="585" t="s">
        <v>39</v>
      </c>
      <c r="J524" s="26"/>
      <c r="K524" s="230">
        <f t="shared" ref="K524:N525" si="78">K525</f>
        <v>42.5</v>
      </c>
      <c r="L524" s="230">
        <v>0</v>
      </c>
      <c r="M524" s="230">
        <v>42.5</v>
      </c>
      <c r="N524" s="230">
        <v>42.5</v>
      </c>
    </row>
    <row r="525" spans="1:14" s="123" customFormat="1" ht="36" x14ac:dyDescent="0.35">
      <c r="A525" s="122"/>
      <c r="B525" s="239" t="s">
        <v>122</v>
      </c>
      <c r="C525" s="31" t="s">
        <v>275</v>
      </c>
      <c r="D525" s="16" t="s">
        <v>32</v>
      </c>
      <c r="E525" s="16" t="s">
        <v>66</v>
      </c>
      <c r="F525" s="583" t="s">
        <v>60</v>
      </c>
      <c r="G525" s="584" t="s">
        <v>84</v>
      </c>
      <c r="H525" s="584" t="s">
        <v>47</v>
      </c>
      <c r="I525" s="585" t="s">
        <v>85</v>
      </c>
      <c r="J525" s="26"/>
      <c r="K525" s="230">
        <f t="shared" si="78"/>
        <v>42.5</v>
      </c>
      <c r="L525" s="230">
        <v>0</v>
      </c>
      <c r="M525" s="230">
        <v>42.5</v>
      </c>
      <c r="N525" s="230">
        <v>42.5</v>
      </c>
    </row>
    <row r="526" spans="1:14" s="123" customFormat="1" ht="54" x14ac:dyDescent="0.35">
      <c r="A526" s="122"/>
      <c r="B526" s="265" t="s">
        <v>50</v>
      </c>
      <c r="C526" s="31" t="s">
        <v>275</v>
      </c>
      <c r="D526" s="16" t="s">
        <v>32</v>
      </c>
      <c r="E526" s="16" t="s">
        <v>66</v>
      </c>
      <c r="F526" s="583" t="s">
        <v>60</v>
      </c>
      <c r="G526" s="584" t="s">
        <v>84</v>
      </c>
      <c r="H526" s="584" t="s">
        <v>47</v>
      </c>
      <c r="I526" s="585" t="s">
        <v>85</v>
      </c>
      <c r="J526" s="41" t="s">
        <v>51</v>
      </c>
      <c r="K526" s="230">
        <v>42.5</v>
      </c>
      <c r="L526" s="32">
        <v>0</v>
      </c>
      <c r="M526" s="230">
        <v>42.5</v>
      </c>
      <c r="N526" s="230">
        <v>42.5</v>
      </c>
    </row>
    <row r="527" spans="1:14" s="13" customFormat="1" ht="18" x14ac:dyDescent="0.35">
      <c r="A527" s="122"/>
      <c r="B527" s="30" t="s">
        <v>174</v>
      </c>
      <c r="C527" s="31" t="s">
        <v>275</v>
      </c>
      <c r="D527" s="16" t="s">
        <v>219</v>
      </c>
      <c r="E527" s="16"/>
      <c r="F527" s="583"/>
      <c r="G527" s="584"/>
      <c r="H527" s="584"/>
      <c r="I527" s="585"/>
      <c r="J527" s="16"/>
      <c r="K527" s="32">
        <f>K528+K536</f>
        <v>6805.5</v>
      </c>
      <c r="L527" s="32">
        <v>0</v>
      </c>
      <c r="M527" s="32">
        <v>6805.5</v>
      </c>
      <c r="N527" s="32">
        <v>6810.9999999999991</v>
      </c>
    </row>
    <row r="528" spans="1:14" s="123" customFormat="1" ht="18" x14ac:dyDescent="0.35">
      <c r="A528" s="122"/>
      <c r="B528" s="30" t="s">
        <v>339</v>
      </c>
      <c r="C528" s="31" t="s">
        <v>275</v>
      </c>
      <c r="D528" s="16" t="s">
        <v>219</v>
      </c>
      <c r="E528" s="16" t="s">
        <v>219</v>
      </c>
      <c r="F528" s="583"/>
      <c r="G528" s="584"/>
      <c r="H528" s="584"/>
      <c r="I528" s="585"/>
      <c r="J528" s="16"/>
      <c r="K528" s="32">
        <f>K529</f>
        <v>3771.5999999999995</v>
      </c>
      <c r="L528" s="32">
        <v>0</v>
      </c>
      <c r="M528" s="32">
        <v>3771.5999999999995</v>
      </c>
      <c r="N528" s="32">
        <v>3771.5999999999995</v>
      </c>
    </row>
    <row r="529" spans="1:14" s="123" customFormat="1" ht="54" x14ac:dyDescent="0.35">
      <c r="A529" s="122"/>
      <c r="B529" s="30" t="s">
        <v>216</v>
      </c>
      <c r="C529" s="31" t="s">
        <v>275</v>
      </c>
      <c r="D529" s="16" t="s">
        <v>219</v>
      </c>
      <c r="E529" s="16" t="s">
        <v>219</v>
      </c>
      <c r="F529" s="583" t="s">
        <v>60</v>
      </c>
      <c r="G529" s="584" t="s">
        <v>37</v>
      </c>
      <c r="H529" s="584" t="s">
        <v>38</v>
      </c>
      <c r="I529" s="585" t="s">
        <v>39</v>
      </c>
      <c r="J529" s="16"/>
      <c r="K529" s="32">
        <f t="shared" ref="K529:N531" si="79">K530</f>
        <v>3771.5999999999995</v>
      </c>
      <c r="L529" s="32">
        <v>0</v>
      </c>
      <c r="M529" s="32">
        <v>3771.5999999999995</v>
      </c>
      <c r="N529" s="32">
        <v>3771.5999999999995</v>
      </c>
    </row>
    <row r="530" spans="1:14" s="123" customFormat="1" ht="18" x14ac:dyDescent="0.35">
      <c r="A530" s="122"/>
      <c r="B530" s="30" t="s">
        <v>217</v>
      </c>
      <c r="C530" s="31" t="s">
        <v>275</v>
      </c>
      <c r="D530" s="16" t="s">
        <v>219</v>
      </c>
      <c r="E530" s="16" t="s">
        <v>219</v>
      </c>
      <c r="F530" s="583" t="s">
        <v>60</v>
      </c>
      <c r="G530" s="584" t="s">
        <v>40</v>
      </c>
      <c r="H530" s="584" t="s">
        <v>38</v>
      </c>
      <c r="I530" s="585" t="s">
        <v>39</v>
      </c>
      <c r="J530" s="16"/>
      <c r="K530" s="32">
        <f t="shared" si="79"/>
        <v>3771.5999999999995</v>
      </c>
      <c r="L530" s="32">
        <v>0</v>
      </c>
      <c r="M530" s="32">
        <v>3771.5999999999995</v>
      </c>
      <c r="N530" s="32">
        <v>3771.5999999999995</v>
      </c>
    </row>
    <row r="531" spans="1:14" s="123" customFormat="1" ht="78" customHeight="1" x14ac:dyDescent="0.35">
      <c r="A531" s="122"/>
      <c r="B531" s="30" t="s">
        <v>276</v>
      </c>
      <c r="C531" s="31" t="s">
        <v>275</v>
      </c>
      <c r="D531" s="16" t="s">
        <v>219</v>
      </c>
      <c r="E531" s="16" t="s">
        <v>219</v>
      </c>
      <c r="F531" s="583" t="s">
        <v>60</v>
      </c>
      <c r="G531" s="584" t="s">
        <v>40</v>
      </c>
      <c r="H531" s="584" t="s">
        <v>32</v>
      </c>
      <c r="I531" s="585" t="s">
        <v>39</v>
      </c>
      <c r="J531" s="16"/>
      <c r="K531" s="32">
        <f t="shared" si="79"/>
        <v>3771.5999999999995</v>
      </c>
      <c r="L531" s="32">
        <v>0</v>
      </c>
      <c r="M531" s="32">
        <v>3771.5999999999995</v>
      </c>
      <c r="N531" s="32">
        <v>3771.5999999999995</v>
      </c>
    </row>
    <row r="532" spans="1:14" s="123" customFormat="1" ht="39" customHeight="1" x14ac:dyDescent="0.35">
      <c r="A532" s="122"/>
      <c r="B532" s="85" t="s">
        <v>437</v>
      </c>
      <c r="C532" s="31" t="s">
        <v>275</v>
      </c>
      <c r="D532" s="16" t="s">
        <v>219</v>
      </c>
      <c r="E532" s="16" t="s">
        <v>219</v>
      </c>
      <c r="F532" s="583" t="s">
        <v>60</v>
      </c>
      <c r="G532" s="584" t="s">
        <v>40</v>
      </c>
      <c r="H532" s="584" t="s">
        <v>32</v>
      </c>
      <c r="I532" s="585" t="s">
        <v>86</v>
      </c>
      <c r="J532" s="16"/>
      <c r="K532" s="32">
        <f>K533+K534+K535</f>
        <v>3771.5999999999995</v>
      </c>
      <c r="L532" s="32">
        <v>0</v>
      </c>
      <c r="M532" s="32">
        <v>3771.5999999999995</v>
      </c>
      <c r="N532" s="32">
        <v>3771.5999999999995</v>
      </c>
    </row>
    <row r="533" spans="1:14" s="123" customFormat="1" ht="108" x14ac:dyDescent="0.35">
      <c r="A533" s="17"/>
      <c r="B533" s="30" t="s">
        <v>44</v>
      </c>
      <c r="C533" s="31" t="s">
        <v>275</v>
      </c>
      <c r="D533" s="16" t="s">
        <v>219</v>
      </c>
      <c r="E533" s="16" t="s">
        <v>219</v>
      </c>
      <c r="F533" s="583" t="s">
        <v>60</v>
      </c>
      <c r="G533" s="584" t="s">
        <v>40</v>
      </c>
      <c r="H533" s="584" t="s">
        <v>32</v>
      </c>
      <c r="I533" s="585" t="s">
        <v>86</v>
      </c>
      <c r="J533" s="16" t="s">
        <v>45</v>
      </c>
      <c r="K533" s="32">
        <v>3374.2</v>
      </c>
      <c r="L533" s="32">
        <v>0</v>
      </c>
      <c r="M533" s="32">
        <v>3374.2</v>
      </c>
      <c r="N533" s="32">
        <v>3374.2</v>
      </c>
    </row>
    <row r="534" spans="1:14" s="13" customFormat="1" ht="54" x14ac:dyDescent="0.35">
      <c r="A534" s="17"/>
      <c r="B534" s="30" t="s">
        <v>50</v>
      </c>
      <c r="C534" s="31" t="s">
        <v>275</v>
      </c>
      <c r="D534" s="16" t="s">
        <v>219</v>
      </c>
      <c r="E534" s="16" t="s">
        <v>219</v>
      </c>
      <c r="F534" s="583" t="s">
        <v>60</v>
      </c>
      <c r="G534" s="584" t="s">
        <v>40</v>
      </c>
      <c r="H534" s="584" t="s">
        <v>32</v>
      </c>
      <c r="I534" s="585" t="s">
        <v>86</v>
      </c>
      <c r="J534" s="16" t="s">
        <v>51</v>
      </c>
      <c r="K534" s="32">
        <v>394.7</v>
      </c>
      <c r="L534" s="32">
        <v>0</v>
      </c>
      <c r="M534" s="32">
        <v>394.7</v>
      </c>
      <c r="N534" s="32">
        <v>394.7</v>
      </c>
    </row>
    <row r="535" spans="1:14" s="13" customFormat="1" ht="18" x14ac:dyDescent="0.35">
      <c r="A535" s="17"/>
      <c r="B535" s="30" t="s">
        <v>52</v>
      </c>
      <c r="C535" s="31" t="s">
        <v>275</v>
      </c>
      <c r="D535" s="16" t="s">
        <v>219</v>
      </c>
      <c r="E535" s="16" t="s">
        <v>219</v>
      </c>
      <c r="F535" s="583" t="s">
        <v>60</v>
      </c>
      <c r="G535" s="584" t="s">
        <v>40</v>
      </c>
      <c r="H535" s="584" t="s">
        <v>32</v>
      </c>
      <c r="I535" s="585" t="s">
        <v>86</v>
      </c>
      <c r="J535" s="16" t="s">
        <v>53</v>
      </c>
      <c r="K535" s="32">
        <v>2.7</v>
      </c>
      <c r="L535" s="32">
        <v>0</v>
      </c>
      <c r="M535" s="32">
        <v>2.7</v>
      </c>
      <c r="N535" s="32">
        <v>2.7</v>
      </c>
    </row>
    <row r="536" spans="1:14" s="13" customFormat="1" ht="18" x14ac:dyDescent="0.35">
      <c r="A536" s="17"/>
      <c r="B536" s="30" t="s">
        <v>181</v>
      </c>
      <c r="C536" s="161" t="s">
        <v>275</v>
      </c>
      <c r="D536" s="16" t="s">
        <v>219</v>
      </c>
      <c r="E536" s="16" t="s">
        <v>74</v>
      </c>
      <c r="F536" s="583"/>
      <c r="G536" s="584"/>
      <c r="H536" s="584"/>
      <c r="I536" s="585"/>
      <c r="J536" s="16"/>
      <c r="K536" s="32">
        <f t="shared" ref="K536:N539" si="80">K537</f>
        <v>3033.9</v>
      </c>
      <c r="L536" s="32">
        <v>0</v>
      </c>
      <c r="M536" s="32">
        <v>3033.9</v>
      </c>
      <c r="N536" s="32">
        <v>3039.3999999999996</v>
      </c>
    </row>
    <row r="537" spans="1:14" s="13" customFormat="1" ht="54" x14ac:dyDescent="0.35">
      <c r="A537" s="17"/>
      <c r="B537" s="30" t="s">
        <v>216</v>
      </c>
      <c r="C537" s="161" t="s">
        <v>275</v>
      </c>
      <c r="D537" s="16" t="s">
        <v>219</v>
      </c>
      <c r="E537" s="16" t="s">
        <v>74</v>
      </c>
      <c r="F537" s="583" t="s">
        <v>60</v>
      </c>
      <c r="G537" s="584" t="s">
        <v>37</v>
      </c>
      <c r="H537" s="584" t="s">
        <v>38</v>
      </c>
      <c r="I537" s="585" t="s">
        <v>39</v>
      </c>
      <c r="J537" s="16"/>
      <c r="K537" s="32">
        <f t="shared" si="80"/>
        <v>3033.9</v>
      </c>
      <c r="L537" s="32">
        <v>0</v>
      </c>
      <c r="M537" s="32">
        <v>3033.9</v>
      </c>
      <c r="N537" s="32">
        <v>3039.3999999999996</v>
      </c>
    </row>
    <row r="538" spans="1:14" s="13" customFormat="1" ht="36" x14ac:dyDescent="0.35">
      <c r="A538" s="17"/>
      <c r="B538" s="30" t="s">
        <v>215</v>
      </c>
      <c r="C538" s="31" t="s">
        <v>275</v>
      </c>
      <c r="D538" s="16" t="s">
        <v>219</v>
      </c>
      <c r="E538" s="16" t="s">
        <v>74</v>
      </c>
      <c r="F538" s="583" t="s">
        <v>60</v>
      </c>
      <c r="G538" s="584" t="s">
        <v>84</v>
      </c>
      <c r="H538" s="584" t="s">
        <v>38</v>
      </c>
      <c r="I538" s="585" t="s">
        <v>39</v>
      </c>
      <c r="J538" s="16"/>
      <c r="K538" s="32">
        <f t="shared" si="80"/>
        <v>3033.9</v>
      </c>
      <c r="L538" s="32">
        <v>0</v>
      </c>
      <c r="M538" s="32">
        <v>3033.9</v>
      </c>
      <c r="N538" s="32">
        <v>3039.3999999999996</v>
      </c>
    </row>
    <row r="539" spans="1:14" s="123" customFormat="1" ht="36" x14ac:dyDescent="0.35">
      <c r="A539" s="17"/>
      <c r="B539" s="30" t="s">
        <v>270</v>
      </c>
      <c r="C539" s="31" t="s">
        <v>275</v>
      </c>
      <c r="D539" s="16" t="s">
        <v>219</v>
      </c>
      <c r="E539" s="16" t="s">
        <v>74</v>
      </c>
      <c r="F539" s="583" t="s">
        <v>60</v>
      </c>
      <c r="G539" s="584" t="s">
        <v>84</v>
      </c>
      <c r="H539" s="584" t="s">
        <v>32</v>
      </c>
      <c r="I539" s="585" t="s">
        <v>39</v>
      </c>
      <c r="J539" s="16"/>
      <c r="K539" s="32">
        <f t="shared" si="80"/>
        <v>3033.9</v>
      </c>
      <c r="L539" s="32">
        <v>0</v>
      </c>
      <c r="M539" s="32">
        <v>3033.9</v>
      </c>
      <c r="N539" s="32">
        <v>3039.3999999999996</v>
      </c>
    </row>
    <row r="540" spans="1:14" s="13" customFormat="1" ht="36" x14ac:dyDescent="0.35">
      <c r="A540" s="17"/>
      <c r="B540" s="30" t="s">
        <v>42</v>
      </c>
      <c r="C540" s="31" t="s">
        <v>275</v>
      </c>
      <c r="D540" s="16" t="s">
        <v>219</v>
      </c>
      <c r="E540" s="16" t="s">
        <v>74</v>
      </c>
      <c r="F540" s="583" t="s">
        <v>60</v>
      </c>
      <c r="G540" s="584" t="s">
        <v>84</v>
      </c>
      <c r="H540" s="584" t="s">
        <v>32</v>
      </c>
      <c r="I540" s="585" t="s">
        <v>43</v>
      </c>
      <c r="J540" s="16"/>
      <c r="K540" s="32">
        <f>K541+K542+K543</f>
        <v>3033.9</v>
      </c>
      <c r="L540" s="32">
        <v>0</v>
      </c>
      <c r="M540" s="32">
        <v>3033.9</v>
      </c>
      <c r="N540" s="32">
        <v>3039.3999999999996</v>
      </c>
    </row>
    <row r="541" spans="1:14" s="13" customFormat="1" ht="108" x14ac:dyDescent="0.35">
      <c r="A541" s="17"/>
      <c r="B541" s="30" t="s">
        <v>44</v>
      </c>
      <c r="C541" s="31" t="s">
        <v>275</v>
      </c>
      <c r="D541" s="16" t="s">
        <v>219</v>
      </c>
      <c r="E541" s="16" t="s">
        <v>74</v>
      </c>
      <c r="F541" s="583" t="s">
        <v>60</v>
      </c>
      <c r="G541" s="584" t="s">
        <v>84</v>
      </c>
      <c r="H541" s="584" t="s">
        <v>32</v>
      </c>
      <c r="I541" s="585" t="s">
        <v>43</v>
      </c>
      <c r="J541" s="16" t="s">
        <v>45</v>
      </c>
      <c r="K541" s="32">
        <v>2735.5</v>
      </c>
      <c r="L541" s="32">
        <v>0</v>
      </c>
      <c r="M541" s="32">
        <v>2735.5</v>
      </c>
      <c r="N541" s="32">
        <v>2735.5</v>
      </c>
    </row>
    <row r="542" spans="1:14" s="13" customFormat="1" ht="54" x14ac:dyDescent="0.35">
      <c r="A542" s="17"/>
      <c r="B542" s="30" t="s">
        <v>50</v>
      </c>
      <c r="C542" s="161" t="s">
        <v>275</v>
      </c>
      <c r="D542" s="99" t="s">
        <v>219</v>
      </c>
      <c r="E542" s="99" t="s">
        <v>74</v>
      </c>
      <c r="F542" s="583" t="s">
        <v>60</v>
      </c>
      <c r="G542" s="584" t="s">
        <v>84</v>
      </c>
      <c r="H542" s="584" t="s">
        <v>32</v>
      </c>
      <c r="I542" s="585" t="s">
        <v>43</v>
      </c>
      <c r="J542" s="16" t="s">
        <v>51</v>
      </c>
      <c r="K542" s="32">
        <v>297.10000000000002</v>
      </c>
      <c r="L542" s="32">
        <v>0</v>
      </c>
      <c r="M542" s="32">
        <v>297.10000000000002</v>
      </c>
      <c r="N542" s="32">
        <v>302.7</v>
      </c>
    </row>
    <row r="543" spans="1:14" s="13" customFormat="1" ht="18" x14ac:dyDescent="0.35">
      <c r="A543" s="17"/>
      <c r="B543" s="30" t="s">
        <v>52</v>
      </c>
      <c r="C543" s="161" t="s">
        <v>275</v>
      </c>
      <c r="D543" s="99" t="s">
        <v>219</v>
      </c>
      <c r="E543" s="99" t="s">
        <v>74</v>
      </c>
      <c r="F543" s="583" t="s">
        <v>60</v>
      </c>
      <c r="G543" s="584" t="s">
        <v>84</v>
      </c>
      <c r="H543" s="584" t="s">
        <v>32</v>
      </c>
      <c r="I543" s="585" t="s">
        <v>43</v>
      </c>
      <c r="J543" s="16" t="s">
        <v>53</v>
      </c>
      <c r="K543" s="32">
        <v>1.3</v>
      </c>
      <c r="L543" s="32">
        <v>0</v>
      </c>
      <c r="M543" s="32">
        <v>1.3</v>
      </c>
      <c r="N543" s="32">
        <v>1.2</v>
      </c>
    </row>
    <row r="544" spans="1:14" s="13" customFormat="1" ht="18" x14ac:dyDescent="0.35">
      <c r="A544" s="17"/>
      <c r="B544" s="30"/>
      <c r="C544" s="161"/>
      <c r="D544" s="99"/>
      <c r="E544" s="99"/>
      <c r="F544" s="583"/>
      <c r="G544" s="584"/>
      <c r="H544" s="584"/>
      <c r="I544" s="585"/>
      <c r="J544" s="16"/>
      <c r="K544" s="32"/>
      <c r="L544" s="32"/>
      <c r="M544" s="32"/>
      <c r="N544" s="32"/>
    </row>
    <row r="545" spans="1:14" s="123" customFormat="1" ht="52.2" x14ac:dyDescent="0.3">
      <c r="A545" s="122">
        <v>9</v>
      </c>
      <c r="B545" s="24" t="s">
        <v>10</v>
      </c>
      <c r="C545" s="25" t="s">
        <v>283</v>
      </c>
      <c r="D545" s="26"/>
      <c r="E545" s="26"/>
      <c r="F545" s="27"/>
      <c r="G545" s="28"/>
      <c r="H545" s="28"/>
      <c r="I545" s="29"/>
      <c r="J545" s="26"/>
      <c r="K545" s="46">
        <f>K546</f>
        <v>75498.499999999985</v>
      </c>
      <c r="L545" s="46">
        <v>0</v>
      </c>
      <c r="M545" s="46">
        <v>75498.499999999985</v>
      </c>
      <c r="N545" s="46">
        <v>77028.800000000003</v>
      </c>
    </row>
    <row r="546" spans="1:14" s="13" customFormat="1" ht="18" x14ac:dyDescent="0.35">
      <c r="A546" s="17"/>
      <c r="B546" s="36" t="s">
        <v>114</v>
      </c>
      <c r="C546" s="31" t="s">
        <v>283</v>
      </c>
      <c r="D546" s="16" t="s">
        <v>99</v>
      </c>
      <c r="E546" s="16"/>
      <c r="F546" s="583"/>
      <c r="G546" s="584"/>
      <c r="H546" s="584"/>
      <c r="I546" s="585"/>
      <c r="J546" s="16"/>
      <c r="K546" s="32">
        <f>K547+K563</f>
        <v>75498.499999999985</v>
      </c>
      <c r="L546" s="32">
        <v>0</v>
      </c>
      <c r="M546" s="32">
        <v>75498.499999999985</v>
      </c>
      <c r="N546" s="32">
        <v>77028.800000000003</v>
      </c>
    </row>
    <row r="547" spans="1:14" s="13" customFormat="1" ht="18" x14ac:dyDescent="0.35">
      <c r="A547" s="17"/>
      <c r="B547" s="30" t="s">
        <v>188</v>
      </c>
      <c r="C547" s="31" t="s">
        <v>283</v>
      </c>
      <c r="D547" s="16" t="s">
        <v>99</v>
      </c>
      <c r="E547" s="16" t="s">
        <v>47</v>
      </c>
      <c r="F547" s="583"/>
      <c r="G547" s="584"/>
      <c r="H547" s="584"/>
      <c r="I547" s="585"/>
      <c r="J547" s="16"/>
      <c r="K547" s="32">
        <f t="shared" ref="K547:N549" si="81">K548</f>
        <v>67603.499999999985</v>
      </c>
      <c r="L547" s="32">
        <v>0</v>
      </c>
      <c r="M547" s="32">
        <v>67603.499999999985</v>
      </c>
      <c r="N547" s="32">
        <v>69133.8</v>
      </c>
    </row>
    <row r="548" spans="1:14" s="13" customFormat="1" ht="54" x14ac:dyDescent="0.35">
      <c r="A548" s="17"/>
      <c r="B548" s="34" t="s">
        <v>225</v>
      </c>
      <c r="C548" s="31" t="s">
        <v>283</v>
      </c>
      <c r="D548" s="16" t="s">
        <v>99</v>
      </c>
      <c r="E548" s="16" t="s">
        <v>47</v>
      </c>
      <c r="F548" s="583" t="s">
        <v>74</v>
      </c>
      <c r="G548" s="584" t="s">
        <v>37</v>
      </c>
      <c r="H548" s="584" t="s">
        <v>38</v>
      </c>
      <c r="I548" s="585" t="s">
        <v>39</v>
      </c>
      <c r="J548" s="16"/>
      <c r="K548" s="32">
        <f t="shared" si="81"/>
        <v>67603.499999999985</v>
      </c>
      <c r="L548" s="32">
        <v>0</v>
      </c>
      <c r="M548" s="32">
        <v>67603.499999999985</v>
      </c>
      <c r="N548" s="32">
        <v>69133.8</v>
      </c>
    </row>
    <row r="549" spans="1:14" s="13" customFormat="1" ht="36" x14ac:dyDescent="0.35">
      <c r="A549" s="17"/>
      <c r="B549" s="30" t="s">
        <v>328</v>
      </c>
      <c r="C549" s="31" t="s">
        <v>283</v>
      </c>
      <c r="D549" s="16" t="s">
        <v>99</v>
      </c>
      <c r="E549" s="16" t="s">
        <v>47</v>
      </c>
      <c r="F549" s="583" t="s">
        <v>74</v>
      </c>
      <c r="G549" s="584" t="s">
        <v>40</v>
      </c>
      <c r="H549" s="584" t="s">
        <v>38</v>
      </c>
      <c r="I549" s="585" t="s">
        <v>39</v>
      </c>
      <c r="J549" s="16"/>
      <c r="K549" s="32">
        <f t="shared" si="81"/>
        <v>67603.499999999985</v>
      </c>
      <c r="L549" s="32">
        <v>0</v>
      </c>
      <c r="M549" s="32">
        <v>67603.499999999985</v>
      </c>
      <c r="N549" s="32">
        <v>69133.8</v>
      </c>
    </row>
    <row r="550" spans="1:14" s="123" customFormat="1" ht="36" x14ac:dyDescent="0.35">
      <c r="A550" s="17"/>
      <c r="B550" s="30" t="s">
        <v>273</v>
      </c>
      <c r="C550" s="31" t="s">
        <v>283</v>
      </c>
      <c r="D550" s="16" t="s">
        <v>99</v>
      </c>
      <c r="E550" s="16" t="s">
        <v>47</v>
      </c>
      <c r="F550" s="583" t="s">
        <v>74</v>
      </c>
      <c r="G550" s="584" t="s">
        <v>40</v>
      </c>
      <c r="H550" s="584" t="s">
        <v>32</v>
      </c>
      <c r="I550" s="585" t="s">
        <v>39</v>
      </c>
      <c r="J550" s="16"/>
      <c r="K550" s="32">
        <f>K551+K554+K557+K560</f>
        <v>67603.499999999985</v>
      </c>
      <c r="L550" s="32">
        <v>0</v>
      </c>
      <c r="M550" s="32">
        <v>67603.499999999985</v>
      </c>
      <c r="N550" s="32">
        <v>69133.8</v>
      </c>
    </row>
    <row r="551" spans="1:14" s="123" customFormat="1" ht="152.25" customHeight="1" x14ac:dyDescent="0.35">
      <c r="A551" s="17"/>
      <c r="B551" s="555" t="s">
        <v>346</v>
      </c>
      <c r="C551" s="31" t="s">
        <v>283</v>
      </c>
      <c r="D551" s="16" t="s">
        <v>99</v>
      </c>
      <c r="E551" s="16" t="s">
        <v>47</v>
      </c>
      <c r="F551" s="583" t="s">
        <v>74</v>
      </c>
      <c r="G551" s="584" t="s">
        <v>40</v>
      </c>
      <c r="H551" s="584" t="s">
        <v>32</v>
      </c>
      <c r="I551" s="585" t="s">
        <v>533</v>
      </c>
      <c r="J551" s="16"/>
      <c r="K551" s="32">
        <f>SUM(K552:K553)</f>
        <v>36785</v>
      </c>
      <c r="L551" s="32">
        <v>0</v>
      </c>
      <c r="M551" s="32">
        <v>36785</v>
      </c>
      <c r="N551" s="32">
        <v>38255.5</v>
      </c>
    </row>
    <row r="552" spans="1:14" s="123" customFormat="1" ht="54" x14ac:dyDescent="0.35">
      <c r="A552" s="17"/>
      <c r="B552" s="30" t="s">
        <v>50</v>
      </c>
      <c r="C552" s="31" t="s">
        <v>283</v>
      </c>
      <c r="D552" s="16" t="s">
        <v>99</v>
      </c>
      <c r="E552" s="16" t="s">
        <v>47</v>
      </c>
      <c r="F552" s="583" t="s">
        <v>74</v>
      </c>
      <c r="G552" s="584" t="s">
        <v>40</v>
      </c>
      <c r="H552" s="584" t="s">
        <v>32</v>
      </c>
      <c r="I552" s="585" t="s">
        <v>533</v>
      </c>
      <c r="J552" s="16" t="s">
        <v>51</v>
      </c>
      <c r="K552" s="32">
        <v>184</v>
      </c>
      <c r="L552" s="32">
        <v>0</v>
      </c>
      <c r="M552" s="32">
        <v>184</v>
      </c>
      <c r="N552" s="32">
        <v>191.3</v>
      </c>
    </row>
    <row r="553" spans="1:14" s="123" customFormat="1" ht="36" x14ac:dyDescent="0.35">
      <c r="A553" s="17"/>
      <c r="B553" s="30" t="s">
        <v>115</v>
      </c>
      <c r="C553" s="31" t="s">
        <v>283</v>
      </c>
      <c r="D553" s="16" t="s">
        <v>99</v>
      </c>
      <c r="E553" s="16" t="s">
        <v>47</v>
      </c>
      <c r="F553" s="583" t="s">
        <v>74</v>
      </c>
      <c r="G553" s="584" t="s">
        <v>40</v>
      </c>
      <c r="H553" s="584" t="s">
        <v>32</v>
      </c>
      <c r="I553" s="585" t="s">
        <v>533</v>
      </c>
      <c r="J553" s="16" t="s">
        <v>116</v>
      </c>
      <c r="K553" s="32">
        <v>36601</v>
      </c>
      <c r="L553" s="32">
        <v>0</v>
      </c>
      <c r="M553" s="32">
        <v>36601</v>
      </c>
      <c r="N553" s="32">
        <v>38064.199999999997</v>
      </c>
    </row>
    <row r="554" spans="1:14" s="123" customFormat="1" ht="93.75" customHeight="1" x14ac:dyDescent="0.35">
      <c r="A554" s="17"/>
      <c r="B554" s="30" t="s">
        <v>348</v>
      </c>
      <c r="C554" s="31" t="s">
        <v>283</v>
      </c>
      <c r="D554" s="16" t="s">
        <v>99</v>
      </c>
      <c r="E554" s="16" t="s">
        <v>47</v>
      </c>
      <c r="F554" s="583" t="s">
        <v>74</v>
      </c>
      <c r="G554" s="584" t="s">
        <v>40</v>
      </c>
      <c r="H554" s="584" t="s">
        <v>32</v>
      </c>
      <c r="I554" s="585" t="s">
        <v>535</v>
      </c>
      <c r="J554" s="16"/>
      <c r="K554" s="32">
        <f>SUM(K555:K556)</f>
        <v>1495.2</v>
      </c>
      <c r="L554" s="32">
        <v>0</v>
      </c>
      <c r="M554" s="32">
        <v>1495.2</v>
      </c>
      <c r="N554" s="32">
        <v>1555</v>
      </c>
    </row>
    <row r="555" spans="1:14" s="123" customFormat="1" ht="54" x14ac:dyDescent="0.35">
      <c r="A555" s="17"/>
      <c r="B555" s="30" t="s">
        <v>50</v>
      </c>
      <c r="C555" s="31" t="s">
        <v>283</v>
      </c>
      <c r="D555" s="16" t="s">
        <v>99</v>
      </c>
      <c r="E555" s="16" t="s">
        <v>47</v>
      </c>
      <c r="F555" s="583" t="s">
        <v>74</v>
      </c>
      <c r="G555" s="584" t="s">
        <v>40</v>
      </c>
      <c r="H555" s="584" t="s">
        <v>32</v>
      </c>
      <c r="I555" s="585" t="s">
        <v>535</v>
      </c>
      <c r="J555" s="16" t="s">
        <v>51</v>
      </c>
      <c r="K555" s="32">
        <v>7.5</v>
      </c>
      <c r="L555" s="32">
        <v>0</v>
      </c>
      <c r="M555" s="32">
        <v>7.5</v>
      </c>
      <c r="N555" s="32">
        <v>7.8</v>
      </c>
    </row>
    <row r="556" spans="1:14" s="123" customFormat="1" ht="36" x14ac:dyDescent="0.35">
      <c r="A556" s="17"/>
      <c r="B556" s="30" t="s">
        <v>115</v>
      </c>
      <c r="C556" s="31" t="s">
        <v>283</v>
      </c>
      <c r="D556" s="16" t="s">
        <v>99</v>
      </c>
      <c r="E556" s="16" t="s">
        <v>47</v>
      </c>
      <c r="F556" s="583" t="s">
        <v>74</v>
      </c>
      <c r="G556" s="584" t="s">
        <v>40</v>
      </c>
      <c r="H556" s="584" t="s">
        <v>32</v>
      </c>
      <c r="I556" s="585" t="s">
        <v>535</v>
      </c>
      <c r="J556" s="16" t="s">
        <v>116</v>
      </c>
      <c r="K556" s="32">
        <v>1487.7</v>
      </c>
      <c r="L556" s="32">
        <v>0</v>
      </c>
      <c r="M556" s="32">
        <v>1487.7</v>
      </c>
      <c r="N556" s="32">
        <v>1547.2</v>
      </c>
    </row>
    <row r="557" spans="1:14" s="123" customFormat="1" ht="94.5" customHeight="1" x14ac:dyDescent="0.35">
      <c r="A557" s="17"/>
      <c r="B557" s="30" t="s">
        <v>347</v>
      </c>
      <c r="C557" s="31" t="s">
        <v>283</v>
      </c>
      <c r="D557" s="16" t="s">
        <v>99</v>
      </c>
      <c r="E557" s="16" t="s">
        <v>47</v>
      </c>
      <c r="F557" s="583" t="s">
        <v>74</v>
      </c>
      <c r="G557" s="584" t="s">
        <v>40</v>
      </c>
      <c r="H557" s="584" t="s">
        <v>32</v>
      </c>
      <c r="I557" s="585" t="s">
        <v>534</v>
      </c>
      <c r="J557" s="16"/>
      <c r="K557" s="32">
        <f>SUM(K558:K559)</f>
        <v>27520.6</v>
      </c>
      <c r="L557" s="32">
        <v>0</v>
      </c>
      <c r="M557" s="32">
        <v>27520.6</v>
      </c>
      <c r="N557" s="32">
        <v>27520.6</v>
      </c>
    </row>
    <row r="558" spans="1:14" s="123" customFormat="1" ht="54" x14ac:dyDescent="0.35">
      <c r="A558" s="17"/>
      <c r="B558" s="30" t="s">
        <v>50</v>
      </c>
      <c r="C558" s="31" t="s">
        <v>283</v>
      </c>
      <c r="D558" s="16" t="s">
        <v>99</v>
      </c>
      <c r="E558" s="16" t="s">
        <v>47</v>
      </c>
      <c r="F558" s="583" t="s">
        <v>74</v>
      </c>
      <c r="G558" s="584" t="s">
        <v>40</v>
      </c>
      <c r="H558" s="584" t="s">
        <v>32</v>
      </c>
      <c r="I558" s="585" t="s">
        <v>534</v>
      </c>
      <c r="J558" s="16" t="s">
        <v>51</v>
      </c>
      <c r="K558" s="32">
        <v>137.6</v>
      </c>
      <c r="L558" s="32">
        <v>0</v>
      </c>
      <c r="M558" s="32">
        <v>137.6</v>
      </c>
      <c r="N558" s="32">
        <v>137.6</v>
      </c>
    </row>
    <row r="559" spans="1:14" s="123" customFormat="1" ht="36" x14ac:dyDescent="0.35">
      <c r="A559" s="17"/>
      <c r="B559" s="30" t="s">
        <v>115</v>
      </c>
      <c r="C559" s="31" t="s">
        <v>283</v>
      </c>
      <c r="D559" s="16" t="s">
        <v>99</v>
      </c>
      <c r="E559" s="16" t="s">
        <v>47</v>
      </c>
      <c r="F559" s="583" t="s">
        <v>74</v>
      </c>
      <c r="G559" s="584" t="s">
        <v>40</v>
      </c>
      <c r="H559" s="584" t="s">
        <v>32</v>
      </c>
      <c r="I559" s="585" t="s">
        <v>534</v>
      </c>
      <c r="J559" s="16" t="s">
        <v>116</v>
      </c>
      <c r="K559" s="32">
        <v>27383</v>
      </c>
      <c r="L559" s="32">
        <v>0</v>
      </c>
      <c r="M559" s="32">
        <v>27383</v>
      </c>
      <c r="N559" s="32">
        <v>27383</v>
      </c>
    </row>
    <row r="560" spans="1:14" s="123" customFormat="1" ht="116.25" customHeight="1" x14ac:dyDescent="0.35">
      <c r="A560" s="17"/>
      <c r="B560" s="30" t="s">
        <v>354</v>
      </c>
      <c r="C560" s="31" t="s">
        <v>283</v>
      </c>
      <c r="D560" s="16" t="s">
        <v>99</v>
      </c>
      <c r="E560" s="16" t="s">
        <v>47</v>
      </c>
      <c r="F560" s="583" t="s">
        <v>74</v>
      </c>
      <c r="G560" s="584" t="s">
        <v>40</v>
      </c>
      <c r="H560" s="584" t="s">
        <v>32</v>
      </c>
      <c r="I560" s="585" t="s">
        <v>536</v>
      </c>
      <c r="J560" s="16"/>
      <c r="K560" s="32">
        <f>SUM(K561:K562)</f>
        <v>1802.7</v>
      </c>
      <c r="L560" s="32">
        <v>0</v>
      </c>
      <c r="M560" s="32">
        <v>1802.7</v>
      </c>
      <c r="N560" s="32">
        <v>1802.7</v>
      </c>
    </row>
    <row r="561" spans="1:14" s="123" customFormat="1" ht="54" x14ac:dyDescent="0.35">
      <c r="A561" s="17"/>
      <c r="B561" s="30" t="s">
        <v>50</v>
      </c>
      <c r="C561" s="31" t="s">
        <v>283</v>
      </c>
      <c r="D561" s="16" t="s">
        <v>99</v>
      </c>
      <c r="E561" s="16" t="s">
        <v>47</v>
      </c>
      <c r="F561" s="583" t="s">
        <v>74</v>
      </c>
      <c r="G561" s="584" t="s">
        <v>40</v>
      </c>
      <c r="H561" s="584" t="s">
        <v>32</v>
      </c>
      <c r="I561" s="585" t="s">
        <v>536</v>
      </c>
      <c r="J561" s="16" t="s">
        <v>51</v>
      </c>
      <c r="K561" s="32">
        <v>9</v>
      </c>
      <c r="L561" s="32">
        <v>0</v>
      </c>
      <c r="M561" s="32">
        <v>9</v>
      </c>
      <c r="N561" s="32">
        <v>9</v>
      </c>
    </row>
    <row r="562" spans="1:14" s="123" customFormat="1" ht="36" x14ac:dyDescent="0.35">
      <c r="A562" s="17"/>
      <c r="B562" s="30" t="s">
        <v>115</v>
      </c>
      <c r="C562" s="31" t="s">
        <v>283</v>
      </c>
      <c r="D562" s="16" t="s">
        <v>99</v>
      </c>
      <c r="E562" s="16" t="s">
        <v>47</v>
      </c>
      <c r="F562" s="583" t="s">
        <v>74</v>
      </c>
      <c r="G562" s="584" t="s">
        <v>40</v>
      </c>
      <c r="H562" s="584" t="s">
        <v>32</v>
      </c>
      <c r="I562" s="585" t="s">
        <v>536</v>
      </c>
      <c r="J562" s="16" t="s">
        <v>116</v>
      </c>
      <c r="K562" s="32">
        <v>1793.7</v>
      </c>
      <c r="L562" s="32">
        <v>0</v>
      </c>
      <c r="M562" s="32">
        <v>1793.7</v>
      </c>
      <c r="N562" s="32">
        <v>1793.7</v>
      </c>
    </row>
    <row r="563" spans="1:14" s="13" customFormat="1" ht="36" x14ac:dyDescent="0.35">
      <c r="A563" s="17"/>
      <c r="B563" s="30" t="s">
        <v>285</v>
      </c>
      <c r="C563" s="31" t="s">
        <v>283</v>
      </c>
      <c r="D563" s="16" t="s">
        <v>99</v>
      </c>
      <c r="E563" s="16" t="s">
        <v>76</v>
      </c>
      <c r="F563" s="583"/>
      <c r="G563" s="584"/>
      <c r="H563" s="584"/>
      <c r="I563" s="585"/>
      <c r="J563" s="16"/>
      <c r="K563" s="32">
        <f t="shared" ref="K563:N565" si="82">K564</f>
        <v>7895</v>
      </c>
      <c r="L563" s="32">
        <v>0</v>
      </c>
      <c r="M563" s="32">
        <v>7895</v>
      </c>
      <c r="N563" s="32">
        <v>7895</v>
      </c>
    </row>
    <row r="564" spans="1:14" s="13" customFormat="1" ht="54" x14ac:dyDescent="0.35">
      <c r="A564" s="17"/>
      <c r="B564" s="34" t="s">
        <v>225</v>
      </c>
      <c r="C564" s="31" t="s">
        <v>283</v>
      </c>
      <c r="D564" s="16" t="s">
        <v>99</v>
      </c>
      <c r="E564" s="16" t="s">
        <v>76</v>
      </c>
      <c r="F564" s="583" t="s">
        <v>74</v>
      </c>
      <c r="G564" s="584" t="s">
        <v>37</v>
      </c>
      <c r="H564" s="584" t="s">
        <v>38</v>
      </c>
      <c r="I564" s="585" t="s">
        <v>39</v>
      </c>
      <c r="J564" s="16"/>
      <c r="K564" s="32">
        <f t="shared" si="82"/>
        <v>7895</v>
      </c>
      <c r="L564" s="32">
        <v>0</v>
      </c>
      <c r="M564" s="32">
        <v>7895</v>
      </c>
      <c r="N564" s="32">
        <v>7895</v>
      </c>
    </row>
    <row r="565" spans="1:14" s="13" customFormat="1" ht="36" x14ac:dyDescent="0.35">
      <c r="A565" s="17"/>
      <c r="B565" s="30" t="s">
        <v>328</v>
      </c>
      <c r="C565" s="31" t="s">
        <v>283</v>
      </c>
      <c r="D565" s="16" t="s">
        <v>99</v>
      </c>
      <c r="E565" s="16" t="s">
        <v>76</v>
      </c>
      <c r="F565" s="583" t="s">
        <v>74</v>
      </c>
      <c r="G565" s="584" t="s">
        <v>40</v>
      </c>
      <c r="H565" s="584" t="s">
        <v>38</v>
      </c>
      <c r="I565" s="585" t="s">
        <v>39</v>
      </c>
      <c r="J565" s="16"/>
      <c r="K565" s="32">
        <f t="shared" si="82"/>
        <v>7895</v>
      </c>
      <c r="L565" s="32">
        <v>0</v>
      </c>
      <c r="M565" s="32">
        <v>7895</v>
      </c>
      <c r="N565" s="32">
        <v>7895</v>
      </c>
    </row>
    <row r="566" spans="1:14" s="123" customFormat="1" ht="36" x14ac:dyDescent="0.35">
      <c r="A566" s="17"/>
      <c r="B566" s="30" t="s">
        <v>224</v>
      </c>
      <c r="C566" s="31" t="s">
        <v>283</v>
      </c>
      <c r="D566" s="16" t="s">
        <v>99</v>
      </c>
      <c r="E566" s="16" t="s">
        <v>76</v>
      </c>
      <c r="F566" s="583" t="s">
        <v>74</v>
      </c>
      <c r="G566" s="584" t="s">
        <v>40</v>
      </c>
      <c r="H566" s="584" t="s">
        <v>58</v>
      </c>
      <c r="I566" s="585" t="s">
        <v>39</v>
      </c>
      <c r="J566" s="16"/>
      <c r="K566" s="32">
        <f>K567+K570+K573</f>
        <v>7895</v>
      </c>
      <c r="L566" s="32">
        <v>0</v>
      </c>
      <c r="M566" s="32">
        <v>7895</v>
      </c>
      <c r="N566" s="32">
        <v>7895</v>
      </c>
    </row>
    <row r="567" spans="1:14" s="123" customFormat="1" ht="75.75" customHeight="1" x14ac:dyDescent="0.35">
      <c r="A567" s="17"/>
      <c r="B567" s="92" t="s">
        <v>227</v>
      </c>
      <c r="C567" s="31" t="s">
        <v>283</v>
      </c>
      <c r="D567" s="16" t="s">
        <v>99</v>
      </c>
      <c r="E567" s="16" t="s">
        <v>76</v>
      </c>
      <c r="F567" s="583" t="s">
        <v>74</v>
      </c>
      <c r="G567" s="584" t="s">
        <v>40</v>
      </c>
      <c r="H567" s="584" t="s">
        <v>58</v>
      </c>
      <c r="I567" s="585" t="s">
        <v>537</v>
      </c>
      <c r="J567" s="16"/>
      <c r="K567" s="32">
        <f>K568+K569</f>
        <v>905.8</v>
      </c>
      <c r="L567" s="32">
        <v>0</v>
      </c>
      <c r="M567" s="32">
        <v>905.8</v>
      </c>
      <c r="N567" s="32">
        <v>905.8</v>
      </c>
    </row>
    <row r="568" spans="1:14" s="123" customFormat="1" ht="108" x14ac:dyDescent="0.35">
      <c r="A568" s="17"/>
      <c r="B568" s="30" t="s">
        <v>44</v>
      </c>
      <c r="C568" s="31" t="s">
        <v>283</v>
      </c>
      <c r="D568" s="16" t="s">
        <v>99</v>
      </c>
      <c r="E568" s="16" t="s">
        <v>76</v>
      </c>
      <c r="F568" s="583" t="s">
        <v>74</v>
      </c>
      <c r="G568" s="584" t="s">
        <v>40</v>
      </c>
      <c r="H568" s="584" t="s">
        <v>58</v>
      </c>
      <c r="I568" s="585" t="s">
        <v>537</v>
      </c>
      <c r="J568" s="16" t="s">
        <v>45</v>
      </c>
      <c r="K568" s="32">
        <v>845.8</v>
      </c>
      <c r="L568" s="32">
        <v>0</v>
      </c>
      <c r="M568" s="32">
        <v>845.8</v>
      </c>
      <c r="N568" s="32">
        <v>845.8</v>
      </c>
    </row>
    <row r="569" spans="1:14" s="123" customFormat="1" ht="54" x14ac:dyDescent="0.35">
      <c r="A569" s="17"/>
      <c r="B569" s="30" t="s">
        <v>50</v>
      </c>
      <c r="C569" s="31" t="s">
        <v>283</v>
      </c>
      <c r="D569" s="16" t="s">
        <v>99</v>
      </c>
      <c r="E569" s="16" t="s">
        <v>76</v>
      </c>
      <c r="F569" s="583" t="s">
        <v>74</v>
      </c>
      <c r="G569" s="584" t="s">
        <v>40</v>
      </c>
      <c r="H569" s="584" t="s">
        <v>58</v>
      </c>
      <c r="I569" s="585" t="s">
        <v>537</v>
      </c>
      <c r="J569" s="16" t="s">
        <v>51</v>
      </c>
      <c r="K569" s="32">
        <v>60</v>
      </c>
      <c r="L569" s="32">
        <v>0</v>
      </c>
      <c r="M569" s="32">
        <v>60</v>
      </c>
      <c r="N569" s="32">
        <v>60</v>
      </c>
    </row>
    <row r="570" spans="1:14" s="123" customFormat="1" ht="108" x14ac:dyDescent="0.35">
      <c r="A570" s="17"/>
      <c r="B570" s="30" t="s">
        <v>434</v>
      </c>
      <c r="C570" s="31" t="s">
        <v>283</v>
      </c>
      <c r="D570" s="16" t="s">
        <v>99</v>
      </c>
      <c r="E570" s="16" t="s">
        <v>76</v>
      </c>
      <c r="F570" s="583" t="s">
        <v>74</v>
      </c>
      <c r="G570" s="584" t="s">
        <v>40</v>
      </c>
      <c r="H570" s="584" t="s">
        <v>58</v>
      </c>
      <c r="I570" s="585" t="s">
        <v>531</v>
      </c>
      <c r="J570" s="16"/>
      <c r="K570" s="32">
        <f>K571+K572</f>
        <v>662.2</v>
      </c>
      <c r="L570" s="32">
        <v>0</v>
      </c>
      <c r="M570" s="32">
        <v>662.2</v>
      </c>
      <c r="N570" s="32">
        <v>662.2</v>
      </c>
    </row>
    <row r="571" spans="1:14" s="123" customFormat="1" ht="108" x14ac:dyDescent="0.35">
      <c r="A571" s="17"/>
      <c r="B571" s="30" t="s">
        <v>44</v>
      </c>
      <c r="C571" s="31" t="s">
        <v>283</v>
      </c>
      <c r="D571" s="16" t="s">
        <v>99</v>
      </c>
      <c r="E571" s="16" t="s">
        <v>76</v>
      </c>
      <c r="F571" s="583" t="s">
        <v>74</v>
      </c>
      <c r="G571" s="584" t="s">
        <v>40</v>
      </c>
      <c r="H571" s="584" t="s">
        <v>58</v>
      </c>
      <c r="I571" s="585" t="s">
        <v>531</v>
      </c>
      <c r="J571" s="16" t="s">
        <v>45</v>
      </c>
      <c r="K571" s="32">
        <v>632.20000000000005</v>
      </c>
      <c r="L571" s="32">
        <v>0</v>
      </c>
      <c r="M571" s="32">
        <v>632.20000000000005</v>
      </c>
      <c r="N571" s="32">
        <v>632.20000000000005</v>
      </c>
    </row>
    <row r="572" spans="1:14" s="123" customFormat="1" ht="54" x14ac:dyDescent="0.35">
      <c r="A572" s="17"/>
      <c r="B572" s="30" t="s">
        <v>50</v>
      </c>
      <c r="C572" s="31" t="s">
        <v>283</v>
      </c>
      <c r="D572" s="16" t="s">
        <v>99</v>
      </c>
      <c r="E572" s="16" t="s">
        <v>76</v>
      </c>
      <c r="F572" s="583" t="s">
        <v>74</v>
      </c>
      <c r="G572" s="584" t="s">
        <v>40</v>
      </c>
      <c r="H572" s="584" t="s">
        <v>58</v>
      </c>
      <c r="I572" s="585" t="s">
        <v>531</v>
      </c>
      <c r="J572" s="16" t="s">
        <v>51</v>
      </c>
      <c r="K572" s="32">
        <v>30</v>
      </c>
      <c r="L572" s="32">
        <v>0</v>
      </c>
      <c r="M572" s="32">
        <v>30</v>
      </c>
      <c r="N572" s="32">
        <v>30</v>
      </c>
    </row>
    <row r="573" spans="1:14" s="123" customFormat="1" ht="72" x14ac:dyDescent="0.35">
      <c r="A573" s="17"/>
      <c r="B573" s="30" t="s">
        <v>226</v>
      </c>
      <c r="C573" s="31" t="s">
        <v>283</v>
      </c>
      <c r="D573" s="16" t="s">
        <v>99</v>
      </c>
      <c r="E573" s="16" t="s">
        <v>76</v>
      </c>
      <c r="F573" s="583" t="s">
        <v>74</v>
      </c>
      <c r="G573" s="584" t="s">
        <v>40</v>
      </c>
      <c r="H573" s="584" t="s">
        <v>58</v>
      </c>
      <c r="I573" s="585" t="s">
        <v>532</v>
      </c>
      <c r="J573" s="16"/>
      <c r="K573" s="32">
        <f>K574+K575</f>
        <v>6327</v>
      </c>
      <c r="L573" s="32">
        <v>0</v>
      </c>
      <c r="M573" s="32">
        <v>6327</v>
      </c>
      <c r="N573" s="32">
        <v>6327</v>
      </c>
    </row>
    <row r="574" spans="1:14" s="123" customFormat="1" ht="108" x14ac:dyDescent="0.35">
      <c r="A574" s="17"/>
      <c r="B574" s="30" t="s">
        <v>44</v>
      </c>
      <c r="C574" s="31" t="s">
        <v>283</v>
      </c>
      <c r="D574" s="16" t="s">
        <v>99</v>
      </c>
      <c r="E574" s="16" t="s">
        <v>76</v>
      </c>
      <c r="F574" s="583" t="s">
        <v>74</v>
      </c>
      <c r="G574" s="584" t="s">
        <v>40</v>
      </c>
      <c r="H574" s="584" t="s">
        <v>58</v>
      </c>
      <c r="I574" s="585" t="s">
        <v>532</v>
      </c>
      <c r="J574" s="16" t="s">
        <v>45</v>
      </c>
      <c r="K574" s="32">
        <v>5967</v>
      </c>
      <c r="L574" s="32">
        <v>0</v>
      </c>
      <c r="M574" s="32">
        <v>5967</v>
      </c>
      <c r="N574" s="32">
        <v>5967</v>
      </c>
    </row>
    <row r="575" spans="1:14" s="123" customFormat="1" ht="54" x14ac:dyDescent="0.35">
      <c r="A575" s="17"/>
      <c r="B575" s="30" t="s">
        <v>50</v>
      </c>
      <c r="C575" s="31" t="s">
        <v>283</v>
      </c>
      <c r="D575" s="16" t="s">
        <v>99</v>
      </c>
      <c r="E575" s="16" t="s">
        <v>76</v>
      </c>
      <c r="F575" s="562" t="s">
        <v>74</v>
      </c>
      <c r="G575" s="563" t="s">
        <v>40</v>
      </c>
      <c r="H575" s="563" t="s">
        <v>58</v>
      </c>
      <c r="I575" s="564" t="s">
        <v>532</v>
      </c>
      <c r="J575" s="16" t="s">
        <v>51</v>
      </c>
      <c r="K575" s="32">
        <v>360</v>
      </c>
      <c r="L575" s="32">
        <v>0</v>
      </c>
      <c r="M575" s="32">
        <v>360</v>
      </c>
      <c r="N575" s="32">
        <v>360</v>
      </c>
    </row>
    <row r="576" spans="1:14" s="123" customFormat="1" ht="18" x14ac:dyDescent="0.35">
      <c r="A576" s="122">
        <v>10</v>
      </c>
      <c r="B576" s="170" t="s">
        <v>351</v>
      </c>
      <c r="C576" s="31"/>
      <c r="D576" s="16"/>
      <c r="E576" s="16"/>
      <c r="F576" s="584"/>
      <c r="G576" s="584"/>
      <c r="H576" s="584"/>
      <c r="I576" s="585"/>
      <c r="J576" s="16"/>
      <c r="K576" s="46">
        <f>K577</f>
        <v>32308.899999999998</v>
      </c>
      <c r="L576" s="46">
        <v>-4915.7999999999993</v>
      </c>
      <c r="M576" s="46">
        <v>27393.1</v>
      </c>
      <c r="N576" s="46">
        <v>34551.699999999997</v>
      </c>
    </row>
    <row r="577" spans="1:14" s="123" customFormat="1" ht="18" x14ac:dyDescent="0.35">
      <c r="A577" s="17"/>
      <c r="B577" s="96" t="s">
        <v>351</v>
      </c>
      <c r="C577" s="31"/>
      <c r="D577" s="16"/>
      <c r="E577" s="16"/>
      <c r="F577" s="584"/>
      <c r="G577" s="584"/>
      <c r="H577" s="584"/>
      <c r="I577" s="585"/>
      <c r="J577" s="16"/>
      <c r="K577" s="32">
        <f>33320.7-1011.8</f>
        <v>32308.899999999998</v>
      </c>
      <c r="L577" s="32">
        <v>-4915.7999999999993</v>
      </c>
      <c r="M577" s="32">
        <v>27393.1</v>
      </c>
      <c r="N577" s="32">
        <v>34551.699999999997</v>
      </c>
    </row>
    <row r="578" spans="1:14" x14ac:dyDescent="0.3">
      <c r="M578" s="43"/>
      <c r="N578" s="43"/>
    </row>
    <row r="579" spans="1:14" x14ac:dyDescent="0.3">
      <c r="M579" s="43"/>
      <c r="N579" s="43"/>
    </row>
    <row r="580" spans="1:14" s="78" customFormat="1" ht="18" x14ac:dyDescent="0.35">
      <c r="A580" s="118" t="s">
        <v>366</v>
      </c>
      <c r="B580" s="80"/>
      <c r="C580" s="81"/>
      <c r="D580" s="81"/>
      <c r="E580" s="81"/>
      <c r="F580" s="57"/>
      <c r="G580" s="117"/>
      <c r="H580" s="162"/>
    </row>
    <row r="581" spans="1:14" s="78" customFormat="1" ht="18" x14ac:dyDescent="0.35">
      <c r="A581" s="118" t="s">
        <v>367</v>
      </c>
      <c r="B581" s="80"/>
      <c r="C581" s="81"/>
      <c r="D581" s="81"/>
      <c r="E581" s="81"/>
      <c r="F581" s="57"/>
      <c r="G581" s="117"/>
      <c r="H581" s="162"/>
    </row>
    <row r="582" spans="1:14" s="78" customFormat="1" ht="18" x14ac:dyDescent="0.35">
      <c r="A582" s="119" t="s">
        <v>368</v>
      </c>
      <c r="B582" s="80"/>
      <c r="D582" s="81"/>
      <c r="E582" s="81"/>
      <c r="F582" s="57"/>
      <c r="N582" s="120" t="s">
        <v>387</v>
      </c>
    </row>
    <row r="584" spans="1:14" s="163" customFormat="1" ht="15.6" hidden="1" x14ac:dyDescent="0.3">
      <c r="B584" s="163" t="s">
        <v>352</v>
      </c>
      <c r="M584" s="164" t="e">
        <f>M577/('прил10 (ведом 23-24)'!#REF!-(#REF!-#REF!))*100</f>
        <v>#REF!</v>
      </c>
      <c r="N584" s="164" t="e">
        <f>N577/('прил10 (ведом 23-24)'!#REF!-(#REF!-#REF!))*100</f>
        <v>#REF!</v>
      </c>
    </row>
    <row r="585" spans="1:14" hidden="1" x14ac:dyDescent="0.3"/>
    <row r="586" spans="1:14" ht="18" hidden="1" x14ac:dyDescent="0.35">
      <c r="D586" s="41" t="s">
        <v>32</v>
      </c>
      <c r="E586" s="41" t="s">
        <v>34</v>
      </c>
      <c r="F586" s="42"/>
      <c r="G586" s="42"/>
      <c r="H586" s="42"/>
      <c r="I586" s="42"/>
      <c r="J586" s="42"/>
      <c r="K586" s="42"/>
      <c r="L586" s="42"/>
      <c r="M586" s="165">
        <f>M20</f>
        <v>2128.5</v>
      </c>
      <c r="N586" s="165">
        <f>N20</f>
        <v>2128.5</v>
      </c>
    </row>
    <row r="587" spans="1:14" ht="18" hidden="1" x14ac:dyDescent="0.35">
      <c r="D587" s="41" t="s">
        <v>32</v>
      </c>
      <c r="E587" s="41" t="s">
        <v>47</v>
      </c>
      <c r="F587" s="42"/>
      <c r="G587" s="42"/>
      <c r="H587" s="42"/>
      <c r="I587" s="42"/>
      <c r="J587" s="42"/>
      <c r="K587" s="42"/>
      <c r="L587" s="42"/>
      <c r="M587" s="165">
        <f>M26</f>
        <v>76352.699999999968</v>
      </c>
      <c r="N587" s="165">
        <f>N26</f>
        <v>76393.499999999971</v>
      </c>
    </row>
    <row r="588" spans="1:14" ht="18" hidden="1" x14ac:dyDescent="0.35">
      <c r="D588" s="41" t="s">
        <v>32</v>
      </c>
      <c r="E588" s="41" t="s">
        <v>60</v>
      </c>
      <c r="F588" s="42"/>
      <c r="G588" s="42"/>
      <c r="H588" s="42"/>
      <c r="I588" s="42"/>
      <c r="J588" s="42"/>
      <c r="K588" s="42"/>
      <c r="L588" s="42"/>
      <c r="M588" s="165">
        <f>M49</f>
        <v>24.700000000000003</v>
      </c>
      <c r="N588" s="165">
        <f>N49</f>
        <v>21.5</v>
      </c>
    </row>
    <row r="589" spans="1:14" ht="18" hidden="1" x14ac:dyDescent="0.35">
      <c r="D589" s="41" t="s">
        <v>32</v>
      </c>
      <c r="E589" s="41" t="s">
        <v>76</v>
      </c>
      <c r="F589" s="42"/>
      <c r="G589" s="42"/>
      <c r="H589" s="42"/>
      <c r="I589" s="42"/>
      <c r="J589" s="42"/>
      <c r="K589" s="42"/>
      <c r="L589" s="42"/>
      <c r="M589" s="165">
        <f>M174+M201</f>
        <v>30179.4</v>
      </c>
      <c r="N589" s="165">
        <f>N174+N201</f>
        <v>30180.2</v>
      </c>
    </row>
    <row r="590" spans="1:14" ht="18" hidden="1" x14ac:dyDescent="0.35">
      <c r="D590" s="41" t="s">
        <v>32</v>
      </c>
      <c r="E590" s="41" t="s">
        <v>62</v>
      </c>
      <c r="F590" s="42"/>
      <c r="G590" s="42"/>
      <c r="H590" s="42"/>
      <c r="I590" s="42"/>
      <c r="J590" s="42"/>
      <c r="K590" s="42"/>
      <c r="L590" s="42"/>
      <c r="M590" s="165">
        <f>M55</f>
        <v>5000</v>
      </c>
      <c r="N590" s="165">
        <f>N55</f>
        <v>5000</v>
      </c>
    </row>
    <row r="591" spans="1:14" ht="18" hidden="1" x14ac:dyDescent="0.35">
      <c r="D591" s="41" t="s">
        <v>32</v>
      </c>
      <c r="E591" s="41" t="s">
        <v>66</v>
      </c>
      <c r="F591" s="42"/>
      <c r="G591" s="42"/>
      <c r="H591" s="42"/>
      <c r="I591" s="42"/>
      <c r="J591" s="42"/>
      <c r="K591" s="42"/>
      <c r="L591" s="42"/>
      <c r="M591" s="165">
        <f>M211+M182+M515+M60+M408+M469+M273</f>
        <v>33853.799999999996</v>
      </c>
      <c r="N591" s="165">
        <f>N211+N182+N515+N60+N408+N469+N273</f>
        <v>35580.9</v>
      </c>
    </row>
    <row r="592" spans="1:14" ht="18" hidden="1" x14ac:dyDescent="0.35">
      <c r="D592" s="166" t="s">
        <v>32</v>
      </c>
      <c r="E592" s="166" t="s">
        <v>38</v>
      </c>
      <c r="F592" s="42"/>
      <c r="G592" s="42"/>
      <c r="H592" s="42"/>
      <c r="I592" s="42"/>
      <c r="J592" s="42"/>
      <c r="K592" s="42"/>
      <c r="L592" s="42"/>
      <c r="M592" s="167">
        <f>SUBTOTAL(9,M586:M591)</f>
        <v>147539.09999999995</v>
      </c>
      <c r="N592" s="167">
        <f>SUBTOTAL(9,N586:N591)</f>
        <v>149304.59999999998</v>
      </c>
    </row>
    <row r="593" spans="4:14" ht="18" hidden="1" x14ac:dyDescent="0.35">
      <c r="D593" s="41"/>
      <c r="E593" s="41"/>
      <c r="F593" s="42"/>
      <c r="G593" s="42"/>
      <c r="H593" s="42"/>
      <c r="I593" s="42"/>
      <c r="J593" s="42"/>
      <c r="K593" s="42"/>
      <c r="L593" s="42"/>
      <c r="M593" s="165"/>
      <c r="N593" s="165"/>
    </row>
    <row r="594" spans="4:14" ht="18" hidden="1" x14ac:dyDescent="0.35">
      <c r="D594" s="41" t="s">
        <v>58</v>
      </c>
      <c r="E594" s="41" t="s">
        <v>99</v>
      </c>
      <c r="F594" s="42"/>
      <c r="G594" s="42"/>
      <c r="H594" s="42"/>
      <c r="I594" s="42"/>
      <c r="J594" s="42"/>
      <c r="K594" s="42"/>
      <c r="L594" s="42"/>
      <c r="M594" s="165">
        <f>M84</f>
        <v>362.29999999999995</v>
      </c>
      <c r="N594" s="165">
        <f>N84</f>
        <v>362.29999999999995</v>
      </c>
    </row>
    <row r="595" spans="4:14" ht="18" hidden="1" x14ac:dyDescent="0.35">
      <c r="D595" s="41" t="s">
        <v>58</v>
      </c>
      <c r="E595" s="41" t="s">
        <v>83</v>
      </c>
      <c r="F595" s="42"/>
      <c r="G595" s="42"/>
      <c r="H595" s="42"/>
      <c r="I595" s="42"/>
      <c r="J595" s="42"/>
      <c r="K595" s="42"/>
      <c r="L595" s="42"/>
      <c r="M595" s="165">
        <f>M92</f>
        <v>11495.8</v>
      </c>
      <c r="N595" s="165">
        <f>N92</f>
        <v>11496.199999999999</v>
      </c>
    </row>
    <row r="596" spans="4:14" ht="18" hidden="1" x14ac:dyDescent="0.35">
      <c r="D596" s="166" t="s">
        <v>58</v>
      </c>
      <c r="E596" s="166" t="s">
        <v>38</v>
      </c>
      <c r="F596" s="42"/>
      <c r="G596" s="42"/>
      <c r="H596" s="42"/>
      <c r="I596" s="42"/>
      <c r="J596" s="42"/>
      <c r="K596" s="42"/>
      <c r="L596" s="42"/>
      <c r="M596" s="167">
        <f>SUBTOTAL(9,M594:M595)</f>
        <v>11858.099999999999</v>
      </c>
      <c r="N596" s="167">
        <f>SUBTOTAL(9,N594:N595)</f>
        <v>11858.499999999998</v>
      </c>
    </row>
    <row r="597" spans="4:14" ht="18" hidden="1" x14ac:dyDescent="0.35">
      <c r="D597" s="41"/>
      <c r="E597" s="41"/>
      <c r="F597" s="42"/>
      <c r="G597" s="42"/>
      <c r="H597" s="42"/>
      <c r="I597" s="42"/>
      <c r="J597" s="42"/>
      <c r="K597" s="42"/>
      <c r="L597" s="42"/>
      <c r="M597" s="165"/>
      <c r="N597" s="165"/>
    </row>
    <row r="598" spans="4:14" ht="18" hidden="1" x14ac:dyDescent="0.35">
      <c r="D598" s="41" t="s">
        <v>47</v>
      </c>
      <c r="E598" s="41" t="s">
        <v>60</v>
      </c>
      <c r="F598" s="42"/>
      <c r="G598" s="42"/>
      <c r="H598" s="42"/>
      <c r="I598" s="42"/>
      <c r="J598" s="42"/>
      <c r="K598" s="42"/>
      <c r="L598" s="42"/>
      <c r="M598" s="165">
        <f>M112</f>
        <v>12695.300000000001</v>
      </c>
      <c r="N598" s="165">
        <f>N112</f>
        <v>17253.900000000001</v>
      </c>
    </row>
    <row r="599" spans="4:14" ht="18" hidden="1" x14ac:dyDescent="0.35">
      <c r="D599" s="41" t="s">
        <v>47</v>
      </c>
      <c r="E599" s="41" t="s">
        <v>74</v>
      </c>
      <c r="F599" s="42"/>
      <c r="G599" s="42"/>
      <c r="H599" s="42"/>
      <c r="I599" s="42"/>
      <c r="J599" s="42"/>
      <c r="K599" s="42"/>
      <c r="L599" s="42"/>
      <c r="M599" s="165">
        <f>M121</f>
        <v>6443.4</v>
      </c>
      <c r="N599" s="165">
        <f>N121</f>
        <v>6701.1</v>
      </c>
    </row>
    <row r="600" spans="4:14" ht="18" hidden="1" x14ac:dyDescent="0.35">
      <c r="D600" s="41" t="s">
        <v>47</v>
      </c>
      <c r="E600" s="41" t="s">
        <v>95</v>
      </c>
      <c r="F600" s="42"/>
      <c r="G600" s="42"/>
      <c r="H600" s="42"/>
      <c r="I600" s="42"/>
      <c r="J600" s="42"/>
      <c r="K600" s="42"/>
      <c r="L600" s="42"/>
      <c r="M600" s="165">
        <f>M127</f>
        <v>9150.2999999999993</v>
      </c>
      <c r="N600" s="165">
        <f>N127</f>
        <v>7502.6</v>
      </c>
    </row>
    <row r="601" spans="4:14" ht="18" hidden="1" x14ac:dyDescent="0.35">
      <c r="D601" s="166" t="s">
        <v>47</v>
      </c>
      <c r="E601" s="166" t="s">
        <v>38</v>
      </c>
      <c r="F601" s="42"/>
      <c r="G601" s="42"/>
      <c r="H601" s="42"/>
      <c r="I601" s="42"/>
      <c r="J601" s="42"/>
      <c r="K601" s="42"/>
      <c r="L601" s="42"/>
      <c r="M601" s="167">
        <f>SUBTOTAL(9,M598:M600)</f>
        <v>28289</v>
      </c>
      <c r="N601" s="167">
        <f>SUBTOTAL(9,N598:N600)</f>
        <v>31457.599999999999</v>
      </c>
    </row>
    <row r="602" spans="4:14" ht="18" hidden="1" x14ac:dyDescent="0.35">
      <c r="D602" s="41"/>
      <c r="E602" s="41"/>
      <c r="F602" s="42"/>
      <c r="G602" s="42"/>
      <c r="H602" s="42"/>
      <c r="I602" s="42"/>
      <c r="J602" s="42"/>
      <c r="K602" s="42"/>
      <c r="L602" s="42"/>
      <c r="M602" s="165"/>
      <c r="N602" s="165"/>
    </row>
    <row r="603" spans="4:14" ht="18" hidden="1" x14ac:dyDescent="0.35">
      <c r="D603" s="41" t="s">
        <v>60</v>
      </c>
      <c r="E603" s="41" t="s">
        <v>32</v>
      </c>
      <c r="F603" s="42"/>
      <c r="G603" s="42"/>
      <c r="H603" s="42"/>
      <c r="I603" s="42"/>
      <c r="J603" s="42"/>
      <c r="K603" s="42"/>
      <c r="L603" s="42"/>
      <c r="M603" s="165"/>
      <c r="N603" s="165"/>
    </row>
    <row r="604" spans="4:14" ht="18" hidden="1" x14ac:dyDescent="0.35">
      <c r="D604" s="41" t="s">
        <v>60</v>
      </c>
      <c r="E604" s="41" t="s">
        <v>34</v>
      </c>
      <c r="F604" s="42"/>
      <c r="G604" s="42"/>
      <c r="H604" s="42"/>
      <c r="I604" s="42"/>
      <c r="J604" s="42"/>
      <c r="K604" s="42"/>
      <c r="L604" s="42"/>
      <c r="M604" s="165"/>
      <c r="N604" s="165"/>
    </row>
    <row r="605" spans="4:14" ht="18" hidden="1" x14ac:dyDescent="0.35">
      <c r="D605" s="41" t="s">
        <v>60</v>
      </c>
      <c r="E605" s="41" t="s">
        <v>58</v>
      </c>
      <c r="F605" s="42"/>
      <c r="G605" s="42"/>
      <c r="H605" s="42"/>
      <c r="I605" s="42"/>
      <c r="J605" s="42"/>
      <c r="K605" s="42"/>
      <c r="L605" s="42"/>
      <c r="M605" s="165">
        <f>M152</f>
        <v>3516.2</v>
      </c>
      <c r="N605" s="165">
        <f>N152</f>
        <v>0</v>
      </c>
    </row>
    <row r="606" spans="4:14" ht="18" hidden="1" x14ac:dyDescent="0.35">
      <c r="D606" s="166" t="s">
        <v>60</v>
      </c>
      <c r="E606" s="166" t="s">
        <v>38</v>
      </c>
      <c r="F606" s="42"/>
      <c r="G606" s="42"/>
      <c r="H606" s="42"/>
      <c r="I606" s="42"/>
      <c r="J606" s="42"/>
      <c r="K606" s="42"/>
      <c r="L606" s="42"/>
      <c r="M606" s="167">
        <f>SUBTOTAL(9,M603:M605)</f>
        <v>3516.2</v>
      </c>
      <c r="N606" s="167">
        <f>SUBTOTAL(9,N603:N605)</f>
        <v>0</v>
      </c>
    </row>
    <row r="607" spans="4:14" ht="18" hidden="1" x14ac:dyDescent="0.35">
      <c r="D607" s="41"/>
      <c r="E607" s="41"/>
      <c r="F607" s="42"/>
      <c r="G607" s="42"/>
      <c r="H607" s="42"/>
      <c r="I607" s="42"/>
      <c r="J607" s="42"/>
      <c r="K607" s="42"/>
      <c r="L607" s="42"/>
      <c r="M607" s="165"/>
      <c r="N607" s="165"/>
    </row>
    <row r="608" spans="4:14" ht="18" hidden="1" x14ac:dyDescent="0.35">
      <c r="D608" s="41" t="s">
        <v>219</v>
      </c>
      <c r="E608" s="41" t="s">
        <v>32</v>
      </c>
      <c r="F608" s="42"/>
      <c r="G608" s="42"/>
      <c r="H608" s="42"/>
      <c r="I608" s="42"/>
      <c r="J608" s="42"/>
      <c r="K608" s="42"/>
      <c r="L608" s="42"/>
      <c r="M608" s="165">
        <f>M286+M242</f>
        <v>383610.4</v>
      </c>
      <c r="N608" s="165">
        <f>N286+N242</f>
        <v>338318.30000000005</v>
      </c>
    </row>
    <row r="609" spans="4:14" ht="18" hidden="1" x14ac:dyDescent="0.35">
      <c r="D609" s="41" t="s">
        <v>219</v>
      </c>
      <c r="E609" s="41" t="s">
        <v>34</v>
      </c>
      <c r="F609" s="42"/>
      <c r="G609" s="42"/>
      <c r="H609" s="42"/>
      <c r="I609" s="42"/>
      <c r="J609" s="42"/>
      <c r="K609" s="42"/>
      <c r="L609" s="42"/>
      <c r="M609" s="165">
        <f>M308+M248</f>
        <v>622488.40000000014</v>
      </c>
      <c r="N609" s="165">
        <f>N308+N248</f>
        <v>614556.79999999993</v>
      </c>
    </row>
    <row r="610" spans="4:14" ht="18" hidden="1" x14ac:dyDescent="0.35">
      <c r="D610" s="41" t="s">
        <v>219</v>
      </c>
      <c r="E610" s="41" t="s">
        <v>58</v>
      </c>
      <c r="F610" s="42"/>
      <c r="G610" s="42"/>
      <c r="H610" s="42"/>
      <c r="I610" s="42"/>
      <c r="J610" s="42"/>
      <c r="K610" s="42"/>
      <c r="L610" s="42"/>
      <c r="M610" s="165">
        <f>+M353+M415</f>
        <v>121543.30000000002</v>
      </c>
      <c r="N610" s="165">
        <f>+N353+N415</f>
        <v>131669.69999999998</v>
      </c>
    </row>
    <row r="611" spans="4:14" ht="18" hidden="1" x14ac:dyDescent="0.35">
      <c r="D611" s="41" t="s">
        <v>219</v>
      </c>
      <c r="E611" s="41" t="s">
        <v>60</v>
      </c>
      <c r="F611" s="42"/>
      <c r="G611" s="42"/>
      <c r="H611" s="42"/>
      <c r="I611" s="42"/>
      <c r="J611" s="42"/>
      <c r="K611" s="42"/>
      <c r="L611" s="42"/>
      <c r="M611" s="165"/>
      <c r="N611" s="165"/>
    </row>
    <row r="612" spans="4:14" ht="18" hidden="1" x14ac:dyDescent="0.35">
      <c r="D612" s="41" t="s">
        <v>219</v>
      </c>
      <c r="E612" s="41" t="s">
        <v>219</v>
      </c>
      <c r="F612" s="42"/>
      <c r="G612" s="42"/>
      <c r="H612" s="42"/>
      <c r="I612" s="42"/>
      <c r="J612" s="42"/>
      <c r="K612" s="42"/>
      <c r="L612" s="42"/>
      <c r="M612" s="165">
        <f>M528+M374+M423</f>
        <v>11998.899999999998</v>
      </c>
      <c r="N612" s="165">
        <f>N528+N374+N423</f>
        <v>11998.899999999998</v>
      </c>
    </row>
    <row r="613" spans="4:14" ht="18" hidden="1" x14ac:dyDescent="0.35">
      <c r="D613" s="41" t="s">
        <v>219</v>
      </c>
      <c r="E613" s="41" t="s">
        <v>74</v>
      </c>
      <c r="F613" s="42"/>
      <c r="G613" s="42"/>
      <c r="H613" s="42"/>
      <c r="I613" s="42"/>
      <c r="J613" s="42"/>
      <c r="K613" s="42"/>
      <c r="L613" s="42"/>
      <c r="M613" s="165">
        <f>M382+M429+M536</f>
        <v>19881.600000000002</v>
      </c>
      <c r="N613" s="165">
        <f>N382+N429+N536</f>
        <v>68017.100000000006</v>
      </c>
    </row>
    <row r="614" spans="4:14" ht="18" hidden="1" x14ac:dyDescent="0.35">
      <c r="D614" s="166" t="s">
        <v>219</v>
      </c>
      <c r="E614" s="166" t="s">
        <v>38</v>
      </c>
      <c r="F614" s="42"/>
      <c r="G614" s="42"/>
      <c r="H614" s="42"/>
      <c r="I614" s="42"/>
      <c r="J614" s="42"/>
      <c r="K614" s="42"/>
      <c r="L614" s="42"/>
      <c r="M614" s="167">
        <f>SUBTOTAL(9,M608:M613)</f>
        <v>1159522.6000000001</v>
      </c>
      <c r="N614" s="167">
        <f>SUBTOTAL(9,N608:N613)</f>
        <v>1164560.8</v>
      </c>
    </row>
    <row r="615" spans="4:14" ht="18" hidden="1" x14ac:dyDescent="0.35">
      <c r="D615" s="41"/>
      <c r="E615" s="41"/>
      <c r="F615" s="42"/>
      <c r="G615" s="42"/>
      <c r="H615" s="42"/>
      <c r="I615" s="42"/>
      <c r="J615" s="42"/>
      <c r="K615" s="42"/>
      <c r="L615" s="42"/>
      <c r="M615" s="165"/>
      <c r="N615" s="165"/>
    </row>
    <row r="616" spans="4:14" ht="18" hidden="1" x14ac:dyDescent="0.35">
      <c r="D616" s="41" t="s">
        <v>221</v>
      </c>
      <c r="E616" s="41" t="s">
        <v>32</v>
      </c>
      <c r="F616" s="42"/>
      <c r="G616" s="42"/>
      <c r="H616" s="42"/>
      <c r="I616" s="42"/>
      <c r="J616" s="42"/>
      <c r="K616" s="42"/>
      <c r="L616" s="42"/>
      <c r="M616" s="165">
        <f>M436</f>
        <v>24617.300000000003</v>
      </c>
      <c r="N616" s="165">
        <f>N436</f>
        <v>26988.1</v>
      </c>
    </row>
    <row r="617" spans="4:14" ht="18" hidden="1" x14ac:dyDescent="0.35">
      <c r="D617" s="41" t="s">
        <v>221</v>
      </c>
      <c r="E617" s="41" t="s">
        <v>47</v>
      </c>
      <c r="F617" s="42"/>
      <c r="G617" s="42"/>
      <c r="H617" s="42"/>
      <c r="I617" s="42"/>
      <c r="J617" s="42"/>
      <c r="K617" s="42"/>
      <c r="L617" s="42"/>
      <c r="M617" s="165">
        <f>M454</f>
        <v>9253.1</v>
      </c>
      <c r="N617" s="165">
        <f>N454</f>
        <v>9910</v>
      </c>
    </row>
    <row r="618" spans="4:14" ht="18" hidden="1" x14ac:dyDescent="0.35">
      <c r="D618" s="166" t="s">
        <v>221</v>
      </c>
      <c r="E618" s="166" t="s">
        <v>38</v>
      </c>
      <c r="F618" s="42"/>
      <c r="G618" s="42"/>
      <c r="H618" s="42"/>
      <c r="I618" s="42"/>
      <c r="J618" s="42"/>
      <c r="K618" s="42"/>
      <c r="L618" s="42"/>
      <c r="M618" s="167">
        <f>SUBTOTAL(9,M616:M617)</f>
        <v>33870.400000000001</v>
      </c>
      <c r="N618" s="167">
        <f>SUBTOTAL(9,N616:N617)</f>
        <v>36898.1</v>
      </c>
    </row>
    <row r="619" spans="4:14" ht="18" hidden="1" x14ac:dyDescent="0.35">
      <c r="D619" s="41"/>
      <c r="E619" s="41"/>
      <c r="F619" s="42"/>
      <c r="G619" s="42"/>
      <c r="H619" s="42"/>
      <c r="I619" s="42"/>
      <c r="J619" s="42"/>
      <c r="K619" s="42"/>
      <c r="L619" s="42"/>
      <c r="M619" s="165"/>
      <c r="N619" s="165"/>
    </row>
    <row r="620" spans="4:14" ht="18" hidden="1" x14ac:dyDescent="0.35">
      <c r="D620" s="41" t="s">
        <v>99</v>
      </c>
      <c r="E620" s="41" t="s">
        <v>32</v>
      </c>
      <c r="F620" s="42"/>
      <c r="G620" s="42"/>
      <c r="H620" s="42"/>
      <c r="I620" s="42"/>
      <c r="J620" s="42"/>
      <c r="K620" s="42"/>
      <c r="L620" s="42"/>
      <c r="M620" s="165">
        <f>M159</f>
        <v>504</v>
      </c>
      <c r="N620" s="165">
        <f>N159</f>
        <v>504</v>
      </c>
    </row>
    <row r="621" spans="4:14" ht="18" hidden="1" x14ac:dyDescent="0.35">
      <c r="D621" s="41" t="s">
        <v>99</v>
      </c>
      <c r="E621" s="41" t="s">
        <v>47</v>
      </c>
      <c r="F621" s="42"/>
      <c r="G621" s="42"/>
      <c r="H621" s="42"/>
      <c r="I621" s="42"/>
      <c r="J621" s="42"/>
      <c r="K621" s="42"/>
      <c r="L621" s="42"/>
      <c r="M621" s="165">
        <f>M255+M398+M547</f>
        <v>120323.9</v>
      </c>
      <c r="N621" s="165">
        <f>N255+N398+N547</f>
        <v>121854.20000000001</v>
      </c>
    </row>
    <row r="622" spans="4:14" ht="18" hidden="1" x14ac:dyDescent="0.35">
      <c r="D622" s="41" t="s">
        <v>99</v>
      </c>
      <c r="E622" s="41" t="s">
        <v>76</v>
      </c>
      <c r="F622" s="42"/>
      <c r="G622" s="42"/>
      <c r="H622" s="42"/>
      <c r="I622" s="42"/>
      <c r="J622" s="42"/>
      <c r="K622" s="42"/>
      <c r="L622" s="42"/>
      <c r="M622" s="165">
        <f>M563+M165</f>
        <v>8847.1</v>
      </c>
      <c r="N622" s="165">
        <f>N563+N165</f>
        <v>8847.1</v>
      </c>
    </row>
    <row r="623" spans="4:14" ht="18" hidden="1" x14ac:dyDescent="0.35">
      <c r="D623" s="166" t="s">
        <v>99</v>
      </c>
      <c r="E623" s="166" t="s">
        <v>38</v>
      </c>
      <c r="F623" s="42"/>
      <c r="G623" s="42"/>
      <c r="H623" s="42"/>
      <c r="I623" s="42"/>
      <c r="J623" s="42"/>
      <c r="K623" s="42"/>
      <c r="L623" s="42"/>
      <c r="M623" s="167">
        <f>SUBTOTAL(9,M620:M622)</f>
        <v>129675</v>
      </c>
      <c r="N623" s="167">
        <f>SUBTOTAL(9,N620:N622)</f>
        <v>131205.30000000002</v>
      </c>
    </row>
    <row r="624" spans="4:14" ht="18" hidden="1" x14ac:dyDescent="0.35">
      <c r="D624" s="41"/>
      <c r="E624" s="41"/>
      <c r="F624" s="42"/>
      <c r="G624" s="42"/>
      <c r="H624" s="42"/>
      <c r="I624" s="42"/>
      <c r="J624" s="42"/>
      <c r="K624" s="42"/>
      <c r="L624" s="42"/>
      <c r="M624" s="165"/>
      <c r="N624" s="165"/>
    </row>
    <row r="625" spans="2:14" ht="18" hidden="1" x14ac:dyDescent="0.35">
      <c r="D625" s="41" t="s">
        <v>62</v>
      </c>
      <c r="E625" s="41" t="s">
        <v>32</v>
      </c>
      <c r="F625" s="42"/>
      <c r="G625" s="42"/>
      <c r="H625" s="42"/>
      <c r="I625" s="42"/>
      <c r="J625" s="42"/>
      <c r="K625" s="42"/>
      <c r="L625" s="42"/>
      <c r="M625" s="165">
        <f>M476+M264</f>
        <v>37696.799999999996</v>
      </c>
      <c r="N625" s="165">
        <f>N476+N264</f>
        <v>27452.1</v>
      </c>
    </row>
    <row r="626" spans="2:14" ht="18" hidden="1" x14ac:dyDescent="0.35">
      <c r="D626" s="41" t="s">
        <v>62</v>
      </c>
      <c r="E626" s="41" t="s">
        <v>34</v>
      </c>
      <c r="F626" s="42"/>
      <c r="G626" s="42"/>
      <c r="H626" s="42"/>
      <c r="I626" s="42"/>
      <c r="J626" s="42"/>
      <c r="K626" s="42"/>
      <c r="L626" s="42"/>
      <c r="M626" s="165">
        <f>M494</f>
        <v>4319.5</v>
      </c>
      <c r="N626" s="165">
        <f>N494</f>
        <v>629.70000000000005</v>
      </c>
    </row>
    <row r="627" spans="2:14" ht="18" hidden="1" x14ac:dyDescent="0.35">
      <c r="D627" s="41" t="s">
        <v>62</v>
      </c>
      <c r="E627" s="41" t="s">
        <v>60</v>
      </c>
      <c r="F627" s="42"/>
      <c r="G627" s="42"/>
      <c r="H627" s="42"/>
      <c r="I627" s="42"/>
      <c r="J627" s="42"/>
      <c r="K627" s="42"/>
      <c r="L627" s="42"/>
      <c r="M627" s="165">
        <f>M504</f>
        <v>2486.9</v>
      </c>
      <c r="N627" s="165">
        <f>N504</f>
        <v>2487.9</v>
      </c>
    </row>
    <row r="628" spans="2:14" ht="18" hidden="1" x14ac:dyDescent="0.35">
      <c r="D628" s="166" t="s">
        <v>62</v>
      </c>
      <c r="E628" s="166" t="s">
        <v>38</v>
      </c>
      <c r="F628" s="42"/>
      <c r="G628" s="42"/>
      <c r="H628" s="42"/>
      <c r="I628" s="42"/>
      <c r="J628" s="42"/>
      <c r="K628" s="42"/>
      <c r="L628" s="42"/>
      <c r="M628" s="167">
        <f>SUBTOTAL(9,M625:M627)</f>
        <v>44503.199999999997</v>
      </c>
      <c r="N628" s="167">
        <f>SUBTOTAL(9,N625:N627)</f>
        <v>30569.7</v>
      </c>
    </row>
    <row r="629" spans="2:14" ht="18" hidden="1" x14ac:dyDescent="0.35">
      <c r="D629" s="41"/>
      <c r="E629" s="41"/>
      <c r="F629" s="42"/>
      <c r="G629" s="42"/>
      <c r="H629" s="42"/>
      <c r="I629" s="42"/>
      <c r="J629" s="42"/>
      <c r="K629" s="42"/>
      <c r="L629" s="42"/>
      <c r="M629" s="165"/>
      <c r="N629" s="165"/>
    </row>
    <row r="630" spans="2:14" ht="18" hidden="1" x14ac:dyDescent="0.35">
      <c r="D630" s="41" t="s">
        <v>66</v>
      </c>
      <c r="E630" s="41" t="s">
        <v>32</v>
      </c>
      <c r="F630" s="42"/>
      <c r="G630" s="42"/>
      <c r="H630" s="42"/>
      <c r="I630" s="42"/>
      <c r="J630" s="42"/>
      <c r="K630" s="42"/>
      <c r="L630" s="42"/>
      <c r="M630" s="165"/>
      <c r="N630" s="165"/>
    </row>
    <row r="631" spans="2:14" ht="18" hidden="1" x14ac:dyDescent="0.35">
      <c r="D631" s="166" t="s">
        <v>66</v>
      </c>
      <c r="E631" s="166" t="s">
        <v>38</v>
      </c>
      <c r="F631" s="42"/>
      <c r="G631" s="42"/>
      <c r="H631" s="42"/>
      <c r="I631" s="42"/>
      <c r="J631" s="42"/>
      <c r="K631" s="42"/>
      <c r="L631" s="42"/>
      <c r="M631" s="167">
        <f>M630</f>
        <v>0</v>
      </c>
      <c r="N631" s="167">
        <f>N630</f>
        <v>0</v>
      </c>
    </row>
    <row r="632" spans="2:14" ht="18" hidden="1" x14ac:dyDescent="0.35">
      <c r="D632" s="41"/>
      <c r="E632" s="41"/>
      <c r="F632" s="42"/>
      <c r="G632" s="42"/>
      <c r="H632" s="42"/>
      <c r="I632" s="42"/>
      <c r="J632" s="42"/>
      <c r="K632" s="42"/>
      <c r="L632" s="42"/>
      <c r="M632" s="165"/>
      <c r="N632" s="165"/>
    </row>
    <row r="633" spans="2:14" ht="18" hidden="1" x14ac:dyDescent="0.35">
      <c r="D633" s="41" t="s">
        <v>83</v>
      </c>
      <c r="E633" s="41" t="s">
        <v>32</v>
      </c>
      <c r="F633" s="42"/>
      <c r="G633" s="42"/>
      <c r="H633" s="42"/>
      <c r="I633" s="42"/>
      <c r="J633" s="42"/>
      <c r="K633" s="42"/>
      <c r="L633" s="42"/>
      <c r="M633" s="165">
        <f>M192</f>
        <v>7000</v>
      </c>
      <c r="N633" s="165">
        <f>N192</f>
        <v>7000</v>
      </c>
    </row>
    <row r="634" spans="2:14" ht="18" hidden="1" x14ac:dyDescent="0.35">
      <c r="D634" s="166" t="s">
        <v>83</v>
      </c>
      <c r="E634" s="166" t="s">
        <v>38</v>
      </c>
      <c r="F634" s="42"/>
      <c r="G634" s="42"/>
      <c r="H634" s="42"/>
      <c r="I634" s="42"/>
      <c r="J634" s="42"/>
      <c r="K634" s="42"/>
      <c r="L634" s="42"/>
      <c r="M634" s="167">
        <f>SUBTOTAL(9,M633:M633)</f>
        <v>7000</v>
      </c>
      <c r="N634" s="167">
        <f>SUBTOTAL(9,N633:N633)</f>
        <v>7000</v>
      </c>
    </row>
    <row r="635" spans="2:14" ht="18" hidden="1" x14ac:dyDescent="0.35">
      <c r="D635" s="41"/>
      <c r="E635" s="41"/>
      <c r="F635" s="42"/>
      <c r="G635" s="42"/>
      <c r="H635" s="42"/>
      <c r="I635" s="42"/>
      <c r="J635" s="42"/>
      <c r="K635" s="42"/>
      <c r="L635" s="42"/>
      <c r="M635" s="165"/>
      <c r="N635" s="165"/>
    </row>
    <row r="636" spans="2:14" ht="18" hidden="1" x14ac:dyDescent="0.35">
      <c r="D636" s="168" t="s">
        <v>353</v>
      </c>
      <c r="E636" s="41"/>
      <c r="F636" s="42"/>
      <c r="G636" s="42"/>
      <c r="H636" s="42"/>
      <c r="I636" s="42"/>
      <c r="J636" s="42"/>
      <c r="K636" s="42"/>
      <c r="L636" s="42"/>
      <c r="M636" s="165">
        <f>M576</f>
        <v>27393.1</v>
      </c>
      <c r="N636" s="165">
        <f>N576</f>
        <v>34551.699999999997</v>
      </c>
    </row>
    <row r="637" spans="2:14" ht="18" hidden="1" x14ac:dyDescent="0.35">
      <c r="D637" s="41"/>
      <c r="E637" s="41"/>
      <c r="F637" s="42"/>
      <c r="G637" s="42"/>
      <c r="H637" s="42"/>
      <c r="I637" s="42"/>
      <c r="J637" s="42"/>
      <c r="K637" s="42"/>
      <c r="L637" s="42"/>
      <c r="M637" s="165"/>
      <c r="N637" s="165"/>
    </row>
    <row r="638" spans="2:14" ht="18" hidden="1" x14ac:dyDescent="0.35">
      <c r="D638" s="41"/>
      <c r="E638" s="41"/>
      <c r="F638" s="42"/>
      <c r="G638" s="42"/>
      <c r="H638" s="42"/>
      <c r="I638" s="42"/>
      <c r="J638" s="42"/>
      <c r="K638" s="42"/>
      <c r="L638" s="42"/>
      <c r="M638" s="167"/>
      <c r="N638" s="167"/>
    </row>
    <row r="639" spans="2:14" ht="18" hidden="1" x14ac:dyDescent="0.35">
      <c r="D639" s="41"/>
      <c r="E639" s="41"/>
      <c r="F639" s="42"/>
      <c r="G639" s="42"/>
      <c r="H639" s="42"/>
      <c r="I639" s="42"/>
      <c r="J639" s="42"/>
      <c r="K639" s="42"/>
      <c r="L639" s="42"/>
      <c r="M639" s="165"/>
      <c r="N639" s="165"/>
    </row>
    <row r="640" spans="2:14" ht="18" hidden="1" x14ac:dyDescent="0.35">
      <c r="B640" s="7" t="s">
        <v>356</v>
      </c>
      <c r="D640" s="41"/>
      <c r="E640" s="41"/>
      <c r="F640" s="42"/>
      <c r="G640" s="42"/>
      <c r="H640" s="42"/>
      <c r="I640" s="42"/>
      <c r="J640" s="42"/>
      <c r="K640" s="42"/>
      <c r="L640" s="42"/>
      <c r="M640" s="165"/>
      <c r="N640" s="165"/>
    </row>
    <row r="641" spans="2:14" ht="18" hidden="1" x14ac:dyDescent="0.35">
      <c r="B641" s="7" t="s">
        <v>355</v>
      </c>
      <c r="D641" s="41"/>
      <c r="E641" s="41"/>
      <c r="F641" s="42"/>
      <c r="G641" s="42"/>
      <c r="H641" s="42"/>
      <c r="I641" s="42"/>
      <c r="J641" s="42"/>
      <c r="K641" s="42"/>
      <c r="L641" s="42"/>
      <c r="M641" s="165"/>
      <c r="N641" s="165"/>
    </row>
    <row r="642" spans="2:14" ht="18" hidden="1" x14ac:dyDescent="0.35">
      <c r="D642" s="41"/>
      <c r="E642" s="41"/>
      <c r="F642" s="42"/>
      <c r="G642" s="42"/>
      <c r="H642" s="42"/>
      <c r="I642" s="42"/>
      <c r="J642" s="42"/>
      <c r="K642" s="42"/>
      <c r="L642" s="42"/>
      <c r="M642" s="169"/>
      <c r="N642" s="169"/>
    </row>
    <row r="643" spans="2:14" ht="18" hidden="1" x14ac:dyDescent="0.35">
      <c r="D643" s="41"/>
      <c r="E643" s="41"/>
      <c r="F643" s="42"/>
      <c r="G643" s="42"/>
      <c r="H643" s="42"/>
      <c r="I643" s="42"/>
      <c r="J643" s="42"/>
      <c r="K643" s="42"/>
      <c r="L643" s="42"/>
      <c r="M643" s="169"/>
      <c r="N643" s="169"/>
    </row>
    <row r="644" spans="2:14" hidden="1" x14ac:dyDescent="0.3"/>
    <row r="645" spans="2:14" x14ac:dyDescent="0.3">
      <c r="M645" s="43"/>
      <c r="N645" s="43"/>
    </row>
  </sheetData>
  <autoFilter ref="A4:N645"/>
  <mergeCells count="12">
    <mergeCell ref="F15:I15"/>
    <mergeCell ref="A9:N9"/>
    <mergeCell ref="A13:A14"/>
    <mergeCell ref="B13:B14"/>
    <mergeCell ref="C13:C14"/>
    <mergeCell ref="D13:D14"/>
    <mergeCell ref="E13:E14"/>
    <mergeCell ref="F13:I14"/>
    <mergeCell ref="J13:J14"/>
    <mergeCell ref="N13:N14"/>
    <mergeCell ref="L13:M13"/>
    <mergeCell ref="K13:K14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3" fitToHeight="0" orientation="portrait" blackAndWhite="1" r:id="rId1"/>
  <headerFooter differentFirst="1">
    <oddHeader>&amp;C&amp;"Times New Roman,обычный"&amp;12&amp;P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3"/>
  <sheetViews>
    <sheetView zoomScale="80" zoomScaleNormal="80" workbookViewId="0">
      <selection activeCell="J23" sqref="J23"/>
    </sheetView>
  </sheetViews>
  <sheetFormatPr defaultColWidth="9.109375" defaultRowHeight="18" x14ac:dyDescent="0.35"/>
  <cols>
    <col min="1" max="1" width="33.33203125" style="249" customWidth="1"/>
    <col min="2" max="2" width="66.44140625" style="249" customWidth="1"/>
    <col min="3" max="3" width="16.33203125" style="249" customWidth="1"/>
    <col min="4" max="4" width="15.5546875" style="2" customWidth="1"/>
    <col min="5" max="5" width="15.88671875" style="2" customWidth="1"/>
    <col min="6" max="6" width="19.88671875" style="2" customWidth="1"/>
    <col min="7" max="7" width="10.88671875" style="2" bestFit="1" customWidth="1"/>
    <col min="8" max="16384" width="9.109375" style="2"/>
  </cols>
  <sheetData>
    <row r="1" spans="1:6" x14ac:dyDescent="0.35">
      <c r="E1" s="172" t="s">
        <v>501</v>
      </c>
    </row>
    <row r="2" spans="1:6" x14ac:dyDescent="0.35">
      <c r="E2" s="172" t="s">
        <v>546</v>
      </c>
    </row>
    <row r="4" spans="1:6" s="48" customFormat="1" x14ac:dyDescent="0.35">
      <c r="E4" s="53" t="s">
        <v>505</v>
      </c>
    </row>
    <row r="5" spans="1:6" s="48" customFormat="1" x14ac:dyDescent="0.35">
      <c r="E5" s="53" t="s">
        <v>545</v>
      </c>
    </row>
    <row r="7" spans="1:6" ht="17.399999999999999" customHeight="1" x14ac:dyDescent="0.35"/>
    <row r="8" spans="1:6" s="5" customFormat="1" ht="18" customHeight="1" x14ac:dyDescent="0.35">
      <c r="A8" s="48"/>
      <c r="B8" s="48"/>
      <c r="C8" s="53"/>
    </row>
    <row r="9" spans="1:6" s="5" customFormat="1" ht="36" customHeight="1" x14ac:dyDescent="0.35">
      <c r="A9" s="662" t="s">
        <v>490</v>
      </c>
      <c r="B9" s="613"/>
      <c r="C9" s="613"/>
      <c r="D9" s="613"/>
      <c r="E9" s="613"/>
    </row>
    <row r="10" spans="1:6" x14ac:dyDescent="0.35">
      <c r="A10" s="613"/>
      <c r="B10" s="613"/>
      <c r="C10" s="613"/>
      <c r="D10" s="613"/>
      <c r="E10" s="613"/>
      <c r="F10" s="349"/>
    </row>
    <row r="11" spans="1:6" ht="37.5" customHeight="1" x14ac:dyDescent="0.35">
      <c r="C11" s="2"/>
      <c r="E11" s="274" t="s">
        <v>234</v>
      </c>
    </row>
    <row r="12" spans="1:6" ht="33" customHeight="1" x14ac:dyDescent="0.35">
      <c r="A12" s="618" t="s">
        <v>11</v>
      </c>
      <c r="B12" s="618" t="s">
        <v>461</v>
      </c>
      <c r="C12" s="663" t="s">
        <v>13</v>
      </c>
      <c r="D12" s="664"/>
      <c r="E12" s="665"/>
      <c r="F12" s="6"/>
    </row>
    <row r="13" spans="1:6" ht="32.25" customHeight="1" x14ac:dyDescent="0.35">
      <c r="A13" s="619"/>
      <c r="B13" s="619"/>
      <c r="C13" s="207" t="s">
        <v>396</v>
      </c>
      <c r="D13" s="207" t="s">
        <v>433</v>
      </c>
      <c r="E13" s="207" t="s">
        <v>491</v>
      </c>
      <c r="F13" s="6"/>
    </row>
    <row r="14" spans="1:6" ht="18" customHeight="1" x14ac:dyDescent="0.35">
      <c r="A14" s="256">
        <v>1</v>
      </c>
      <c r="B14" s="275">
        <v>2</v>
      </c>
      <c r="C14" s="374">
        <v>3</v>
      </c>
      <c r="D14" s="256">
        <v>4</v>
      </c>
      <c r="E14" s="276">
        <v>5</v>
      </c>
      <c r="F14" s="6"/>
    </row>
    <row r="15" spans="1:6" ht="37.200000000000003" customHeight="1" x14ac:dyDescent="0.35">
      <c r="A15" s="277" t="s">
        <v>235</v>
      </c>
      <c r="B15" s="370" t="s">
        <v>236</v>
      </c>
      <c r="C15" s="278">
        <f>C20+C16</f>
        <v>48682.687000000151</v>
      </c>
      <c r="D15" s="278">
        <f t="shared" ref="D15:E15" si="0">D20+D16</f>
        <v>0</v>
      </c>
      <c r="E15" s="379">
        <f t="shared" si="0"/>
        <v>0</v>
      </c>
      <c r="F15" s="4"/>
    </row>
    <row r="16" spans="1:6" ht="50.25" customHeight="1" x14ac:dyDescent="0.35">
      <c r="A16" s="279" t="s">
        <v>377</v>
      </c>
      <c r="B16" s="371" t="s">
        <v>458</v>
      </c>
      <c r="C16" s="375">
        <f>C17</f>
        <v>-10224</v>
      </c>
      <c r="D16" s="375">
        <f t="shared" ref="D16:E16" si="1">D17</f>
        <v>0</v>
      </c>
      <c r="E16" s="380">
        <f t="shared" si="1"/>
        <v>0</v>
      </c>
      <c r="F16" s="4"/>
    </row>
    <row r="17" spans="1:8" ht="57" customHeight="1" x14ac:dyDescent="0.35">
      <c r="A17" s="280" t="s">
        <v>378</v>
      </c>
      <c r="B17" s="372" t="s">
        <v>455</v>
      </c>
      <c r="C17" s="376">
        <f>-C18</f>
        <v>-10224</v>
      </c>
      <c r="D17" s="376">
        <v>0</v>
      </c>
      <c r="E17" s="381">
        <v>0</v>
      </c>
      <c r="F17" s="4"/>
    </row>
    <row r="18" spans="1:8" ht="63" customHeight="1" x14ac:dyDescent="0.35">
      <c r="A18" s="280" t="s">
        <v>379</v>
      </c>
      <c r="B18" s="372" t="s">
        <v>456</v>
      </c>
      <c r="C18" s="376">
        <f>C19</f>
        <v>10224</v>
      </c>
      <c r="D18" s="376">
        <v>0</v>
      </c>
      <c r="E18" s="381">
        <v>0</v>
      </c>
      <c r="F18" s="4"/>
    </row>
    <row r="19" spans="1:8" ht="75.75" customHeight="1" x14ac:dyDescent="0.35">
      <c r="A19" s="284" t="s">
        <v>380</v>
      </c>
      <c r="B19" s="373" t="s">
        <v>457</v>
      </c>
      <c r="C19" s="377">
        <v>10224</v>
      </c>
      <c r="D19" s="377">
        <v>0</v>
      </c>
      <c r="E19" s="382">
        <v>0</v>
      </c>
      <c r="F19" s="4"/>
    </row>
    <row r="20" spans="1:8" s="352" customFormat="1" ht="34.950000000000003" customHeight="1" x14ac:dyDescent="0.3">
      <c r="A20" s="279" t="s">
        <v>237</v>
      </c>
      <c r="B20" s="281" t="s">
        <v>238</v>
      </c>
      <c r="C20" s="378">
        <v>58906.687000000151</v>
      </c>
      <c r="D20" s="278">
        <v>0</v>
      </c>
      <c r="E20" s="379">
        <v>0</v>
      </c>
      <c r="F20" s="350"/>
      <c r="G20" s="351"/>
    </row>
    <row r="21" spans="1:8" x14ac:dyDescent="0.35">
      <c r="A21" s="280" t="s">
        <v>239</v>
      </c>
      <c r="B21" s="282" t="s">
        <v>240</v>
      </c>
      <c r="C21" s="357">
        <v>1836138.3</v>
      </c>
      <c r="D21" s="367">
        <v>1593166.7000000002</v>
      </c>
      <c r="E21" s="383">
        <v>1597406.2999999998</v>
      </c>
    </row>
    <row r="22" spans="1:8" x14ac:dyDescent="0.35">
      <c r="A22" s="280" t="s">
        <v>241</v>
      </c>
      <c r="B22" s="282" t="s">
        <v>242</v>
      </c>
      <c r="C22" s="357">
        <v>1836138.3</v>
      </c>
      <c r="D22" s="367">
        <v>1593166.7000000002</v>
      </c>
      <c r="E22" s="383">
        <v>1597406.2999999998</v>
      </c>
    </row>
    <row r="23" spans="1:8" ht="20.25" customHeight="1" x14ac:dyDescent="0.35">
      <c r="A23" s="280" t="s">
        <v>313</v>
      </c>
      <c r="B23" s="283" t="s">
        <v>243</v>
      </c>
      <c r="C23" s="358">
        <v>1836138.3</v>
      </c>
      <c r="D23" s="368">
        <v>1593166.7000000002</v>
      </c>
      <c r="E23" s="384">
        <v>1597406.2999999998</v>
      </c>
    </row>
    <row r="24" spans="1:8" ht="37.5" customHeight="1" x14ac:dyDescent="0.35">
      <c r="A24" s="280" t="s">
        <v>244</v>
      </c>
      <c r="B24" s="283" t="s">
        <v>3</v>
      </c>
      <c r="C24" s="358">
        <v>1836138.3</v>
      </c>
      <c r="D24" s="366">
        <v>1593166.7000000002</v>
      </c>
      <c r="E24" s="385">
        <v>1597406.2999999998</v>
      </c>
    </row>
    <row r="25" spans="1:8" x14ac:dyDescent="0.35">
      <c r="A25" s="280" t="s">
        <v>245</v>
      </c>
      <c r="B25" s="283" t="s">
        <v>246</v>
      </c>
      <c r="C25" s="358">
        <v>1895044.9870000002</v>
      </c>
      <c r="D25" s="368">
        <v>1593166.7000000002</v>
      </c>
      <c r="E25" s="384">
        <v>1597406.2999999998</v>
      </c>
    </row>
    <row r="26" spans="1:8" x14ac:dyDescent="0.35">
      <c r="A26" s="280" t="s">
        <v>247</v>
      </c>
      <c r="B26" s="283" t="s">
        <v>248</v>
      </c>
      <c r="C26" s="358">
        <v>1895044.9870000002</v>
      </c>
      <c r="D26" s="368">
        <v>1593166.7000000002</v>
      </c>
      <c r="E26" s="384">
        <v>1597406.2999999998</v>
      </c>
    </row>
    <row r="27" spans="1:8" ht="22.2" customHeight="1" x14ac:dyDescent="0.35">
      <c r="A27" s="280" t="s">
        <v>249</v>
      </c>
      <c r="B27" s="283" t="s">
        <v>250</v>
      </c>
      <c r="C27" s="358">
        <v>1895044.9870000002</v>
      </c>
      <c r="D27" s="368">
        <v>1593166.7000000002</v>
      </c>
      <c r="E27" s="384">
        <v>1597406.2999999998</v>
      </c>
    </row>
    <row r="28" spans="1:8" ht="36" x14ac:dyDescent="0.35">
      <c r="A28" s="284" t="s">
        <v>251</v>
      </c>
      <c r="B28" s="285" t="s">
        <v>4</v>
      </c>
      <c r="C28" s="359">
        <v>1895044.9870000002</v>
      </c>
      <c r="D28" s="369">
        <v>1593166.7000000002</v>
      </c>
      <c r="E28" s="386">
        <v>1597406.2999999998</v>
      </c>
    </row>
    <row r="29" spans="1:8" x14ac:dyDescent="0.35">
      <c r="A29" s="286"/>
      <c r="B29" s="287"/>
      <c r="C29" s="288"/>
    </row>
    <row r="30" spans="1:8" x14ac:dyDescent="0.35">
      <c r="A30" s="286"/>
      <c r="B30" s="287"/>
      <c r="C30" s="288"/>
    </row>
    <row r="31" spans="1:8" s="1" customFormat="1" x14ac:dyDescent="0.35">
      <c r="A31" s="118" t="s">
        <v>366</v>
      </c>
      <c r="B31" s="353"/>
      <c r="C31" s="100"/>
      <c r="D31" s="354"/>
      <c r="E31" s="354"/>
      <c r="F31" s="355"/>
      <c r="G31" s="3"/>
      <c r="H31" s="356"/>
    </row>
    <row r="32" spans="1:8" s="1" customFormat="1" x14ac:dyDescent="0.35">
      <c r="A32" s="118" t="s">
        <v>367</v>
      </c>
      <c r="B32" s="353"/>
      <c r="C32" s="100"/>
      <c r="D32" s="354"/>
      <c r="E32" s="354"/>
      <c r="F32" s="355"/>
      <c r="G32" s="3"/>
      <c r="H32" s="356"/>
    </row>
    <row r="33" spans="1:6" s="1" customFormat="1" x14ac:dyDescent="0.35">
      <c r="A33" s="119" t="s">
        <v>368</v>
      </c>
      <c r="B33" s="353"/>
      <c r="C33" s="120"/>
      <c r="D33" s="354"/>
      <c r="E33" s="120" t="s">
        <v>387</v>
      </c>
      <c r="F33" s="355"/>
    </row>
  </sheetData>
  <mergeCells count="4">
    <mergeCell ref="A9:E10"/>
    <mergeCell ref="C12:E12"/>
    <mergeCell ref="A12:A13"/>
    <mergeCell ref="B12:B13"/>
  </mergeCells>
  <printOptions horizontalCentered="1"/>
  <pageMargins left="1.1811023622047245" right="0.39370078740157483" top="0.78740157480314965" bottom="0.78740157480314965" header="0" footer="0"/>
  <pageSetup paperSize="9" scale="5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прил. 1 (поступл.22-24)</vt:lpstr>
      <vt:lpstr>прил 6 (Рз,ПР 22-24)</vt:lpstr>
      <vt:lpstr>прил 7 (ЦС,ВР 22)</vt:lpstr>
      <vt:lpstr>прил 8 (ЦС,ВР 23-24)</vt:lpstr>
      <vt:lpstr>прил9 (ведом 22)</vt:lpstr>
      <vt:lpstr>прил10 (ведом 23-24)</vt:lpstr>
      <vt:lpstr>прил.11 (Источники 22-24)</vt:lpstr>
      <vt:lpstr>'прил 6 (Рз,ПР 22-24)'!Заголовки_для_печати</vt:lpstr>
      <vt:lpstr>'прил 7 (ЦС,ВР 22)'!Заголовки_для_печати</vt:lpstr>
      <vt:lpstr>'прил 8 (ЦС,ВР 23-24)'!Заголовки_для_печати</vt:lpstr>
      <vt:lpstr>'прил. 1 (поступл.22-24)'!Заголовки_для_печати</vt:lpstr>
      <vt:lpstr>'прил.11 (Источники 22-24)'!Заголовки_для_печати</vt:lpstr>
      <vt:lpstr>'прил10 (ведом 23-24)'!Заголовки_для_печати</vt:lpstr>
      <vt:lpstr>'прил9 (ведом 22)'!Заголовки_для_печати</vt:lpstr>
      <vt:lpstr>'прил 6 (Рз,ПР 22-24)'!Область_печати</vt:lpstr>
      <vt:lpstr>'прил 7 (ЦС,ВР 22)'!Область_печати</vt:lpstr>
      <vt:lpstr>'прил 8 (ЦС,ВР 23-24)'!Область_печати</vt:lpstr>
      <vt:lpstr>'прил. 1 (поступл.22-24)'!Область_печати</vt:lpstr>
      <vt:lpstr>'прил.11 (Источники 22-24)'!Область_печати</vt:lpstr>
      <vt:lpstr>'прил10 (ведом 23-24)'!Область_печати</vt:lpstr>
      <vt:lpstr>'прил9 (ведом 22)'!Область_печати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2022-01-31T06:23:55Z</dcterms:modified>
</cp:coreProperties>
</file>